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-Results" sheetId="1" r:id="rId4"/>
    <sheet state="visible" name="All-Results&lt;-&gt;Old" sheetId="2" r:id="rId5"/>
    <sheet state="visible" name="All-Results&lt;-&gt;Length" sheetId="3" r:id="rId6"/>
    <sheet state="visible" name="One-Results&lt;-&gt;Length" sheetId="4" r:id="rId7"/>
    <sheet state="visible" name="One-Results&lt;-&gt;NrClasses" sheetId="5" r:id="rId8"/>
    <sheet state="visible" name="One-Results&lt;-&gt;Plots" sheetId="6" r:id="rId9"/>
    <sheet state="visible" name="One-Results&lt;-&gt;Box" sheetId="7" r:id="rId10"/>
    <sheet state="visible" name="One-Results&lt;-&gt;Violins" sheetId="8" r:id="rId11"/>
    <sheet state="visible" name="One-Results&lt;-&gt;All" sheetId="9" r:id="rId12"/>
    <sheet state="visible" name="Fold-Results&lt;-&gt;Length" sheetId="10" r:id="rId13"/>
    <sheet state="visible" name="Fold-Results&lt;-&gt;NrClasses" sheetId="11" r:id="rId14"/>
    <sheet state="visible" name="Fold-Results&lt;-&gt;Plots" sheetId="12" r:id="rId15"/>
    <sheet state="visible" name="Fold-Results&lt;-&gt;Box" sheetId="13" r:id="rId16"/>
    <sheet state="visible" name="Fold-Results&lt;-&gt;Violins" sheetId="14" r:id="rId17"/>
    <sheet state="visible" name="Fold-Results&lt;-&gt;All" sheetId="15" r:id="rId18"/>
    <sheet state="visible" name=" DataSet-Info" sheetId="16" r:id="rId19"/>
    <sheet state="visible" name="Results&lt;-&gt;Time" sheetId="17" r:id="rId20"/>
    <sheet state="visible" name="Extra Results&lt;-&gt;Time" sheetId="18" r:id="rId21"/>
  </sheets>
  <definedNames>
    <definedName name="_xlchart.v1.18">'Results&lt;-&gt;Time'!$H$3:$H$101</definedName>
    <definedName name="_xlchart.v1.20">'Results&lt;-&gt;Time'!$J$3:$J$101</definedName>
    <definedName localSheetId="17" name="_xlchart.v1.34">'Extra Results&lt;-&gt;Time'!$X$3:$X$101</definedName>
    <definedName localSheetId="17" name="_xlchart.v1.19">'Extra Results&lt;-&gt;Time'!$I$3:$I$101</definedName>
    <definedName localSheetId="17" name="_xlchart.v1.30">'Extra Results&lt;-&gt;Time'!$T$3:$T$101</definedName>
    <definedName localSheetId="17" name="_xlchart.v1.1">'Extra Results&lt;-&gt;Time'!$AA$3:$AA$101</definedName>
    <definedName localSheetId="17" name="_xlchart.v1.67">'Extra Results&lt;-&gt;Time'!$U$2:$U$100</definedName>
    <definedName name="_xlchart.v1.48">'Results&lt;-&gt;Time'!$B$2:$B$100</definedName>
    <definedName localSheetId="17" name="_xlchart.v1.56">'Extra Results&lt;-&gt;Time'!$J$2:$J$100</definedName>
    <definedName name="_xlchart.v1.16">'Results&lt;-&gt;Time'!$F$3:$F$101</definedName>
    <definedName name="_xlchart.v1.35">'Results&lt;-&gt;Time'!$Y$3:$Y$101</definedName>
    <definedName localSheetId="17" name="_xlchart.v1.47">'Extra Results&lt;-&gt;Time'!$AJ$2:$AJ$100</definedName>
    <definedName localSheetId="17" name="_xlchart.v1.42">'Extra Results&lt;-&gt;Time'!$AE$2:$AE$100</definedName>
    <definedName name="_xlchart.v1.5">'Results&lt;-&gt;Time'!$AE$3:$AE$101</definedName>
    <definedName localSheetId="17" name="_xlchart.v1.45">'Extra Results&lt;-&gt;Time'!$AH$2:$AH$100</definedName>
    <definedName localSheetId="17" name="_xlchart.v1.65">'Extra Results&lt;-&gt;Time'!$S$2:$S$100</definedName>
    <definedName localSheetId="17" name="_xlchart.v1.72">'Extra Results&lt;-&gt;Time'!$Z$2:$Z$100</definedName>
    <definedName name="_xlchart.v1.72">'Results&lt;-&gt;Time'!$Z$2:$Z$100</definedName>
    <definedName localSheetId="17" name="_xlchart.v1.51">'Extra Results&lt;-&gt;Time'!$E$2:$E$100</definedName>
    <definedName name="_xlchart.v1.14">'Results&lt;-&gt;Time'!$D$3:$D$101</definedName>
    <definedName name="_xlchart.v1.45">'Results&lt;-&gt;Time'!$AH$2:$AH$100</definedName>
    <definedName localSheetId="17" name="_xlchart.v1.12">'Extra Results&lt;-&gt;Time'!$AL$3:$AL$101</definedName>
    <definedName localSheetId="17" name="_xlchart.v1.8">'Extra Results&lt;-&gt;Time'!$AH$3:$AH$101</definedName>
    <definedName name="_xlchart.v1.60">'Results&lt;-&gt;Time'!$N$2:$N$100</definedName>
    <definedName name="_xlchart.v1.40">'Results&lt;-&gt;Time'!$AC$2:$AC$100</definedName>
    <definedName name="_xlchart.v1.66">'Results&lt;-&gt;Time'!$T$2:$T$100</definedName>
    <definedName name="_xlchart.v1.50">'Results&lt;-&gt;Time'!$D$2:$D$100</definedName>
    <definedName name="_xlchart.v1.7">'Results&lt;-&gt;Time'!$AG$3:$AG$101</definedName>
    <definedName name="_xlchart.v1.62">'Results&lt;-&gt;Time'!$P$2:$P$100</definedName>
    <definedName name="_xlchart.v1.0">'Results&lt;-&gt;Time'!$A$2:$A$100</definedName>
    <definedName localSheetId="17" name="_xlchart.v1.35">'Extra Results&lt;-&gt;Time'!$Y$3:$Y$101</definedName>
    <definedName localSheetId="17" name="_xlchart.v1.36">'Extra Results&lt;-&gt;Time'!$Z$3:$Z$101</definedName>
    <definedName localSheetId="17" name="_xlchart.v1.49">'Extra Results&lt;-&gt;Time'!$C$2:$C$100</definedName>
    <definedName localSheetId="17" name="_xlchart.v1.38">'Extra Results&lt;-&gt;Time'!$AA$2:$AA$100</definedName>
    <definedName name="_xlchart.v1.3">'Results&lt;-&gt;Time'!$AC$3:$AC$101</definedName>
    <definedName localSheetId="17" name="_xlchart.v1.60">'Extra Results&lt;-&gt;Time'!$N$2:$N$100</definedName>
    <definedName localSheetId="17" name="_xlchart.v1.55">'Extra Results&lt;-&gt;Time'!$I$2:$I$100</definedName>
    <definedName name="_xlchart.v1.46">'Results&lt;-&gt;Time'!$AI$2:$AI$100</definedName>
    <definedName localSheetId="17" name="_xlchart.v1.9">'Extra Results&lt;-&gt;Time'!$AI$3:$AI$101</definedName>
    <definedName name="_xlchart.v1.33">'Results&lt;-&gt;Time'!$W$3:$W$101</definedName>
    <definedName name="_xlchart.v1.52">'Results&lt;-&gt;Time'!$F$2:$F$100</definedName>
    <definedName name="_xlchart.v1.55">'Results&lt;-&gt;Time'!$I$2:$I$100</definedName>
    <definedName name="_xlchart.v1.8">'Results&lt;-&gt;Time'!$AH$3:$AH$101</definedName>
    <definedName name="_xlchart.v1.37">'Results&lt;-&gt;Time'!$A$2:$A$100</definedName>
    <definedName localSheetId="17" name="_xlchart.v1.15">'Extra Results&lt;-&gt;Time'!$E$3:$E$101</definedName>
    <definedName localSheetId="17" name="_xlchart.v1.71">'Extra Results&lt;-&gt;Time'!$Y$2:$Y$100</definedName>
    <definedName localSheetId="17" name="_xlchart.v1.14">'Extra Results&lt;-&gt;Time'!$D$3:$D$101</definedName>
    <definedName name="_xlchart.v1.61">'Results&lt;-&gt;Time'!$O$2:$O$100</definedName>
    <definedName name="_xlchart.v1.43">'Results&lt;-&gt;Time'!$AF$2:$AF$100</definedName>
    <definedName localSheetId="17" name="_xlchart.v1.59">'Extra Results&lt;-&gt;Time'!$M$2:$M$100</definedName>
    <definedName name="_xlchart.v1.36">'Results&lt;-&gt;Time'!$Z$3:$Z$101</definedName>
    <definedName localSheetId="17" name="_xlchart.v1.48">'Extra Results&lt;-&gt;Time'!$B$2:$B$100</definedName>
    <definedName localSheetId="17" name="_xlchart.v1.53">'Extra Results&lt;-&gt;Time'!$G$2:$G$100</definedName>
    <definedName localSheetId="17" name="_xlchart.v1.3">'Extra Results&lt;-&gt;Time'!$AC$3:$AC$101</definedName>
    <definedName localSheetId="17" name="_xlchart.v1.58">'Extra Results&lt;-&gt;Time'!$L$2:$L$100</definedName>
    <definedName localSheetId="17" name="_xlchart.v1.32">'Extra Results&lt;-&gt;Time'!$V$3:$V$101</definedName>
    <definedName localSheetId="17" name="_xlchart.v1.17">'Extra Results&lt;-&gt;Time'!$G$3:$G$101</definedName>
    <definedName name="_xlchart.v1.57">'Results&lt;-&gt;Time'!$K$2:$K$100</definedName>
    <definedName name="_xlchart.v1.71">'Results&lt;-&gt;Time'!$Y$2:$Y$100</definedName>
    <definedName name="_xlchart.v1.17">'Results&lt;-&gt;Time'!$G$3:$G$101</definedName>
    <definedName localSheetId="17" name="_xlchart.v1.69">'Extra Results&lt;-&gt;Time'!$W$2:$W$100</definedName>
    <definedName name="_xlchart.v1.12">'Results&lt;-&gt;Time'!$AL$3:$AL$101</definedName>
    <definedName name="_xlchart.v1.65">'Results&lt;-&gt;Time'!$S$2:$S$100</definedName>
    <definedName localSheetId="17" name="_xlchart.v1.2">'Extra Results&lt;-&gt;Time'!$AB$3:$AB$101</definedName>
    <definedName localSheetId="17" name="_xlchart.v1.21">'Extra Results&lt;-&gt;Time'!$K$3:$K$101</definedName>
    <definedName localSheetId="17" name="_xlchart.v1.54">'Extra Results&lt;-&gt;Time'!$H$2:$H$100</definedName>
    <definedName localSheetId="17" name="_xlchart.v1.68">'Extra Results&lt;-&gt;Time'!$V$2:$V$100</definedName>
    <definedName localSheetId="17" name="_xlchart.v1.57">'Extra Results&lt;-&gt;Time'!$K$2:$K$100</definedName>
    <definedName name="_xlchart.v1.29">'Results&lt;-&gt;Time'!$S$3:$S$101</definedName>
    <definedName name="_xlchart.v1.56">'Results&lt;-&gt;Time'!$J$2:$J$100</definedName>
    <definedName name="_xlchart.v1.19">'Results&lt;-&gt;Time'!$I$3:$I$101</definedName>
    <definedName localSheetId="17" name="_xlchart.v1.37">'Extra Results&lt;-&gt;Time'!$A$2:$A$100</definedName>
    <definedName name="_xlchart.v1.42">'Results&lt;-&gt;Time'!$AE$2:$AE$100</definedName>
    <definedName localSheetId="17" name="_xlchart.v1.11">'Extra Results&lt;-&gt;Time'!$AK$3:$AK$101</definedName>
    <definedName localSheetId="17" name="_xlchart.v1.7">'Extra Results&lt;-&gt;Time'!$AG$3:$AG$101</definedName>
    <definedName localSheetId="17" name="_xlchart.v1.13">'Extra Results&lt;-&gt;Time'!$AM$3:$AM$101</definedName>
    <definedName name="_xlchart.v1.9">'Results&lt;-&gt;Time'!$AI$3:$AI$101</definedName>
    <definedName name="_xlchart.v1.22">'Results&lt;-&gt;Time'!$L$3:$L$101</definedName>
    <definedName name="_xlchart.v1.54">'Results&lt;-&gt;Time'!$H$2:$H$100</definedName>
    <definedName localSheetId="17" name="_xlchart.v1.44">'Extra Results&lt;-&gt;Time'!$AG$2:$AG$100</definedName>
    <definedName localSheetId="17" name="_xlchart.v1.25">'Extra Results&lt;-&gt;Time'!$O$3:$O$101</definedName>
    <definedName name="_xlchart.v1.63">'Results&lt;-&gt;Time'!$Q$2:$Q$100</definedName>
    <definedName name="_xlchart.v1.28">'Results&lt;-&gt;Time'!$R$3:$R$101</definedName>
    <definedName localSheetId="17" name="_xlchart.v1.46">'Extra Results&lt;-&gt;Time'!$AI$2:$AI$100</definedName>
    <definedName localSheetId="17" name="_xlchart.v1.16">'Extra Results&lt;-&gt;Time'!$F$3:$F$101</definedName>
    <definedName localSheetId="17" name="_xlchart.v1.26">'Extra Results&lt;-&gt;Time'!$P$3:$P$101</definedName>
    <definedName localSheetId="17" name="_xlchart.v1.29">'Extra Results&lt;-&gt;Time'!$S$3:$S$101</definedName>
    <definedName localSheetId="17" name="_xlchart.v1.22">'Extra Results&lt;-&gt;Time'!$L$3:$L$101</definedName>
    <definedName name="_xlchart.v1.59">'Results&lt;-&gt;Time'!$M$2:$M$100</definedName>
    <definedName name="_xlchart.v1.41">'Results&lt;-&gt;Time'!$AD$2:$AD$100</definedName>
    <definedName localSheetId="17" name="_xlchart.v1.40">'Extra Results&lt;-&gt;Time'!$AC$2:$AC$100</definedName>
    <definedName localSheetId="17" name="_xlchart.v1.23">'Extra Results&lt;-&gt;Time'!$M$3:$M$101</definedName>
    <definedName name="_xlchart.v1.13">'Results&lt;-&gt;Time'!$AM$3:$AM$101</definedName>
    <definedName name="_xlchart.v1.64">'Results&lt;-&gt;Time'!$R$2:$R$100</definedName>
    <definedName name="_xlchart.v1.70">'Results&lt;-&gt;Time'!$X$2:$X$100</definedName>
    <definedName name="_xlchart.v1.38">'Results&lt;-&gt;Time'!$AA$2:$AA$100</definedName>
    <definedName name="_xlchart.v1.24">'Results&lt;-&gt;Time'!$N$3:$N$101</definedName>
    <definedName localSheetId="17" name="_xlchart.v1.41">'Extra Results&lt;-&gt;Time'!$AD$2:$AD$100</definedName>
    <definedName name="_xlchart.v1.25">'Results&lt;-&gt;Time'!$O$3:$O$101</definedName>
    <definedName localSheetId="17" name="_xlchart.v1.62">'Extra Results&lt;-&gt;Time'!$P$2:$P$100</definedName>
    <definedName localSheetId="17" name="_xlchart.v1.70">'Extra Results&lt;-&gt;Time'!$X$2:$X$100</definedName>
    <definedName name="_xlchart.v1.49">'Results&lt;-&gt;Time'!$C$2:$C$100</definedName>
    <definedName name="_xlchart.v1.2">'Results&lt;-&gt;Time'!$AB$3:$AB$101</definedName>
    <definedName name="_xlchart.v1.67">'Results&lt;-&gt;Time'!$U$2:$U$100</definedName>
    <definedName name="_xlchart.v1.1">'Results&lt;-&gt;Time'!$AA$3:$AA$101</definedName>
    <definedName name="_xlchart.v1.15">'Results&lt;-&gt;Time'!$E$3:$E$101</definedName>
    <definedName localSheetId="17" name="_xlchart.v1.27">'Extra Results&lt;-&gt;Time'!$Q$3:$Q$101</definedName>
    <definedName name="_xlchart.v1.69">'Results&lt;-&gt;Time'!$W$2:$W$100</definedName>
    <definedName localSheetId="17" name="_xlchart.v1.43">'Extra Results&lt;-&gt;Time'!$AF$2:$AF$100</definedName>
    <definedName localSheetId="17" name="_xlchart.v1.66">'Extra Results&lt;-&gt;Time'!$T$2:$T$100</definedName>
    <definedName name="_xlchart.v1.32">'Results&lt;-&gt;Time'!$V$3:$V$101</definedName>
    <definedName name="_xlchart.v1.44">'Results&lt;-&gt;Time'!$AG$2:$AG$100</definedName>
    <definedName localSheetId="17" name="_xlchart.v1.33">'Extra Results&lt;-&gt;Time'!$W$3:$W$101</definedName>
    <definedName localSheetId="17" name="_xlchart.v1.18">'Extra Results&lt;-&gt;Time'!$H$3:$H$101</definedName>
    <definedName localSheetId="17" name="_xlchart.v1.52">'Extra Results&lt;-&gt;Time'!$F$2:$F$100</definedName>
    <definedName localSheetId="17" name="_xlchart.v1.6">'Extra Results&lt;-&gt;Time'!$AF$3:$AF$101</definedName>
    <definedName name="_xlchart.v1.34">'Results&lt;-&gt;Time'!$X$3:$X$101</definedName>
    <definedName localSheetId="17" name="_xlchart.v1.24">'Extra Results&lt;-&gt;Time'!$N$3:$N$101</definedName>
    <definedName name="_xlchart.v1.6">'Results&lt;-&gt;Time'!$AF$3:$AF$101</definedName>
    <definedName localSheetId="17" name="_xlchart.v1.5">'Extra Results&lt;-&gt;Time'!$AE$3:$AE$101</definedName>
    <definedName localSheetId="17" name="_xlchart.v1.20">'Extra Results&lt;-&gt;Time'!$J$3:$J$101</definedName>
    <definedName name="_xlchart.v1.58">'Results&lt;-&gt;Time'!$L$2:$L$100</definedName>
    <definedName name="_xlchart.v1.53">'Results&lt;-&gt;Time'!$G$2:$G$100</definedName>
    <definedName localSheetId="17" name="_xlchart.v1.31">'Extra Results&lt;-&gt;Time'!$U$3:$U$101</definedName>
    <definedName localSheetId="17" name="_xlchart.v1.28">'Extra Results&lt;-&gt;Time'!$R$3:$R$101</definedName>
    <definedName localSheetId="17" name="_xlchart.v1.64">'Extra Results&lt;-&gt;Time'!$R$2:$R$100</definedName>
    <definedName localSheetId="17" name="_xlchart.v1.39">'Extra Results&lt;-&gt;Time'!$AB$2:$AB$100</definedName>
    <definedName name="_xlchart.v1.39">'Results&lt;-&gt;Time'!$AB$2:$AB$100</definedName>
    <definedName name="_xlchart.v1.23">'Results&lt;-&gt;Time'!$M$3:$M$101</definedName>
    <definedName name="_xlchart.v1.4">'Results&lt;-&gt;Time'!$AD$3:$AD$101</definedName>
    <definedName localSheetId="17" name="_xlchart.v1.4">'Extra Results&lt;-&gt;Time'!$AD$3:$AD$101</definedName>
    <definedName name="_xlchart.v1.31">'Results&lt;-&gt;Time'!$U$3:$U$101</definedName>
    <definedName name="_xlchart.v1.47">'Results&lt;-&gt;Time'!$AJ$2:$AJ$100</definedName>
    <definedName localSheetId="17" name="_xlchart.v1.61">'Extra Results&lt;-&gt;Time'!$O$2:$O$100</definedName>
    <definedName name="_xlchart.v1.51">'Results&lt;-&gt;Time'!$E$2:$E$100</definedName>
    <definedName localSheetId="17" name="_xlchart.v1.50">'Extra Results&lt;-&gt;Time'!$D$2:$D$100</definedName>
    <definedName name="_xlchart.v1.26">'Results&lt;-&gt;Time'!$P$3:$P$101</definedName>
    <definedName name="_xlchart.v1.27">'Results&lt;-&gt;Time'!$Q$3:$Q$101</definedName>
    <definedName localSheetId="17" name="_xlchart.v1.0">'Extra Results&lt;-&gt;Time'!$A$2:$A$100</definedName>
    <definedName name="_xlchart.v1.11">'Results&lt;-&gt;Time'!$AK$3:$AK$101</definedName>
    <definedName localSheetId="17" name="_xlchart.v1.10">'Extra Results&lt;-&gt;Time'!$AJ$3:$AJ$101</definedName>
    <definedName name="_xlchart.v1.10">'Results&lt;-&gt;Time'!$AJ$3:$AJ$101</definedName>
    <definedName name="_xlchart.v1.21">'Results&lt;-&gt;Time'!$K$3:$K$101</definedName>
    <definedName localSheetId="17" name="_xlchart.v1.63">'Extra Results&lt;-&gt;Time'!$Q$2:$Q$100</definedName>
    <definedName name="_xlchart.v1.68">'Results&lt;-&gt;Time'!$V$2:$V$100</definedName>
    <definedName name="_xlchart.v1.30">'Results&lt;-&gt;Time'!$T$3:$T$101</definedName>
    <definedName hidden="1" localSheetId="15" name="_xlnm._FilterDatabase">' DataSet-Info'!$A$1:$F$100</definedName>
  </definedNames>
  <calcPr/>
  <extLst>
    <ext uri="GoogleSheetsCustomDataVersion1">
      <go:sheetsCustomData xmlns:go="http://customooxmlschemas.google.com/" r:id="rId22" roundtripDataSignature="AMtx7mgc/FeA6K9stZS9605paQxkL9XXZ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W32">
      <text>
        <t xml:space="preserve">======
ID#AAAAivGm8g4
    (2022-11-07 11:10:05)
CUIDADO, apra este segundo grafico tenho que por os valores dos 20 a NAN</t>
      </text>
    </comment>
  </commentList>
  <extLst>
    <ext uri="GoogleSheetsCustomDataVersion1">
      <go:sheetsCustomData xmlns:go="http://customooxmlschemas.google.com/" r:id="rId1" roundtripDataSignature="AMtx7mhD7GJsAhkTqjMTT8AITBjTqIPU0w=="/>
    </ext>
  </extLst>
</comments>
</file>

<file path=xl/sharedStrings.xml><?xml version="1.0" encoding="utf-8"?>
<sst xmlns="http://schemas.openxmlformats.org/spreadsheetml/2006/main" count="51906" uniqueCount="381">
  <si>
    <t>Dataset name:</t>
  </si>
  <si>
    <t>PlottingTime</t>
  </si>
  <si>
    <t>5_boxplots</t>
  </si>
  <si>
    <t>5_boxplots_no_fliers</t>
  </si>
  <si>
    <t>5_violinplots</t>
  </si>
  <si>
    <t>5_violinplots_box</t>
  </si>
  <si>
    <t>8_boxplots</t>
  </si>
  <si>
    <t>8_boxplots_no_fliers</t>
  </si>
  <si>
    <t>8_violinplots</t>
  </si>
  <si>
    <t>8_violinplots_box</t>
  </si>
  <si>
    <t>10_boxplots</t>
  </si>
  <si>
    <t>10_boxplots_no_fliers</t>
  </si>
  <si>
    <t>10_violinplots</t>
  </si>
  <si>
    <t>10_violinplots_box</t>
  </si>
  <si>
    <t>12_boxplots</t>
  </si>
  <si>
    <t>12_boxplots_no_fliers</t>
  </si>
  <si>
    <t>12_violinplots</t>
  </si>
  <si>
    <t>12_violinplots_box</t>
  </si>
  <si>
    <t>20_boxplots</t>
  </si>
  <si>
    <t>20_violinplots_box</t>
  </si>
  <si>
    <t>DeepInsight</t>
  </si>
  <si>
    <t>5B_Fold_Mean</t>
  </si>
  <si>
    <t>5B_Fold_Median</t>
  </si>
  <si>
    <t>5B_One_Acc</t>
  </si>
  <si>
    <t>5BN_Fold_Mean</t>
  </si>
  <si>
    <t>5BN_Fold_Median</t>
  </si>
  <si>
    <t>5BN_One_Acc</t>
  </si>
  <si>
    <t>5V_Fold_Mean</t>
  </si>
  <si>
    <t>5V_Fold_Median</t>
  </si>
  <si>
    <t>5V_One_Acc</t>
  </si>
  <si>
    <t>5VB_Fold_Mean</t>
  </si>
  <si>
    <t>5VB_Fold_Median</t>
  </si>
  <si>
    <t>5VB_One_Acc</t>
  </si>
  <si>
    <t>8B_Fold_Mean</t>
  </si>
  <si>
    <t>8B_Fold_Median</t>
  </si>
  <si>
    <t>8B_One_Acc</t>
  </si>
  <si>
    <t>8BN_Fold_Mean</t>
  </si>
  <si>
    <t>8BN_Fold_Median</t>
  </si>
  <si>
    <t>8BN_One_Acc</t>
  </si>
  <si>
    <t>8V_Fold_Mean</t>
  </si>
  <si>
    <t>8V_Fold_Median</t>
  </si>
  <si>
    <t>8V_One_Acc</t>
  </si>
  <si>
    <t>8VB_Fold_Mean</t>
  </si>
  <si>
    <t>8VB_Fold_Median</t>
  </si>
  <si>
    <t>8VB_One_Acc</t>
  </si>
  <si>
    <t>10B_Fold_Mean</t>
  </si>
  <si>
    <t>10B_Fold_Median</t>
  </si>
  <si>
    <t>10B_One_Acc</t>
  </si>
  <si>
    <t>10BN_Fold_Mean</t>
  </si>
  <si>
    <t>10BN_Fold_Median</t>
  </si>
  <si>
    <t>10BN_One_Acc</t>
  </si>
  <si>
    <t>10V_Fold_Mean</t>
  </si>
  <si>
    <t>10V_Fold_Median</t>
  </si>
  <si>
    <t>10V_One_Acc</t>
  </si>
  <si>
    <t>10VB_Fold_Mean</t>
  </si>
  <si>
    <t>10VB_Fold_Median</t>
  </si>
  <si>
    <t>10VB_One_Acc</t>
  </si>
  <si>
    <t>12B_Fold_Mean</t>
  </si>
  <si>
    <t>12B_Fold_Median</t>
  </si>
  <si>
    <t>12B_One_Acc</t>
  </si>
  <si>
    <t>12BN_Fold_Mean</t>
  </si>
  <si>
    <t>12BN_Fold_Median</t>
  </si>
  <si>
    <t>12BN_One_Acc</t>
  </si>
  <si>
    <t>12V_Fold_Mean</t>
  </si>
  <si>
    <t>12V_Fold_Median</t>
  </si>
  <si>
    <t>12V_One_Acc</t>
  </si>
  <si>
    <t>12VB_Fold_Mean</t>
  </si>
  <si>
    <t>12VB_Fold_Median</t>
  </si>
  <si>
    <t>12VB_One_Acc</t>
  </si>
  <si>
    <t>20B_Fold_Mean</t>
  </si>
  <si>
    <t>20B_Fold_Median</t>
  </si>
  <si>
    <t>20B_One_Acc</t>
  </si>
  <si>
    <t>20V_Fold_Mean</t>
  </si>
  <si>
    <t>20V_Fold_Median</t>
  </si>
  <si>
    <t>20V_One_Acc</t>
  </si>
  <si>
    <t>De_Fold_Mean</t>
  </si>
  <si>
    <t>De_Fold_Median</t>
  </si>
  <si>
    <t>De_One_Acc</t>
  </si>
  <si>
    <t>Melhor Modelo</t>
  </si>
  <si>
    <t>Diferença Com PlottingTime</t>
  </si>
  <si>
    <t>Group</t>
  </si>
  <si>
    <t>Group 1</t>
  </si>
  <si>
    <t>Group 2</t>
  </si>
  <si>
    <t>Group 3</t>
  </si>
  <si>
    <t>ACSF1</t>
  </si>
  <si>
    <t>NaN</t>
  </si>
  <si>
    <t>Valores positivos:</t>
  </si>
  <si>
    <t>Valores negativos:</t>
  </si>
  <si>
    <t>Functions:</t>
  </si>
  <si>
    <t>Adiac</t>
  </si>
  <si>
    <t>"=INDEX($B$1:$I$1;0;MATCH(MAX(B3:I3);B3:I3;0))"</t>
  </si>
  <si>
    <t>ArrowHead</t>
  </si>
  <si>
    <t>"=INDEX(OFFSET($B$1:$AU$1;0;1);0;MATCH(MAXIFS(B3:AU3;B3:AU3;"&gt;=0");B3:AU3;0))"</t>
  </si>
  <si>
    <t>Beef</t>
  </si>
  <si>
    <t>"=IF(ISNUMBER(B3);B3;-1)"</t>
  </si>
  <si>
    <t>BeetleFly</t>
  </si>
  <si>
    <t>"=INDEX($B$2:$AW$2;0;MATCH(MAX(B3:AW3);B3:AW3;0))"</t>
  </si>
  <si>
    <t>BirdChicken</t>
  </si>
  <si>
    <t>BME</t>
  </si>
  <si>
    <t>Car</t>
  </si>
  <si>
    <t>Possíveis analises:</t>
  </si>
  <si>
    <t>CBF</t>
  </si>
  <si>
    <t>Comparar entre os meus resultados e perceber se,</t>
  </si>
  <si>
    <t>Chinatown</t>
  </si>
  <si>
    <t>- a length dos datasets, influencia quantos plots precisamos de mostrar +/-</t>
  </si>
  <si>
    <t>ChlorineConcentration</t>
  </si>
  <si>
    <t>- ver quais os melhores para cada dataset e perceber porque, length, n classes, etc,</t>
  </si>
  <si>
    <t>CinCECGTorso</t>
  </si>
  <si>
    <t>Comparar entre os meus resultados, e os outros modelos como BOSS, etc,, sem e com o plotting time</t>
  </si>
  <si>
    <t>Coffee</t>
  </si>
  <si>
    <t>Computers</t>
  </si>
  <si>
    <t>Crop</t>
  </si>
  <si>
    <t>DiatomSizeReduction</t>
  </si>
  <si>
    <t>DistalPhalanxOutlineAgeGroup</t>
  </si>
  <si>
    <t>DistalPhalanxOutlineCorrect</t>
  </si>
  <si>
    <t>DistalPhalanxTW</t>
  </si>
  <si>
    <t>Earthquakes</t>
  </si>
  <si>
    <t>ECG200</t>
  </si>
  <si>
    <t>ECG5000</t>
  </si>
  <si>
    <t>ECGFiveDays</t>
  </si>
  <si>
    <t>ElectricDevices</t>
  </si>
  <si>
    <t>EthanolLevel</t>
  </si>
  <si>
    <t>FaceAll</t>
  </si>
  <si>
    <t>FaceFour</t>
  </si>
  <si>
    <t>FacesUCR</t>
  </si>
  <si>
    <t>FiftyWords</t>
  </si>
  <si>
    <t>Fish</t>
  </si>
  <si>
    <t>FordA</t>
  </si>
  <si>
    <t>FordB (Falta este dataset na média)</t>
  </si>
  <si>
    <t>FreezerRegularTrain</t>
  </si>
  <si>
    <t>FreezerSmallTrain</t>
  </si>
  <si>
    <t>GunPoint</t>
  </si>
  <si>
    <t>GunPointAgeSpan</t>
  </si>
  <si>
    <t>GunPointMaleVersusFemale</t>
  </si>
  <si>
    <t>GunPointOldVersusYoung</t>
  </si>
  <si>
    <t>Ham</t>
  </si>
  <si>
    <t>Haptics</t>
  </si>
  <si>
    <t>Herring</t>
  </si>
  <si>
    <t>HouseTwenty</t>
  </si>
  <si>
    <t>InlineSkate</t>
  </si>
  <si>
    <t>InsectEPGRegularTrain</t>
  </si>
  <si>
    <t>InsectEPGSmallTrain</t>
  </si>
  <si>
    <t>ItalyPowerDemand</t>
  </si>
  <si>
    <t>LargeKitchenAppliances</t>
  </si>
  <si>
    <t>Lightning2</t>
  </si>
  <si>
    <t>Lightning7</t>
  </si>
  <si>
    <t>Mallat</t>
  </si>
  <si>
    <t>Meat</t>
  </si>
  <si>
    <t>MedicalImages</t>
  </si>
  <si>
    <t>MiddlePhalanxOutlineAgeGroup</t>
  </si>
  <si>
    <t>MiddlePhalanxOutlineCorrect</t>
  </si>
  <si>
    <t>MiddlePhalanxTW</t>
  </si>
  <si>
    <t>MixedShapesRegularTrain</t>
  </si>
  <si>
    <t>MixedShapesSmallTrain</t>
  </si>
  <si>
    <t>MoteStrain</t>
  </si>
  <si>
    <t>OliveOil</t>
  </si>
  <si>
    <t>OSULeaf</t>
  </si>
  <si>
    <t>PhalangesOutlinesCorrect</t>
  </si>
  <si>
    <t>Phoneme</t>
  </si>
  <si>
    <t>PigAirwayPressure</t>
  </si>
  <si>
    <t>PigArtPressure</t>
  </si>
  <si>
    <t>PigCVP</t>
  </si>
  <si>
    <t>Plane</t>
  </si>
  <si>
    <t>ProximalPhalanxOutlineAgeGroup</t>
  </si>
  <si>
    <t>ProximalPhalanxOutlineCorrect</t>
  </si>
  <si>
    <t>ProximalPhalanxTW</t>
  </si>
  <si>
    <t>Rock</t>
  </si>
  <si>
    <t>ScreenType</t>
  </si>
  <si>
    <t>SemgHandGenderCh2</t>
  </si>
  <si>
    <t>SemgHandMovementCh2</t>
  </si>
  <si>
    <t>SemgHandSubjectCh2</t>
  </si>
  <si>
    <t>ShapeletSim</t>
  </si>
  <si>
    <t>ShapesAll</t>
  </si>
  <si>
    <t>SmallKitchenAppliances</t>
  </si>
  <si>
    <t>SmoothSubspace</t>
  </si>
  <si>
    <t>SonyAIBORobotSurface1</t>
  </si>
  <si>
    <t>SonyAIBORobotSurface2</t>
  </si>
  <si>
    <t>StarLightCurves</t>
  </si>
  <si>
    <t>Strawberry</t>
  </si>
  <si>
    <t>SwedishLeaf</t>
  </si>
  <si>
    <t>Symbols</t>
  </si>
  <si>
    <t>SyntheticControl</t>
  </si>
  <si>
    <t>ToeSegmentation1</t>
  </si>
  <si>
    <t>ToeSegmentation2</t>
  </si>
  <si>
    <t>Trace</t>
  </si>
  <si>
    <t>TwoLeadECG</t>
  </si>
  <si>
    <t>TwoPatterns</t>
  </si>
  <si>
    <t>UMD</t>
  </si>
  <si>
    <t>UWaveGestureLibraryAll</t>
  </si>
  <si>
    <t>Wafer</t>
  </si>
  <si>
    <t>Wine</t>
  </si>
  <si>
    <t>WordSynonyms</t>
  </si>
  <si>
    <t>Worms</t>
  </si>
  <si>
    <t>WormsTwoClass</t>
  </si>
  <si>
    <t>Yoga</t>
  </si>
  <si>
    <t>TS-CHIEF</t>
  </si>
  <si>
    <t>HIVE-COTE v1,0</t>
  </si>
  <si>
    <t>ROCKET</t>
  </si>
  <si>
    <t>InceptionTime</t>
  </si>
  <si>
    <t>STC</t>
  </si>
  <si>
    <t>ResNet</t>
  </si>
  <si>
    <t>ProximityForest</t>
  </si>
  <si>
    <t>WEASEL</t>
  </si>
  <si>
    <t>S-BOSS</t>
  </si>
  <si>
    <t>cBOSS</t>
  </si>
  <si>
    <t>BOSS</t>
  </si>
  <si>
    <t>RISE</t>
  </si>
  <si>
    <t>TSF</t>
  </si>
  <si>
    <t>Catch22</t>
  </si>
  <si>
    <t>2nd:</t>
  </si>
  <si>
    <t>3rd:</t>
  </si>
  <si>
    <t>Nan</t>
  </si>
  <si>
    <t>Length:</t>
  </si>
  <si>
    <t>1st</t>
  </si>
  <si>
    <t>2nd</t>
  </si>
  <si>
    <t>3rd</t>
  </si>
  <si>
    <t>Total:</t>
  </si>
  <si>
    <t>DeepInsight:</t>
  </si>
  <si>
    <t>ViolinPlot:</t>
  </si>
  <si>
    <t>BoxPlots:</t>
  </si>
  <si>
    <t>Datasets:</t>
  </si>
  <si>
    <t>Under 100:</t>
  </si>
  <si>
    <t>Between 100&lt;-&gt;=200:</t>
  </si>
  <si>
    <t>Between 200&lt;-&gt;500:</t>
  </si>
  <si>
    <t>Between 500=&lt;-&gt;1000:</t>
  </si>
  <si>
    <t>Over 1000:</t>
  </si>
  <si>
    <t>Boxplots</t>
  </si>
  <si>
    <t>Violinplots</t>
  </si>
  <si>
    <t>Under 100</t>
  </si>
  <si>
    <t>100 - 200</t>
  </si>
  <si>
    <t>200 - 500</t>
  </si>
  <si>
    <t>500 - 1000</t>
  </si>
  <si>
    <t>Over 1000</t>
  </si>
  <si>
    <t>Box Plots</t>
  </si>
  <si>
    <t>Violin Plots</t>
  </si>
  <si>
    <t>Classes:</t>
  </si>
  <si>
    <t>NrClasses:</t>
  </si>
  <si>
    <t>Equal to 2</t>
  </si>
  <si>
    <t>3 - 5</t>
  </si>
  <si>
    <t>5 - 10</t>
  </si>
  <si>
    <t>10 - 30</t>
  </si>
  <si>
    <t>Over 30</t>
  </si>
  <si>
    <t>Dividr o numero pelo total para obter a proporção</t>
  </si>
  <si>
    <t>Equal 2:</t>
  </si>
  <si>
    <t>Between 3=&lt;-&gt;=5:</t>
  </si>
  <si>
    <t>Between 5&lt;-&gt;=10:</t>
  </si>
  <si>
    <t>Between 10&lt;-&gt;30:</t>
  </si>
  <si>
    <t>Over 30:</t>
  </si>
  <si>
    <t>NOTE: WILL IGNORE DEEP INSIGHT RESULTS:</t>
  </si>
  <si>
    <t>Plots:</t>
  </si>
  <si>
    <t>5 plots</t>
  </si>
  <si>
    <t>8 plots</t>
  </si>
  <si>
    <t>10 plots</t>
  </si>
  <si>
    <t>12 plots</t>
  </si>
  <si>
    <t>20 plots</t>
  </si>
  <si>
    <t>5 plots:</t>
  </si>
  <si>
    <t>8 plots:</t>
  </si>
  <si>
    <t>10 plots:</t>
  </si>
  <si>
    <t>12 plots:</t>
  </si>
  <si>
    <t>20 plots:</t>
  </si>
  <si>
    <t>5Bo_Fold_Mean</t>
  </si>
  <si>
    <t>5Bo_Fold_Median</t>
  </si>
  <si>
    <t>5Bo_One_Acc</t>
  </si>
  <si>
    <t>5BoN_Fold_Mean</t>
  </si>
  <si>
    <t>5BoN_Fold_Median</t>
  </si>
  <si>
    <t>5BoN_One_Acc</t>
  </si>
  <si>
    <t>8Bo_Fold_Mean</t>
  </si>
  <si>
    <t>8Bo_Fold_Median</t>
  </si>
  <si>
    <t>8Bo_One_Acc</t>
  </si>
  <si>
    <t>8BoN_Fold_Mean</t>
  </si>
  <si>
    <t>8BoN_Fold_Median</t>
  </si>
  <si>
    <t>8BoN_One_Acc</t>
  </si>
  <si>
    <t>10Bo_Fold_Mean</t>
  </si>
  <si>
    <t>10Bo_Fold_Median</t>
  </si>
  <si>
    <t>10Bo_One_Acc</t>
  </si>
  <si>
    <t>10BoN_Fold_Mean</t>
  </si>
  <si>
    <t>10BoN_Fold_Median</t>
  </si>
  <si>
    <t>10BoN_One_Acc</t>
  </si>
  <si>
    <t>12Bo_Fold_Mean</t>
  </si>
  <si>
    <t>12Bo_Fold_Median</t>
  </si>
  <si>
    <t>12Bo_One_Acc</t>
  </si>
  <si>
    <t>12BoN_Fold_Mean</t>
  </si>
  <si>
    <t>12BoN_Fold_Median</t>
  </si>
  <si>
    <t>12BoN_One_Acc</t>
  </si>
  <si>
    <t>20Bo_Fold_Mean</t>
  </si>
  <si>
    <t>20Bo_Fold_Median</t>
  </si>
  <si>
    <t>20Bo_One_Acc</t>
  </si>
  <si>
    <t>BoxPlots no fliers</t>
  </si>
  <si>
    <t>Box Plots w/o Outliers</t>
  </si>
  <si>
    <t>Correlation:</t>
  </si>
  <si>
    <t>Plots</t>
  </si>
  <si>
    <t>Length</t>
  </si>
  <si>
    <t>NrClasses</t>
  </si>
  <si>
    <t>CCUIDADO, apra este segundo grafico tenho que por os valores dos 20 a NAN</t>
  </si>
  <si>
    <t>Violin Plots empty</t>
  </si>
  <si>
    <t>Violin Plots with box</t>
  </si>
  <si>
    <t>Violin Plots Empty</t>
  </si>
  <si>
    <t>Violin Plots with Boxplots</t>
  </si>
  <si>
    <t>Type:</t>
  </si>
  <si>
    <t>DEVICE</t>
  </si>
  <si>
    <t>IMAGE</t>
  </si>
  <si>
    <t>TODO: FALTA NrClasses vs Length. E Falta Plots vs Length</t>
  </si>
  <si>
    <t>SPECTRO</t>
  </si>
  <si>
    <t>SIMULATED</t>
  </si>
  <si>
    <t>Sum:</t>
  </si>
  <si>
    <t>SENSOR</t>
  </si>
  <si>
    <t>Traffic</t>
  </si>
  <si>
    <t>ECG</t>
  </si>
  <si>
    <t>Type</t>
  </si>
  <si>
    <t>EPG</t>
  </si>
  <si>
    <t>HEMODYNAMICS</t>
  </si>
  <si>
    <t>MOTION</t>
  </si>
  <si>
    <t>SOUND</t>
  </si>
  <si>
    <t>COUNTIF(X14:X112;"&lt;=100")</t>
  </si>
  <si>
    <t>COUNTIFS(X14:X112;"&gt;100";X14:X112;"&lt;=200")</t>
  </si>
  <si>
    <t>COUNTIFS(X14:X112;"&gt;200";X14:X112;"&lt;500")</t>
  </si>
  <si>
    <t>COUNTIFS(X14:X112;"&gt;=500";X14:X112;"&lt;1000")</t>
  </si>
  <si>
    <t>COUNTIF(X14:X112;"&gt;=1000")</t>
  </si>
  <si>
    <t>ROWS(IF(AND("*V*"=BI3:BI101;B3:B101&lt;=2);ROW();""))</t>
  </si>
  <si>
    <t>Mean</t>
  </si>
  <si>
    <t>Meadian</t>
  </si>
  <si>
    <t>#N/A</t>
  </si>
  <si>
    <t>NAO SEI SE VOU USAR ESTE GRAFICO</t>
  </si>
  <si>
    <t>Dataset</t>
  </si>
  <si>
    <t>Train Size</t>
  </si>
  <si>
    <t>Test Size</t>
  </si>
  <si>
    <t>No. of Classes</t>
  </si>
  <si>
    <t>All Train Images:</t>
  </si>
  <si>
    <t>All Test Images:</t>
  </si>
  <si>
    <t>Total Images:</t>
  </si>
  <si>
    <r>
      <rPr>
        <rFont val="Arial"/>
        <color theme="1"/>
        <sz val="10.0"/>
      </rPr>
      <t xml:space="preserve">Time it takes to convert all images to boxplots if </t>
    </r>
    <r>
      <rPr>
        <rFont val="Arial"/>
        <b/>
        <color theme="1"/>
        <sz val="10.0"/>
      </rPr>
      <t>0.4 sec</t>
    </r>
    <r>
      <rPr>
        <rFont val="Arial"/>
        <color theme="1"/>
        <sz val="10.0"/>
      </rPr>
      <t xml:space="preserve"> each:</t>
    </r>
  </si>
  <si>
    <t>Seconds:</t>
  </si>
  <si>
    <t>Minutes:</t>
  </si>
  <si>
    <t>Hours:</t>
  </si>
  <si>
    <r>
      <rPr>
        <rFont val="Arial"/>
        <color theme="1"/>
        <sz val="10.0"/>
      </rPr>
      <t xml:space="preserve">Space it takes to convert all images to boxplots if </t>
    </r>
    <r>
      <rPr>
        <rFont val="Arial"/>
        <b/>
        <color theme="1"/>
        <sz val="10.0"/>
      </rPr>
      <t>6 KB</t>
    </r>
    <r>
      <rPr>
        <rFont val="Arial"/>
        <color theme="1"/>
        <sz val="10.0"/>
      </rPr>
      <t xml:space="preserve"> each:</t>
    </r>
  </si>
  <si>
    <t>CinCECGtorso</t>
  </si>
  <si>
    <t>KB:</t>
  </si>
  <si>
    <t>MB:</t>
  </si>
  <si>
    <t>GB:</t>
  </si>
  <si>
    <t>FordB</t>
  </si>
  <si>
    <t>MixedShapes</t>
  </si>
  <si>
    <t>RefrigerationDevices</t>
  </si>
  <si>
    <t>StarlightCurves</t>
  </si>
  <si>
    <t>5_B</t>
  </si>
  <si>
    <t>5Bo_One</t>
  </si>
  <si>
    <t>5_B_N</t>
  </si>
  <si>
    <t>5BoN_One</t>
  </si>
  <si>
    <t>5_V</t>
  </si>
  <si>
    <t>5V_One</t>
  </si>
  <si>
    <t>5_V_B</t>
  </si>
  <si>
    <t>5VB_One</t>
  </si>
  <si>
    <t>8_B</t>
  </si>
  <si>
    <t>8Bo_One</t>
  </si>
  <si>
    <t>8_B_N</t>
  </si>
  <si>
    <t>8BoN_One</t>
  </si>
  <si>
    <t>8_V</t>
  </si>
  <si>
    <t>8V_One</t>
  </si>
  <si>
    <t>8_V_B</t>
  </si>
  <si>
    <t>8VB_One</t>
  </si>
  <si>
    <t>10_B</t>
  </si>
  <si>
    <t>10Bo_One</t>
  </si>
  <si>
    <t>10_B_N</t>
  </si>
  <si>
    <t>10BoN_One</t>
  </si>
  <si>
    <t>10_V</t>
  </si>
  <si>
    <t>10V_One</t>
  </si>
  <si>
    <t>10_V_B</t>
  </si>
  <si>
    <t>10VB_One</t>
  </si>
  <si>
    <t>12_B</t>
  </si>
  <si>
    <t>12Bo_One</t>
  </si>
  <si>
    <t>12_B_N</t>
  </si>
  <si>
    <t>12BoN_One</t>
  </si>
  <si>
    <t>12_V</t>
  </si>
  <si>
    <t>12V_One</t>
  </si>
  <si>
    <t>12_V_B</t>
  </si>
  <si>
    <t>12VB_One</t>
  </si>
  <si>
    <t>20_B</t>
  </si>
  <si>
    <t>20Bo_One</t>
  </si>
  <si>
    <t>20_V</t>
  </si>
  <si>
    <t>20V_One</t>
  </si>
  <si>
    <t>De</t>
  </si>
  <si>
    <t>De_One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</si>
</sst>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00"/>
    <numFmt numFmtId="165" formatCode="0.000"/>
  </numFmts>
  <fonts count="14">
    <font>
      <sz val="10.0"/>
      <color rgb="FF000000"/>
      <name val="Arial"/>
      <scheme val="minor"/>
    </font>
    <font>
      <sz val="10.0"/>
      <color theme="1"/>
      <name val="Arial"/>
    </font>
    <font>
      <sz val="11.0"/>
      <color rgb="FF000000"/>
      <name val="Calibri"/>
    </font>
    <font>
      <sz val="10.0"/>
      <color rgb="FF000000"/>
      <name val="Arial"/>
    </font>
    <font>
      <sz val="11.0"/>
      <color rgb="FF000000"/>
      <name val="Inconsolata"/>
    </font>
    <font>
      <sz val="11.0"/>
      <color rgb="FF525066"/>
      <name val="Monospace"/>
    </font>
    <font>
      <sz val="11.0"/>
      <color rgb="FF212529"/>
      <name val="-apple-system"/>
    </font>
    <font>
      <sz val="11.0"/>
      <color rgb="FF333333"/>
      <name val="Helvetica Neue"/>
    </font>
    <font>
      <sz val="11.0"/>
      <color theme="1"/>
      <name val="Inconsolata"/>
    </font>
    <font/>
    <font>
      <sz val="11.0"/>
      <color theme="1"/>
      <name val="Calibri"/>
    </font>
    <font>
      <color theme="1"/>
      <name val="Arial"/>
    </font>
    <font>
      <b/>
      <sz val="11.0"/>
      <color rgb="FF333333"/>
      <name val="Helvetica Neue"/>
    </font>
    <font>
      <b/>
      <sz val="10.0"/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1F1F1"/>
        <bgColor rgb="FFF1F1F1"/>
      </patternFill>
    </fill>
    <fill>
      <patternFill patternType="solid">
        <fgColor rgb="FFB7E1CD"/>
        <bgColor rgb="FFB7E1CD"/>
      </patternFill>
    </fill>
    <fill>
      <patternFill patternType="solid">
        <fgColor theme="0"/>
        <bgColor theme="0"/>
      </patternFill>
    </fill>
    <fill>
      <patternFill patternType="solid">
        <fgColor rgb="FFF9CB9C"/>
        <bgColor rgb="FFF9CB9C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F0F8FF"/>
        <bgColor rgb="FFF0F8FF"/>
      </patternFill>
    </fill>
    <fill>
      <patternFill patternType="solid">
        <fgColor rgb="FFF5F5F5"/>
        <bgColor rgb="FFF5F5F5"/>
      </patternFill>
    </fill>
  </fills>
  <borders count="5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top/>
      <bottom/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/>
    </xf>
    <xf borderId="0" fillId="0" fontId="1" numFmtId="0" xfId="0" applyAlignment="1" applyFont="1">
      <alignment horizontal="center"/>
    </xf>
    <xf borderId="1" fillId="2" fontId="3" numFmtId="0" xfId="0" applyAlignment="1" applyBorder="1" applyFill="1" applyFont="1">
      <alignment horizontal="left"/>
    </xf>
    <xf borderId="1" fillId="2" fontId="1" numFmtId="0" xfId="0" applyBorder="1" applyFont="1"/>
    <xf borderId="1" fillId="2" fontId="4" numFmtId="0" xfId="0" applyBorder="1" applyFont="1"/>
    <xf borderId="0" fillId="0" fontId="1" numFmtId="164" xfId="0" applyAlignment="1" applyFont="1" applyNumberFormat="1">
      <alignment horizontal="right"/>
    </xf>
    <xf borderId="0" fillId="0" fontId="1" numFmtId="4" xfId="0" applyAlignment="1" applyFont="1" applyNumberFormat="1">
      <alignment horizontal="right"/>
    </xf>
    <xf borderId="0" fillId="0" fontId="2" numFmtId="0" xfId="0" applyAlignment="1" applyFont="1">
      <alignment horizontal="right"/>
    </xf>
    <xf borderId="0" fillId="0" fontId="2" numFmtId="0" xfId="0" applyFont="1"/>
    <xf borderId="1" fillId="2" fontId="4" numFmtId="164" xfId="0" applyBorder="1" applyFont="1" applyNumberFormat="1"/>
    <xf borderId="1" fillId="3" fontId="5" numFmtId="0" xfId="0" applyBorder="1" applyFill="1" applyFont="1"/>
    <xf borderId="1" fillId="2" fontId="6" numFmtId="0" xfId="0" applyAlignment="1" applyBorder="1" applyFont="1">
      <alignment horizontal="left"/>
    </xf>
    <xf borderId="1" fillId="4" fontId="1" numFmtId="0" xfId="0" applyBorder="1" applyFill="1" applyFont="1"/>
    <xf borderId="1" fillId="5" fontId="1" numFmtId="0" xfId="0" applyBorder="1" applyFill="1" applyFont="1"/>
    <xf borderId="0" fillId="0" fontId="1" numFmtId="2" xfId="0" applyAlignment="1" applyFont="1" applyNumberFormat="1">
      <alignment horizontal="right"/>
    </xf>
    <xf borderId="1" fillId="5" fontId="7" numFmtId="0" xfId="0" applyAlignment="1" applyBorder="1" applyFont="1">
      <alignment vertical="top"/>
    </xf>
    <xf borderId="2" fillId="2" fontId="4" numFmtId="0" xfId="0" applyBorder="1" applyFont="1"/>
    <xf borderId="2" fillId="0" fontId="1" numFmtId="0" xfId="0" applyBorder="1" applyFont="1"/>
    <xf borderId="1" fillId="2" fontId="8" numFmtId="0" xfId="0" applyBorder="1" applyFont="1"/>
    <xf borderId="2" fillId="6" fontId="4" numFmtId="0" xfId="0" applyBorder="1" applyFill="1" applyFont="1"/>
    <xf borderId="2" fillId="7" fontId="4" numFmtId="0" xfId="0" applyBorder="1" applyFill="1" applyFont="1"/>
    <xf borderId="2" fillId="8" fontId="4" numFmtId="0" xfId="0" applyBorder="1" applyFill="1" applyFont="1"/>
    <xf borderId="1" fillId="5" fontId="4" numFmtId="0" xfId="0" applyBorder="1" applyFont="1"/>
    <xf borderId="1" fillId="5" fontId="7" numFmtId="0" xfId="0" applyAlignment="1" applyBorder="1" applyFont="1">
      <alignment horizontal="left" vertical="top"/>
    </xf>
    <xf borderId="1" fillId="2" fontId="4" numFmtId="0" xfId="0" applyAlignment="1" applyBorder="1" applyFont="1">
      <alignment horizontal="left"/>
    </xf>
    <xf borderId="3" fillId="2" fontId="4" numFmtId="0" xfId="0" applyBorder="1" applyFont="1"/>
    <xf borderId="4" fillId="0" fontId="9" numFmtId="0" xfId="0" applyBorder="1" applyFont="1"/>
    <xf borderId="1" fillId="2" fontId="4" numFmtId="0" xfId="0" applyAlignment="1" applyBorder="1" applyFont="1">
      <alignment horizontal="right"/>
    </xf>
    <xf borderId="0" fillId="0" fontId="10" numFmtId="0" xfId="0" applyAlignment="1" applyFont="1">
      <alignment horizontal="right"/>
    </xf>
    <xf borderId="0" fillId="0" fontId="10" numFmtId="0" xfId="0" applyFont="1"/>
    <xf borderId="0" fillId="0" fontId="11" numFmtId="0" xfId="0" applyFont="1"/>
    <xf borderId="0" fillId="2" fontId="4" numFmtId="0" xfId="0" applyFont="1"/>
    <xf borderId="1" fillId="9" fontId="12" numFmtId="0" xfId="0" applyAlignment="1" applyBorder="1" applyFill="1" applyFont="1">
      <alignment horizontal="left" vertical="top"/>
    </xf>
    <xf borderId="1" fillId="9" fontId="7" numFmtId="0" xfId="0" applyAlignment="1" applyBorder="1" applyFont="1">
      <alignment vertical="top"/>
    </xf>
    <xf borderId="0" fillId="0" fontId="13" numFmtId="0" xfId="0" applyFont="1"/>
    <xf borderId="1" fillId="10" fontId="7" numFmtId="0" xfId="0" applyAlignment="1" applyBorder="1" applyFill="1" applyFont="1">
      <alignment vertical="top"/>
    </xf>
    <xf borderId="0" fillId="0" fontId="2" numFmtId="1" xfId="0" applyAlignment="1" applyFont="1" applyNumberFormat="1">
      <alignment horizontal="right"/>
    </xf>
    <xf borderId="0" fillId="0" fontId="2" numFmtId="165" xfId="0" applyAlignment="1" applyFont="1" applyNumberFormat="1">
      <alignment horizontal="right"/>
    </xf>
    <xf borderId="0" fillId="0" fontId="1" numFmtId="0" xfId="0" applyAlignment="1" applyFont="1">
      <alignment horizontal="right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>
        <color theme="1"/>
      </font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customschemas.google.com/relationships/workbookmetadata" Target="metadata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v>Worse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'All-Results'!$BP$3:$BP$100</c:f>
            </c:numRef>
          </c:xVal>
          <c:yVal>
            <c:numRef>
              <c:f>'All-Results'!$BQ$3:$BQ$100</c:f>
              <c:numCache/>
            </c:numRef>
          </c:yVal>
        </c:ser>
        <c:ser>
          <c:idx val="1"/>
          <c:order val="1"/>
          <c:tx>
            <c:v>Better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3D563"/>
              </a:solidFill>
              <a:ln cmpd="sng">
                <a:solidFill>
                  <a:srgbClr val="63D563"/>
                </a:solidFill>
              </a:ln>
            </c:spPr>
          </c:marker>
          <c:xVal>
            <c:numRef>
              <c:f>'All-Results'!$BP$3:$BP$100</c:f>
            </c:numRef>
          </c:xVal>
          <c:yVal>
            <c:numRef>
              <c:f>'All-Results'!$BR$3:$BR$100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481435"/>
        <c:axId val="1386274807"/>
      </c:scatterChart>
      <c:valAx>
        <c:axId val="4414814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86274807"/>
      </c:valAx>
      <c:valAx>
        <c:axId val="1386274807"/>
        <c:scaling>
          <c:orientation val="minMax"/>
          <c:max val="0.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Arial"/>
                  </a:rPr>
                  <a:t>Our minus Plotting Time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+mn-lt"/>
              </a:defRPr>
            </a:pPr>
          </a:p>
        </c:txPr>
        <c:crossAx val="441481435"/>
      </c:valAx>
    </c:plotArea>
    <c:legend>
      <c:legendPos val="t"/>
      <c:overlay val="0"/>
      <c:txPr>
        <a:bodyPr/>
        <a:lstStyle/>
        <a:p>
          <a:pPr lvl="0">
            <a:defRPr b="0" i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'One-Results&lt;-&gt;Length'!$BN$8:$BR$8</c:f>
            </c:strRef>
          </c:cat>
          <c:val>
            <c:numRef>
              <c:f>'One-Results&lt;-&gt;Length'!$BN$9:$BR$9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'One-Results&lt;-&gt;Length'!$BN$8:$BR$8</c:f>
            </c:strRef>
          </c:cat>
          <c:val>
            <c:numRef>
              <c:f>'One-Results&lt;-&gt;Length'!$BN$10:$BR$10</c:f>
              <c:numCache/>
            </c:numRef>
          </c:val>
        </c:ser>
        <c:ser>
          <c:idx val="2"/>
          <c:order val="2"/>
          <c:tx>
            <c:v>DeepInsight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'One-Results&lt;-&gt;Length'!$BN$8:$BR$8</c:f>
            </c:strRef>
          </c:cat>
          <c:val>
            <c:numRef>
              <c:f>'One-Results&lt;-&gt;Length'!$BN$11:$BR$11</c:f>
              <c:numCache/>
            </c:numRef>
          </c:val>
        </c:ser>
        <c:axId val="319995250"/>
        <c:axId val="439114791"/>
      </c:barChart>
      <c:catAx>
        <c:axId val="3199952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Time Series 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439114791"/>
      </c:catAx>
      <c:valAx>
        <c:axId val="4391147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layout>
            <c:manualLayout>
              <c:xMode val="edge"/>
              <c:yMode val="edge"/>
              <c:x val="0.034249999999999996"/>
              <c:y val="0.1183737646001796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319995250"/>
      </c:valAx>
    </c:plotArea>
    <c:legend>
      <c:legendPos val="t"/>
      <c:legendEntry>
        <c:idx val="0"/>
        <c:txPr>
          <a:bodyPr/>
          <a:lstStyle/>
          <a:p>
            <a:pPr lvl="0">
              <a:defRPr b="1" i="0" sz="1800"/>
            </a:pPr>
          </a:p>
        </c:txPr>
      </c:legendEntry>
      <c:legendEntry>
        <c:idx val="1"/>
        <c:txPr>
          <a:bodyPr/>
          <a:lstStyle/>
          <a:p>
            <a:pPr lvl="0">
              <a:defRPr b="1" i="0" sz="1800"/>
            </a:pPr>
          </a:p>
        </c:txPr>
      </c:legendEntry>
      <c:legendEntry>
        <c:idx val="2"/>
        <c:txPr>
          <a:bodyPr/>
          <a:lstStyle/>
          <a:p>
            <a:pPr lvl="0">
              <a:defRPr b="1" i="0" sz="1800"/>
            </a:pPr>
          </a:p>
        </c:txPr>
      </c:legendEntry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'One-Results&lt;-&gt;NrClasses'!$BN$8:$BR$8</c:f>
            </c:strRef>
          </c:cat>
          <c:val>
            <c:numRef>
              <c:f>'One-Results&lt;-&gt;NrClasses'!$BN$9:$BR$9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'One-Results&lt;-&gt;NrClasses'!$BN$8:$BR$8</c:f>
            </c:strRef>
          </c:cat>
          <c:val>
            <c:numRef>
              <c:f>'One-Results&lt;-&gt;NrClasses'!$BN$10:$BR$10</c:f>
              <c:numCache/>
            </c:numRef>
          </c:val>
        </c:ser>
        <c:ser>
          <c:idx val="2"/>
          <c:order val="2"/>
          <c:tx>
            <c:v>DeepInsight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'One-Results&lt;-&gt;NrClasses'!$BN$8:$BR$8</c:f>
            </c:strRef>
          </c:cat>
          <c:val>
            <c:numRef>
              <c:f>'One-Results&lt;-&gt;NrClasses'!$BN$11:$BR$11</c:f>
              <c:numCache/>
            </c:numRef>
          </c:val>
        </c:ser>
        <c:axId val="221979714"/>
        <c:axId val="2145587550"/>
      </c:barChart>
      <c:catAx>
        <c:axId val="2219797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Classes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2145587550"/>
      </c:catAx>
      <c:valAx>
        <c:axId val="21455875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221979714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'One-Results&lt;-&gt;NrClasses'!$BV$8:$BZ$8</c:f>
            </c:strRef>
          </c:cat>
          <c:val>
            <c:numRef>
              <c:f>'One-Results&lt;-&gt;NrClasses'!$BV$9:$BZ$9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'One-Results&lt;-&gt;NrClasses'!$BV$8:$BZ$8</c:f>
            </c:strRef>
          </c:cat>
          <c:val>
            <c:numRef>
              <c:f>'One-Results&lt;-&gt;NrClasses'!$BV$10:$BZ$10</c:f>
              <c:numCache/>
            </c:numRef>
          </c:val>
        </c:ser>
        <c:ser>
          <c:idx val="2"/>
          <c:order val="2"/>
          <c:tx>
            <c:v>DeepInsight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'One-Results&lt;-&gt;NrClasses'!$BV$8:$BZ$8</c:f>
            </c:strRef>
          </c:cat>
          <c:val>
            <c:numRef>
              <c:f>'One-Results&lt;-&gt;NrClasses'!$BV$11:$BZ$11</c:f>
              <c:numCache/>
            </c:numRef>
          </c:val>
        </c:ser>
        <c:axId val="943155594"/>
        <c:axId val="431482606"/>
      </c:barChart>
      <c:catAx>
        <c:axId val="9431555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Classes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431482606"/>
      </c:catAx>
      <c:valAx>
        <c:axId val="4314826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%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943155594"/>
      </c:valAx>
    </c:plotArea>
    <c:legend>
      <c:legendPos val="t"/>
      <c:legendEntry>
        <c:idx val="1"/>
        <c:txPr>
          <a:bodyPr/>
          <a:lstStyle/>
          <a:p>
            <a:pPr lvl="0">
              <a:defRPr b="1" i="0" sz="1800"/>
            </a:pPr>
          </a:p>
        </c:txPr>
      </c:legendEntry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'One-Results&lt;-&gt;Plots'!$BM$8:$BQ$8</c:f>
            </c:strRef>
          </c:cat>
          <c:val>
            <c:numRef>
              <c:f>'One-Results&lt;-&gt;Plots'!$BM$9:$BQ$9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'One-Results&lt;-&gt;Plots'!$BM$8:$BQ$8</c:f>
            </c:strRef>
          </c:cat>
          <c:val>
            <c:numRef>
              <c:f>'One-Results&lt;-&gt;Plots'!$BM$10:$BQ$10</c:f>
              <c:numCache/>
            </c:numRef>
          </c:val>
        </c:ser>
        <c:axId val="661252451"/>
        <c:axId val="1103259399"/>
      </c:barChart>
      <c:catAx>
        <c:axId val="6612524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Number of Boxes/Violins in Image</a:t>
                </a:r>
              </a:p>
            </c:rich>
          </c:tx>
          <c:layout>
            <c:manualLayout>
              <c:xMode val="edge"/>
              <c:yMode val="edge"/>
              <c:x val="0.12595247395833334"/>
              <c:y val="0.917654986522911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03259399"/>
      </c:catAx>
      <c:valAx>
        <c:axId val="11032593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661252451"/>
      </c:valAx>
    </c:plotArea>
    <c:legend>
      <c:legendPos val="t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'One-Results&lt;-&gt;Plots'!$BM$8:$BQ$8</c:f>
            </c:strRef>
          </c:cat>
          <c:val>
            <c:numRef>
              <c:f>'One-Results&lt;-&gt;Plots'!$BM$9:$BQ$9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'One-Results&lt;-&gt;Plots'!$BM$8:$BQ$8</c:f>
            </c:strRef>
          </c:cat>
          <c:val>
            <c:numRef>
              <c:f>'One-Results&lt;-&gt;Plots'!$BM$10:$BQ$10</c:f>
              <c:numCache/>
            </c:numRef>
          </c:val>
        </c:ser>
        <c:axId val="1350837164"/>
        <c:axId val="1096642849"/>
      </c:barChart>
      <c:catAx>
        <c:axId val="13508371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Boxes/Violins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096642849"/>
      </c:catAx>
      <c:valAx>
        <c:axId val="10966428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350837164"/>
        <c:majorUnit val="4.0"/>
        <c:minorUnit val="2.0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'One-Results&lt;-&gt;Box'!$BR$8:$BV$8</c:f>
            </c:strRef>
          </c:cat>
          <c:val>
            <c:numRef>
              <c:f>'One-Results&lt;-&gt;Box'!$BR$9:$BV$9</c:f>
              <c:numCache/>
            </c:numRef>
          </c:val>
        </c:ser>
        <c:ser>
          <c:idx val="1"/>
          <c:order val="1"/>
          <c:tx>
            <c:v>Box Plots w/o Outliers</c:v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'One-Results&lt;-&gt;Box'!$BR$8:$BV$8</c:f>
            </c:strRef>
          </c:cat>
          <c:val>
            <c:numRef>
              <c:f>'One-Results&lt;-&gt;Box'!$BR$10:$BV$10</c:f>
              <c:numCache/>
            </c:numRef>
          </c:val>
        </c:ser>
        <c:axId val="8816353"/>
        <c:axId val="1421267002"/>
      </c:barChart>
      <c:catAx>
        <c:axId val="88163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>Number of Boxes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400">
                <a:solidFill>
                  <a:srgbClr val="000000"/>
                </a:solidFill>
                <a:latin typeface="+mn-lt"/>
              </a:defRPr>
            </a:pPr>
          </a:p>
        </c:txPr>
        <c:crossAx val="1421267002"/>
      </c:catAx>
      <c:valAx>
        <c:axId val="14212670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>Number of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816353"/>
      </c:valAx>
    </c:plotArea>
    <c:legend>
      <c:legendPos val="r"/>
      <c:overlay val="0"/>
      <c:txPr>
        <a:bodyPr/>
        <a:lstStyle/>
        <a:p>
          <a:pPr lvl="0">
            <a:defRPr b="0" i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'One-Results&lt;-&gt;Box'!$BR$8:$BU$8</c:f>
            </c:strRef>
          </c:cat>
          <c:val>
            <c:numRef>
              <c:f>'One-Results&lt;-&gt;Box'!$BR$9:$BU$9</c:f>
              <c:numCache/>
            </c:numRef>
          </c:val>
        </c:ser>
        <c:ser>
          <c:idx val="1"/>
          <c:order val="1"/>
          <c:tx>
            <c:v>Box Plots w/o Outliers</c:v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'One-Results&lt;-&gt;Box'!$BR$8:$BU$8</c:f>
            </c:strRef>
          </c:cat>
          <c:val>
            <c:numRef>
              <c:f>'One-Results&lt;-&gt;Box'!$BR$10:$BU$10</c:f>
              <c:numCache/>
            </c:numRef>
          </c:val>
        </c:ser>
        <c:axId val="101354765"/>
        <c:axId val="515381505"/>
      </c:barChart>
      <c:catAx>
        <c:axId val="1013547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Boxes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515381505"/>
      </c:catAx>
      <c:valAx>
        <c:axId val="5153815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01354765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Violin Plots Empty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'One-Results&lt;-&gt;Violins'!$BR$8:$BU$8</c:f>
            </c:strRef>
          </c:cat>
          <c:val>
            <c:numRef>
              <c:f>'One-Results&lt;-&gt;Violins'!$BR$9:$BU$9</c:f>
              <c:numCache/>
            </c:numRef>
          </c:val>
        </c:ser>
        <c:ser>
          <c:idx val="1"/>
          <c:order val="1"/>
          <c:tx>
            <c:v>Violin Plots with Boxplots</c:v>
          </c:tx>
          <c:spPr>
            <a:solidFill>
              <a:srgbClr val="990000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'One-Results&lt;-&gt;Violins'!$BR$8:$BU$8</c:f>
            </c:strRef>
          </c:cat>
          <c:val>
            <c:numRef>
              <c:f>'One-Results&lt;-&gt;Violins'!$BR$10:$BU$10</c:f>
              <c:numCache/>
            </c:numRef>
          </c:val>
        </c:ser>
        <c:axId val="92465167"/>
        <c:axId val="1624653845"/>
      </c:barChart>
      <c:catAx>
        <c:axId val="92465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Violins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624653845"/>
      </c:catAx>
      <c:valAx>
        <c:axId val="16246538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92465167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'Fold-Results&lt;-&gt;Length'!$BN$8:$BR$8</c:f>
            </c:strRef>
          </c:cat>
          <c:val>
            <c:numRef>
              <c:f>'Fold-Results&lt;-&gt;Length'!$BN$9:$BR$9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'Fold-Results&lt;-&gt;Length'!$BN$8:$BR$8</c:f>
            </c:strRef>
          </c:cat>
          <c:val>
            <c:numRef>
              <c:f>'Fold-Results&lt;-&gt;Length'!$BN$10:$BR$10</c:f>
              <c:numCache/>
            </c:numRef>
          </c:val>
        </c:ser>
        <c:ser>
          <c:idx val="2"/>
          <c:order val="2"/>
          <c:tx>
            <c:v>DeepInsight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'Fold-Results&lt;-&gt;Length'!$BN$8:$BR$8</c:f>
            </c:strRef>
          </c:cat>
          <c:val>
            <c:numRef>
              <c:f>'Fold-Results&lt;-&gt;Length'!$BN$11:$BR$11</c:f>
              <c:numCache/>
            </c:numRef>
          </c:val>
        </c:ser>
        <c:axId val="719217241"/>
        <c:axId val="1506350964"/>
      </c:barChart>
      <c:catAx>
        <c:axId val="7192172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Time Series 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506350964"/>
      </c:catAx>
      <c:valAx>
        <c:axId val="1506350964"/>
        <c:scaling>
          <c:orientation val="minMax"/>
          <c:max val="1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719217241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'Fold-Results&lt;-&gt;NrClasses'!$BN$8:$BR$8</c:f>
            </c:strRef>
          </c:cat>
          <c:val>
            <c:numRef>
              <c:f>'Fold-Results&lt;-&gt;NrClasses'!$BN$9:$BR$9</c:f>
              <c:numCache/>
            </c:numRef>
          </c:val>
        </c:ser>
        <c:ser>
          <c:idx val="1"/>
          <c:order val="1"/>
          <c:tx>
            <c:v>Violinplots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'Fold-Results&lt;-&gt;NrClasses'!$BN$8:$BR$8</c:f>
            </c:strRef>
          </c:cat>
          <c:val>
            <c:numRef>
              <c:f>'Fold-Results&lt;-&gt;NrClasses'!$BN$10:$BR$10</c:f>
              <c:numCache/>
            </c:numRef>
          </c:val>
        </c:ser>
        <c:ser>
          <c:idx val="2"/>
          <c:order val="2"/>
          <c:tx>
            <c:v>DeepInsight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'Fold-Results&lt;-&gt;NrClasses'!$BN$8:$BR$8</c:f>
            </c:strRef>
          </c:cat>
          <c:val>
            <c:numRef>
              <c:f>'Fold-Results&lt;-&gt;NrClasses'!$BN$11:$BR$11</c:f>
              <c:numCache/>
            </c:numRef>
          </c:val>
        </c:ser>
        <c:axId val="1068284485"/>
        <c:axId val="648596196"/>
      </c:barChart>
      <c:catAx>
        <c:axId val="10682844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Classes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648596196"/>
      </c:catAx>
      <c:valAx>
        <c:axId val="648596196"/>
        <c:scaling>
          <c:orientation val="minMax"/>
          <c:max val="16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068284485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'Fold-Results&lt;-&gt;NrClasses'!$BW$22:$CA$22</c:f>
            </c:strRef>
          </c:cat>
          <c:val>
            <c:numRef>
              <c:f>'Fold-Results&lt;-&gt;NrClasses'!$BW$23:$CA$23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'Fold-Results&lt;-&gt;NrClasses'!$BW$22:$CA$22</c:f>
            </c:strRef>
          </c:cat>
          <c:val>
            <c:numRef>
              <c:f>'Fold-Results&lt;-&gt;NrClasses'!$BW$24:$CA$24</c:f>
              <c:numCache/>
            </c:numRef>
          </c:val>
        </c:ser>
        <c:ser>
          <c:idx val="2"/>
          <c:order val="2"/>
          <c:tx>
            <c:v>DeepInsight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'Fold-Results&lt;-&gt;NrClasses'!$BW$22:$CA$22</c:f>
            </c:strRef>
          </c:cat>
          <c:val>
            <c:numRef>
              <c:f>'Fold-Results&lt;-&gt;NrClasses'!$BW$25:$CA$25</c:f>
              <c:numCache/>
            </c:numRef>
          </c:val>
        </c:ser>
        <c:axId val="1290059850"/>
        <c:axId val="1664980535"/>
      </c:barChart>
      <c:catAx>
        <c:axId val="12900598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>Number of Classes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400">
                <a:solidFill>
                  <a:srgbClr val="000000"/>
                </a:solidFill>
                <a:latin typeface="+mn-lt"/>
              </a:defRPr>
            </a:pPr>
          </a:p>
        </c:txPr>
        <c:crossAx val="1664980535"/>
      </c:catAx>
      <c:valAx>
        <c:axId val="16649805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>%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290059850"/>
      </c:valAx>
    </c:plotArea>
    <c:legend>
      <c:legendPos val="r"/>
      <c:overlay val="0"/>
      <c:txPr>
        <a:bodyPr/>
        <a:lstStyle/>
        <a:p>
          <a:pPr lvl="0">
            <a:defRPr b="0" i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'Fold-Results&lt;-&gt;Plots'!$BM$8:$BQ$8</c:f>
            </c:strRef>
          </c:cat>
          <c:val>
            <c:numRef>
              <c:f>'Fold-Results&lt;-&gt;Plots'!$BM$9:$BQ$9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'Fold-Results&lt;-&gt;Plots'!$BM$8:$BQ$8</c:f>
            </c:strRef>
          </c:cat>
          <c:val>
            <c:numRef>
              <c:f>'Fold-Results&lt;-&gt;Plots'!$BM$10:$BQ$10</c:f>
              <c:numCache/>
            </c:numRef>
          </c:val>
        </c:ser>
        <c:axId val="1988931361"/>
        <c:axId val="428524953"/>
      </c:barChart>
      <c:catAx>
        <c:axId val="19889313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Boxes/Violins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428524953"/>
      </c:catAx>
      <c:valAx>
        <c:axId val="428524953"/>
        <c:scaling>
          <c:orientation val="minMax"/>
          <c:max val="16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988931361"/>
        <c:majorUnit val="4.0"/>
        <c:minorUnit val="2.0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'Fold-Results&lt;-&gt;Box'!$BR$8:$BU$8</c:f>
            </c:strRef>
          </c:cat>
          <c:val>
            <c:numRef>
              <c:f>'Fold-Results&lt;-&gt;Box'!$BR$9:$BU$9</c:f>
              <c:numCache/>
            </c:numRef>
          </c:val>
        </c:ser>
        <c:ser>
          <c:idx val="1"/>
          <c:order val="1"/>
          <c:tx>
            <c:v>Box Plots w/o Outliers</c:v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'Fold-Results&lt;-&gt;Box'!$BR$8:$BU$8</c:f>
            </c:strRef>
          </c:cat>
          <c:val>
            <c:numRef>
              <c:f>'Fold-Results&lt;-&gt;Box'!$BR$10:$BU$10</c:f>
              <c:numCache/>
            </c:numRef>
          </c:val>
        </c:ser>
        <c:axId val="1354881834"/>
        <c:axId val="1531181698"/>
      </c:barChart>
      <c:catAx>
        <c:axId val="13548818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Boxes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531181698"/>
      </c:catAx>
      <c:valAx>
        <c:axId val="1531181698"/>
        <c:scaling>
          <c:orientation val="minMax"/>
          <c:max val="2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354881834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Violin Plots Empty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'Fold-Results&lt;-&gt;Violins'!$BO$8:$BR$8</c:f>
            </c:strRef>
          </c:cat>
          <c:val>
            <c:numRef>
              <c:f>'Fold-Results&lt;-&gt;Violins'!$BO$9:$BR$9</c:f>
              <c:numCache/>
            </c:numRef>
          </c:val>
        </c:ser>
        <c:ser>
          <c:idx val="1"/>
          <c:order val="1"/>
          <c:tx>
            <c:v>Violin Plots with Boxplots</c:v>
          </c:tx>
          <c:spPr>
            <a:solidFill>
              <a:srgbClr val="990000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'Fold-Results&lt;-&gt;Violins'!$BO$8:$BR$8</c:f>
            </c:strRef>
          </c:cat>
          <c:val>
            <c:numRef>
              <c:f>'Fold-Results&lt;-&gt;Violins'!$BO$10:$BR$10</c:f>
              <c:numCache/>
            </c:numRef>
          </c:val>
        </c:ser>
        <c:axId val="323805640"/>
        <c:axId val="179137380"/>
      </c:barChart>
      <c:catAx>
        <c:axId val="323805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Violins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79137380"/>
      </c:catAx>
      <c:valAx>
        <c:axId val="179137380"/>
        <c:scaling>
          <c:orientation val="minMax"/>
          <c:max val="2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323805640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Violin Plots Empty e Violin Plots with Boxplots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Violin Plots Empty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'Fold-Results&lt;-&gt;Violins'!$BO$14:$BS$14</c:f>
            </c:strRef>
          </c:cat>
          <c:val>
            <c:numRef>
              <c:f>'Fold-Results&lt;-&gt;Violins'!$BO$15:$BS$15</c:f>
              <c:numCache/>
            </c:numRef>
          </c:val>
        </c:ser>
        <c:ser>
          <c:idx val="1"/>
          <c:order val="1"/>
          <c:tx>
            <c:v>Violin Plots with Boxplots</c:v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'Fold-Results&lt;-&gt;Violins'!$BO$14:$BS$14</c:f>
            </c:strRef>
          </c:cat>
          <c:val>
            <c:numRef>
              <c:f>'Fold-Results&lt;-&gt;Violins'!$BO$16:$BS$16</c:f>
              <c:numCache/>
            </c:numRef>
          </c:val>
        </c:ser>
        <c:axId val="1336660264"/>
        <c:axId val="1290292837"/>
      </c:barChart>
      <c:catAx>
        <c:axId val="1336660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290292837"/>
      </c:catAx>
      <c:valAx>
        <c:axId val="12902928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36660264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Boxplots e Violinplots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Boxplots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'Fold-Results&lt;-&gt;All'!$CG$26:$CQ$26</c:f>
            </c:strRef>
          </c:cat>
          <c:val>
            <c:numRef>
              <c:f>'Fold-Results&lt;-&gt;All'!$CG$27:$CQ$27</c:f>
              <c:numCache/>
            </c:numRef>
          </c:val>
        </c:ser>
        <c:ser>
          <c:idx val="1"/>
          <c:order val="1"/>
          <c:tx>
            <c:v>Violinplots</c:v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'Fold-Results&lt;-&gt;All'!$CG$26:$CQ$26</c:f>
            </c:strRef>
          </c:cat>
          <c:val>
            <c:numRef>
              <c:f>'Fold-Results&lt;-&gt;All'!$CG$28:$CQ$28</c:f>
              <c:numCache/>
            </c:numRef>
          </c:val>
        </c:ser>
        <c:axId val="609669593"/>
        <c:axId val="2070646065"/>
      </c:barChart>
      <c:catAx>
        <c:axId val="6096695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070646065"/>
      </c:catAx>
      <c:valAx>
        <c:axId val="20706460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609669593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71</xdr:col>
      <xdr:colOff>352425</xdr:colOff>
      <xdr:row>9</xdr:row>
      <xdr:rowOff>133350</xdr:rowOff>
    </xdr:from>
    <xdr:ext cx="5715000" cy="3533775"/>
    <xdr:graphicFrame>
      <xdr:nvGraphicFramePr>
        <xdr:cNvPr id="550885636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72</xdr:col>
      <xdr:colOff>85725</xdr:colOff>
      <xdr:row>5</xdr:row>
      <xdr:rowOff>171450</xdr:rowOff>
    </xdr:from>
    <xdr:ext cx="5715000" cy="3533775"/>
    <xdr:graphicFrame>
      <xdr:nvGraphicFramePr>
        <xdr:cNvPr id="971989883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71</xdr:col>
      <xdr:colOff>657225</xdr:colOff>
      <xdr:row>21</xdr:row>
      <xdr:rowOff>28575</xdr:rowOff>
    </xdr:from>
    <xdr:ext cx="5715000" cy="3533775"/>
    <xdr:graphicFrame>
      <xdr:nvGraphicFramePr>
        <xdr:cNvPr id="422498609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73</xdr:col>
      <xdr:colOff>447675</xdr:colOff>
      <xdr:row>13</xdr:row>
      <xdr:rowOff>133350</xdr:rowOff>
    </xdr:from>
    <xdr:ext cx="5715000" cy="3533775"/>
    <xdr:graphicFrame>
      <xdr:nvGraphicFramePr>
        <xdr:cNvPr id="218456985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70</xdr:col>
      <xdr:colOff>381000</xdr:colOff>
      <xdr:row>3</xdr:row>
      <xdr:rowOff>142875</xdr:rowOff>
    </xdr:from>
    <xdr:ext cx="5715000" cy="3533775"/>
    <xdr:graphicFrame>
      <xdr:nvGraphicFramePr>
        <xdr:cNvPr id="873491003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70</xdr:col>
      <xdr:colOff>381000</xdr:colOff>
      <xdr:row>21</xdr:row>
      <xdr:rowOff>47625</xdr:rowOff>
    </xdr:from>
    <xdr:ext cx="5715000" cy="3533775"/>
    <xdr:graphicFrame>
      <xdr:nvGraphicFramePr>
        <xdr:cNvPr id="538369175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70</xdr:col>
      <xdr:colOff>57150</xdr:colOff>
      <xdr:row>12</xdr:row>
      <xdr:rowOff>66675</xdr:rowOff>
    </xdr:from>
    <xdr:ext cx="5724525" cy="3533775"/>
    <xdr:graphicFrame>
      <xdr:nvGraphicFramePr>
        <xdr:cNvPr id="106420222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68</xdr:col>
      <xdr:colOff>447675</xdr:colOff>
      <xdr:row>29</xdr:row>
      <xdr:rowOff>180975</xdr:rowOff>
    </xdr:from>
    <xdr:ext cx="5724525" cy="3533775"/>
    <xdr:graphicFrame>
      <xdr:nvGraphicFramePr>
        <xdr:cNvPr id="392009794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68</xdr:col>
      <xdr:colOff>514350</xdr:colOff>
      <xdr:row>11</xdr:row>
      <xdr:rowOff>161925</xdr:rowOff>
    </xdr:from>
    <xdr:ext cx="5715000" cy="3533775"/>
    <xdr:graphicFrame>
      <xdr:nvGraphicFramePr>
        <xdr:cNvPr id="2117816931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71</xdr:col>
      <xdr:colOff>323850</xdr:colOff>
      <xdr:row>3</xdr:row>
      <xdr:rowOff>123825</xdr:rowOff>
    </xdr:from>
    <xdr:ext cx="5715000" cy="3533775"/>
    <xdr:graphicFrame>
      <xdr:nvGraphicFramePr>
        <xdr:cNvPr id="632246232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74</xdr:col>
      <xdr:colOff>333375</xdr:colOff>
      <xdr:row>2</xdr:row>
      <xdr:rowOff>0</xdr:rowOff>
    </xdr:from>
    <xdr:ext cx="5715000" cy="3533775"/>
    <xdr:graphicFrame>
      <xdr:nvGraphicFramePr>
        <xdr:cNvPr id="1767168268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80</xdr:col>
      <xdr:colOff>647700</xdr:colOff>
      <xdr:row>16</xdr:row>
      <xdr:rowOff>142875</xdr:rowOff>
    </xdr:from>
    <xdr:ext cx="5715000" cy="3533775"/>
    <xdr:graphicFrame>
      <xdr:nvGraphicFramePr>
        <xdr:cNvPr id="1378144770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70</xdr:col>
      <xdr:colOff>571500</xdr:colOff>
      <xdr:row>3</xdr:row>
      <xdr:rowOff>47625</xdr:rowOff>
    </xdr:from>
    <xdr:ext cx="5715000" cy="3533775"/>
    <xdr:graphicFrame>
      <xdr:nvGraphicFramePr>
        <xdr:cNvPr id="1563929047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371475</xdr:colOff>
      <xdr:row>17</xdr:row>
      <xdr:rowOff>152400</xdr:rowOff>
    </xdr:from>
    <xdr:ext cx="5715000" cy="3533775"/>
    <xdr:graphicFrame>
      <xdr:nvGraphicFramePr>
        <xdr:cNvPr id="46690681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64</xdr:col>
      <xdr:colOff>200025</xdr:colOff>
      <xdr:row>18</xdr:row>
      <xdr:rowOff>161925</xdr:rowOff>
    </xdr:from>
    <xdr:ext cx="5715000" cy="3533775"/>
    <xdr:graphicFrame>
      <xdr:nvGraphicFramePr>
        <xdr:cNvPr id="1167205540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67</xdr:col>
      <xdr:colOff>962025</xdr:colOff>
      <xdr:row>33</xdr:row>
      <xdr:rowOff>19050</xdr:rowOff>
    </xdr:from>
    <xdr:ext cx="5715000" cy="3533775"/>
    <xdr:graphicFrame>
      <xdr:nvGraphicFramePr>
        <xdr:cNvPr id="172917955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85</xdr:col>
      <xdr:colOff>95250</xdr:colOff>
      <xdr:row>29</xdr:row>
      <xdr:rowOff>190500</xdr:rowOff>
    </xdr:from>
    <xdr:ext cx="5715000" cy="3533775"/>
    <xdr:graphicFrame>
      <xdr:nvGraphicFramePr>
        <xdr:cNvPr id="5334993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1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28.63"/>
    <col customWidth="1" min="2" max="2" width="13.25"/>
    <col customWidth="1" min="3" max="3" width="6.25"/>
    <col customWidth="1" min="4" max="4" width="4.38"/>
    <col customWidth="1" min="5" max="5" width="13.88"/>
    <col customWidth="1" min="6" max="6" width="15.13"/>
    <col customWidth="1" min="7" max="8" width="13.75"/>
    <col customWidth="1" min="9" max="9" width="15.38"/>
    <col customWidth="1" min="10" max="10" width="13.75"/>
    <col customWidth="1" min="14" max="14" width="13.38"/>
    <col customWidth="1" min="15" max="15" width="17.75"/>
    <col customWidth="1" min="18" max="18" width="14.38"/>
    <col customWidth="1" min="21" max="21" width="13.88"/>
    <col customWidth="1" min="24" max="24" width="14.13"/>
    <col customWidth="1" min="27" max="27" width="14.25"/>
    <col customWidth="1" min="29" max="29" width="13.75"/>
    <col customWidth="1" min="30" max="30" width="14.38"/>
    <col customWidth="1" min="32" max="32" width="14.0"/>
    <col customWidth="1" min="33" max="33" width="15.0"/>
    <col customWidth="1" min="36" max="36" width="13.25"/>
    <col customWidth="1" min="38" max="38" width="15.25"/>
    <col customWidth="1" min="39" max="39" width="16.38"/>
    <col customWidth="1" min="40" max="40" width="13.88"/>
    <col customWidth="1" min="42" max="42" width="14.38"/>
    <col customWidth="1" min="44" max="44" width="13.38"/>
    <col customWidth="1" min="45" max="45" width="14.13"/>
    <col customWidth="1" min="48" max="48" width="15.38"/>
    <col customWidth="1" min="50" max="50" width="14.88"/>
    <col customWidth="1" min="51" max="51" width="16.88"/>
    <col customWidth="1" min="53" max="53" width="14.75"/>
    <col customWidth="1" min="54" max="54" width="15.88"/>
    <col customWidth="1" min="57" max="57" width="14.25"/>
    <col customWidth="1" min="63" max="63" width="17.38"/>
    <col customWidth="1" min="64" max="66" width="23.38"/>
    <col customWidth="1" min="67" max="67" width="17.38"/>
    <col customWidth="1" min="68" max="71" width="23.38"/>
    <col customWidth="1" min="72" max="72" width="31.75"/>
    <col customWidth="1" min="75" max="75" width="79.63"/>
  </cols>
  <sheetData>
    <row r="1" ht="15.75" customHeight="1">
      <c r="A1" s="1" t="s">
        <v>0</v>
      </c>
      <c r="B1" s="2" t="s">
        <v>1</v>
      </c>
      <c r="E1" s="3" t="s">
        <v>2</v>
      </c>
      <c r="H1" s="3" t="s">
        <v>3</v>
      </c>
      <c r="K1" s="3" t="s">
        <v>4</v>
      </c>
      <c r="N1" s="3" t="s">
        <v>5</v>
      </c>
      <c r="Q1" s="3" t="s">
        <v>6</v>
      </c>
      <c r="T1" s="3" t="s">
        <v>7</v>
      </c>
      <c r="W1" s="3" t="s">
        <v>8</v>
      </c>
      <c r="Z1" s="3" t="s">
        <v>9</v>
      </c>
      <c r="AC1" s="3" t="s">
        <v>10</v>
      </c>
      <c r="AF1" s="3" t="s">
        <v>11</v>
      </c>
      <c r="AI1" s="3" t="s">
        <v>12</v>
      </c>
      <c r="AL1" s="3" t="s">
        <v>13</v>
      </c>
      <c r="AO1" s="3" t="s">
        <v>14</v>
      </c>
      <c r="AR1" s="3" t="s">
        <v>15</v>
      </c>
      <c r="AU1" s="3" t="s">
        <v>16</v>
      </c>
      <c r="AX1" s="3" t="s">
        <v>17</v>
      </c>
      <c r="BA1" s="3" t="s">
        <v>18</v>
      </c>
      <c r="BD1" s="3" t="s">
        <v>19</v>
      </c>
      <c r="BG1" s="3" t="s">
        <v>20</v>
      </c>
      <c r="BJ1" s="1"/>
      <c r="BL1" s="1"/>
      <c r="BM1" s="1"/>
      <c r="BN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ht="15.75" customHeight="1">
      <c r="A2" s="1"/>
      <c r="B2" s="2" t="s">
        <v>1</v>
      </c>
      <c r="E2" s="1" t="s">
        <v>21</v>
      </c>
      <c r="F2" s="1" t="s">
        <v>22</v>
      </c>
      <c r="G2" s="4" t="s">
        <v>23</v>
      </c>
      <c r="H2" s="1" t="s">
        <v>24</v>
      </c>
      <c r="I2" s="1" t="s">
        <v>25</v>
      </c>
      <c r="J2" s="4" t="s">
        <v>26</v>
      </c>
      <c r="K2" s="1" t="s">
        <v>27</v>
      </c>
      <c r="L2" s="1" t="s">
        <v>28</v>
      </c>
      <c r="M2" s="5" t="s">
        <v>29</v>
      </c>
      <c r="N2" s="1" t="s">
        <v>30</v>
      </c>
      <c r="O2" s="1" t="s">
        <v>31</v>
      </c>
      <c r="P2" s="5" t="s">
        <v>32</v>
      </c>
      <c r="Q2" s="1" t="s">
        <v>33</v>
      </c>
      <c r="R2" s="1" t="s">
        <v>34</v>
      </c>
      <c r="S2" s="5" t="s">
        <v>35</v>
      </c>
      <c r="T2" s="1" t="s">
        <v>36</v>
      </c>
      <c r="U2" s="1" t="s">
        <v>37</v>
      </c>
      <c r="V2" s="5" t="s">
        <v>38</v>
      </c>
      <c r="W2" s="1" t="s">
        <v>39</v>
      </c>
      <c r="X2" s="1" t="s">
        <v>40</v>
      </c>
      <c r="Y2" s="5" t="s">
        <v>41</v>
      </c>
      <c r="Z2" s="1" t="s">
        <v>42</v>
      </c>
      <c r="AA2" s="1" t="s">
        <v>43</v>
      </c>
      <c r="AB2" s="5" t="s">
        <v>44</v>
      </c>
      <c r="AC2" s="1" t="s">
        <v>45</v>
      </c>
      <c r="AD2" s="1" t="s">
        <v>46</v>
      </c>
      <c r="AE2" s="5" t="s">
        <v>47</v>
      </c>
      <c r="AF2" s="1" t="s">
        <v>48</v>
      </c>
      <c r="AG2" s="1" t="s">
        <v>49</v>
      </c>
      <c r="AH2" s="5" t="s">
        <v>50</v>
      </c>
      <c r="AI2" s="1" t="s">
        <v>51</v>
      </c>
      <c r="AJ2" s="1" t="s">
        <v>52</v>
      </c>
      <c r="AK2" s="5" t="s">
        <v>53</v>
      </c>
      <c r="AL2" s="1" t="s">
        <v>54</v>
      </c>
      <c r="AM2" s="1" t="s">
        <v>55</v>
      </c>
      <c r="AN2" s="5" t="s">
        <v>56</v>
      </c>
      <c r="AO2" s="1" t="s">
        <v>57</v>
      </c>
      <c r="AP2" s="1" t="s">
        <v>58</v>
      </c>
      <c r="AQ2" s="5" t="s">
        <v>59</v>
      </c>
      <c r="AR2" s="1" t="s">
        <v>60</v>
      </c>
      <c r="AS2" s="1" t="s">
        <v>61</v>
      </c>
      <c r="AT2" s="5" t="s">
        <v>62</v>
      </c>
      <c r="AU2" s="1" t="s">
        <v>63</v>
      </c>
      <c r="AV2" s="1" t="s">
        <v>64</v>
      </c>
      <c r="AW2" s="5" t="s">
        <v>65</v>
      </c>
      <c r="AX2" s="1" t="s">
        <v>66</v>
      </c>
      <c r="AY2" s="1" t="s">
        <v>67</v>
      </c>
      <c r="AZ2" s="5" t="s">
        <v>68</v>
      </c>
      <c r="BA2" s="1" t="s">
        <v>69</v>
      </c>
      <c r="BB2" s="1" t="s">
        <v>70</v>
      </c>
      <c r="BC2" s="5" t="s">
        <v>71</v>
      </c>
      <c r="BD2" s="1" t="s">
        <v>72</v>
      </c>
      <c r="BE2" s="1" t="s">
        <v>73</v>
      </c>
      <c r="BF2" s="5" t="s">
        <v>74</v>
      </c>
      <c r="BG2" s="1" t="s">
        <v>75</v>
      </c>
      <c r="BH2" s="1" t="s">
        <v>76</v>
      </c>
      <c r="BI2" s="5" t="s">
        <v>77</v>
      </c>
      <c r="BJ2" s="1"/>
      <c r="BK2" s="1" t="s">
        <v>78</v>
      </c>
      <c r="BL2" s="1" t="s">
        <v>79</v>
      </c>
      <c r="BM2" s="1" t="s">
        <v>80</v>
      </c>
      <c r="BN2" s="6" t="s">
        <v>80</v>
      </c>
      <c r="BP2" s="1" t="s">
        <v>81</v>
      </c>
      <c r="BQ2" s="1" t="s">
        <v>82</v>
      </c>
      <c r="BR2" s="1" t="s">
        <v>83</v>
      </c>
      <c r="BS2" s="1"/>
      <c r="BT2" s="1"/>
      <c r="BU2" s="1"/>
      <c r="BV2" s="1"/>
      <c r="BW2" s="1"/>
      <c r="BX2" s="1"/>
      <c r="BY2" s="1"/>
      <c r="BZ2" s="1"/>
    </row>
    <row r="3" ht="15.75" customHeight="1">
      <c r="A3" s="1" t="s">
        <v>84</v>
      </c>
      <c r="B3" s="7">
        <v>0.66</v>
      </c>
      <c r="C3" s="8"/>
      <c r="D3" s="8"/>
      <c r="E3" s="9">
        <v>0.614</v>
      </c>
      <c r="F3" s="9">
        <v>0.64</v>
      </c>
      <c r="G3" s="9">
        <v>0.58</v>
      </c>
      <c r="H3" s="9">
        <v>0.569999999</v>
      </c>
      <c r="I3" s="9">
        <v>0.569999993</v>
      </c>
      <c r="J3" s="9">
        <v>0.1</v>
      </c>
      <c r="K3" s="9">
        <v>0.57</v>
      </c>
      <c r="L3" s="9">
        <v>0.56</v>
      </c>
      <c r="M3" s="9">
        <v>0.56</v>
      </c>
      <c r="N3" s="9">
        <v>0.578000009</v>
      </c>
      <c r="O3" s="9">
        <v>0.6</v>
      </c>
      <c r="P3" s="9">
        <v>0.59</v>
      </c>
      <c r="Q3" s="9">
        <v>0.608</v>
      </c>
      <c r="R3" s="9">
        <v>0.62</v>
      </c>
      <c r="S3" s="9">
        <v>0.76</v>
      </c>
      <c r="T3" s="9">
        <v>0.604000002</v>
      </c>
      <c r="U3" s="9">
        <v>0.62</v>
      </c>
      <c r="V3" s="9">
        <v>0.72</v>
      </c>
      <c r="W3" s="9">
        <v>0.494</v>
      </c>
      <c r="X3" s="9">
        <v>0.5</v>
      </c>
      <c r="Y3" s="9">
        <v>0.55</v>
      </c>
      <c r="Z3" s="9">
        <v>0.45</v>
      </c>
      <c r="AA3" s="9">
        <v>0.42</v>
      </c>
      <c r="AB3" s="9">
        <v>0.4</v>
      </c>
      <c r="AC3" s="9">
        <v>0.549999988</v>
      </c>
      <c r="AD3" s="9">
        <v>0.53</v>
      </c>
      <c r="AE3" s="9">
        <v>0.47</v>
      </c>
      <c r="AF3" s="9">
        <v>0.588000011</v>
      </c>
      <c r="AG3" s="9">
        <v>0.61</v>
      </c>
      <c r="AH3" s="9">
        <v>0.66</v>
      </c>
      <c r="AI3" s="9">
        <v>0.462</v>
      </c>
      <c r="AJ3" s="9">
        <v>0.48</v>
      </c>
      <c r="AK3" s="9">
        <v>0.5</v>
      </c>
      <c r="AL3" s="9">
        <v>0.466</v>
      </c>
      <c r="AM3" s="9">
        <v>0.47</v>
      </c>
      <c r="AN3" s="9">
        <v>0.38</v>
      </c>
      <c r="AO3" s="9">
        <v>0.63</v>
      </c>
      <c r="AP3" s="9">
        <v>0.65</v>
      </c>
      <c r="AQ3" s="9">
        <v>0.62</v>
      </c>
      <c r="AR3" s="9">
        <v>0.636000001</v>
      </c>
      <c r="AS3" s="9">
        <v>0.64</v>
      </c>
      <c r="AT3" s="9">
        <v>0.73</v>
      </c>
      <c r="AU3" s="9">
        <v>0.416</v>
      </c>
      <c r="AV3" s="9">
        <v>0.43</v>
      </c>
      <c r="AW3" s="9">
        <v>0.3</v>
      </c>
      <c r="AX3" s="9">
        <v>0.36</v>
      </c>
      <c r="AY3" s="9">
        <v>0.35</v>
      </c>
      <c r="AZ3" s="9">
        <v>0.49</v>
      </c>
      <c r="BA3" s="9">
        <v>0.654</v>
      </c>
      <c r="BB3" s="9">
        <v>0.65</v>
      </c>
      <c r="BC3" s="9">
        <v>0.68</v>
      </c>
      <c r="BD3" s="9">
        <v>0.226</v>
      </c>
      <c r="BE3" s="9">
        <v>0.2</v>
      </c>
      <c r="BF3" s="9">
        <v>0.22</v>
      </c>
      <c r="BG3" s="10" t="s">
        <v>85</v>
      </c>
      <c r="BH3" s="10" t="s">
        <v>85</v>
      </c>
      <c r="BI3" s="9">
        <v>0.46</v>
      </c>
      <c r="BJ3" s="6"/>
      <c r="BK3" s="6" t="str">
        <f t="shared" ref="BK3:BK33" si="1">INDEX($B$2:$BI$2,0,MATCH(MAX(B3:BI3),B3:BI3,0))</f>
        <v>8B_One_Acc</v>
      </c>
      <c r="BL3" s="11">
        <f t="shared" ref="BL3:BL33" si="2">MINUS(MAX(E3:BI3),B3 )</f>
        <v>0.1</v>
      </c>
      <c r="BM3" s="12" t="str">
        <f t="shared" ref="BM3:BM33" si="3">IF(BL3 &lt;=-0.1, "Group 1",IF(BL3&gt;=0.1,"Group 2","Group 3"))</f>
        <v>Group 2</v>
      </c>
      <c r="BN3" s="1" t="s">
        <v>82</v>
      </c>
      <c r="BO3" s="6" t="s">
        <v>35</v>
      </c>
      <c r="BP3" s="6" t="str">
        <f t="array" ref="BP3:BP100">IF($BN$3:$BN$100=$BP$2,$BL$3:$BL$100,)</f>
        <v/>
      </c>
      <c r="BQ3" s="6">
        <f t="array" ref="BQ3:BQ100">IF($BN$3:$BN$100=$BQ2,$BL$3:$BL$100,)</f>
        <v>0.1</v>
      </c>
      <c r="BR3" s="6" t="str">
        <f t="array" ref="BR3:BR100">IF($BN$3:$BN$100=$BR2,$BL$3:$BL$100,)</f>
        <v/>
      </c>
      <c r="BS3" s="6" t="s">
        <v>86</v>
      </c>
      <c r="BT3" s="6" t="s">
        <v>87</v>
      </c>
      <c r="BU3" s="6"/>
      <c r="BV3" s="6"/>
      <c r="BW3" s="6" t="s">
        <v>88</v>
      </c>
      <c r="BX3" s="6"/>
      <c r="BY3" s="6"/>
      <c r="BZ3" s="6"/>
    </row>
    <row r="4" ht="15.75" customHeight="1">
      <c r="A4" s="1" t="s">
        <v>89</v>
      </c>
      <c r="B4" s="7">
        <v>0.6189</v>
      </c>
      <c r="C4" s="8"/>
      <c r="D4" s="8"/>
      <c r="E4" s="9">
        <v>0.30179</v>
      </c>
      <c r="F4" s="9">
        <v>0.29156</v>
      </c>
      <c r="G4" s="9">
        <v>0.283887</v>
      </c>
      <c r="H4" s="9">
        <v>0.264450124</v>
      </c>
      <c r="I4" s="9">
        <v>0.319693089</v>
      </c>
      <c r="J4" s="9">
        <v>0.02046</v>
      </c>
      <c r="K4" s="9">
        <v>0.195396</v>
      </c>
      <c r="L4" s="9">
        <v>0.186701</v>
      </c>
      <c r="M4" s="9">
        <v>0.350384</v>
      </c>
      <c r="N4" s="9">
        <v>0.128900258</v>
      </c>
      <c r="O4" s="9">
        <v>0.074169</v>
      </c>
      <c r="P4" s="9">
        <v>0.161125</v>
      </c>
      <c r="Q4" s="9">
        <v>0.246036</v>
      </c>
      <c r="R4" s="9">
        <v>0.232737</v>
      </c>
      <c r="S4" s="9">
        <v>0.365729</v>
      </c>
      <c r="T4" s="9">
        <v>0.264450133</v>
      </c>
      <c r="U4" s="9">
        <v>0.248082</v>
      </c>
      <c r="V4" s="9">
        <v>0.296675</v>
      </c>
      <c r="W4" s="9">
        <v>0.163171</v>
      </c>
      <c r="X4" s="9">
        <v>0.199488</v>
      </c>
      <c r="Y4" s="9">
        <v>0.30179</v>
      </c>
      <c r="Z4" s="9">
        <v>0.180563</v>
      </c>
      <c r="AA4" s="9">
        <v>0.219949</v>
      </c>
      <c r="AB4" s="9">
        <v>0.242967</v>
      </c>
      <c r="AC4" s="9">
        <v>0.246035802</v>
      </c>
      <c r="AD4" s="9">
        <v>0.237852</v>
      </c>
      <c r="AE4" s="9">
        <v>0.265985</v>
      </c>
      <c r="AF4" s="9">
        <v>0.265473145</v>
      </c>
      <c r="AG4" s="9">
        <v>0.237852</v>
      </c>
      <c r="AH4" s="9">
        <v>0.409207</v>
      </c>
      <c r="AI4" s="9">
        <v>0.105882</v>
      </c>
      <c r="AJ4" s="9">
        <v>0.069054</v>
      </c>
      <c r="AK4" s="9">
        <v>0.332481</v>
      </c>
      <c r="AL4" s="9">
        <v>0.13913</v>
      </c>
      <c r="AM4" s="9">
        <v>0.150895</v>
      </c>
      <c r="AN4" s="9">
        <v>0.28133</v>
      </c>
      <c r="AO4" s="9">
        <v>0.285934</v>
      </c>
      <c r="AP4" s="9">
        <v>0.31202</v>
      </c>
      <c r="AQ4" s="9">
        <v>0.235294</v>
      </c>
      <c r="AR4" s="9">
        <v>0.276726341</v>
      </c>
      <c r="AS4" s="9">
        <v>0.317136</v>
      </c>
      <c r="AT4" s="9">
        <v>0.381074</v>
      </c>
      <c r="AU4" s="9">
        <v>0.070077</v>
      </c>
      <c r="AV4" s="9">
        <v>0.063939</v>
      </c>
      <c r="AW4" s="9">
        <v>0.084399</v>
      </c>
      <c r="AX4" s="9">
        <v>0.142711</v>
      </c>
      <c r="AY4" s="9">
        <v>0.140665</v>
      </c>
      <c r="AZ4" s="9">
        <v>0.120205</v>
      </c>
      <c r="BA4" s="9">
        <v>0.190793</v>
      </c>
      <c r="BB4" s="9">
        <v>0.16624</v>
      </c>
      <c r="BC4" s="9">
        <v>0.263427</v>
      </c>
      <c r="BD4" s="9">
        <v>0.175448</v>
      </c>
      <c r="BE4" s="9">
        <v>0.176471</v>
      </c>
      <c r="BF4" s="9">
        <v>0.168798</v>
      </c>
      <c r="BG4" s="10" t="s">
        <v>85</v>
      </c>
      <c r="BH4" s="10" t="s">
        <v>85</v>
      </c>
      <c r="BI4" s="9">
        <v>0.16624</v>
      </c>
      <c r="BJ4" s="6"/>
      <c r="BK4" s="6" t="str">
        <f t="shared" si="1"/>
        <v>PlottingTime</v>
      </c>
      <c r="BL4" s="11">
        <f t="shared" si="2"/>
        <v>-0.209693</v>
      </c>
      <c r="BM4" s="12" t="str">
        <f t="shared" si="3"/>
        <v>Group 1</v>
      </c>
      <c r="BN4" s="6" t="s">
        <v>81</v>
      </c>
      <c r="BO4" s="6" t="s">
        <v>1</v>
      </c>
      <c r="BP4" s="6">
        <v>-0.20969300000000002</v>
      </c>
      <c r="BQ4" s="6"/>
      <c r="BR4" s="6"/>
      <c r="BS4" s="6">
        <f>COUNTIF($BL$3:$BL$110, "&gt;0")</f>
        <v>28</v>
      </c>
      <c r="BT4" s="6">
        <f>COUNTIF($BL$3:$BL$110, "&lt;0")</f>
        <v>66</v>
      </c>
      <c r="BU4" s="6"/>
      <c r="BV4" s="6"/>
      <c r="BW4" s="6" t="s">
        <v>90</v>
      </c>
      <c r="BX4" s="6"/>
      <c r="BY4" s="6"/>
      <c r="BZ4" s="6"/>
    </row>
    <row r="5" ht="15.75" customHeight="1">
      <c r="A5" s="1" t="s">
        <v>91</v>
      </c>
      <c r="B5" s="7">
        <v>0.8343</v>
      </c>
      <c r="C5" s="8"/>
      <c r="D5" s="8"/>
      <c r="E5" s="9">
        <v>0.617143</v>
      </c>
      <c r="F5" s="9">
        <v>0.634286</v>
      </c>
      <c r="G5" s="9">
        <v>0.617143</v>
      </c>
      <c r="H5" s="9">
        <v>0.629714286</v>
      </c>
      <c r="I5" s="9">
        <v>0.617142856</v>
      </c>
      <c r="J5" s="9">
        <v>0.302857</v>
      </c>
      <c r="K5" s="9">
        <v>0.666286</v>
      </c>
      <c r="L5" s="9">
        <v>0.668571</v>
      </c>
      <c r="M5" s="9">
        <v>0.731429</v>
      </c>
      <c r="N5" s="9">
        <v>0.67428571</v>
      </c>
      <c r="O5" s="9">
        <v>0.68</v>
      </c>
      <c r="P5" s="9">
        <v>0.725714</v>
      </c>
      <c r="Q5" s="9">
        <v>0.650286</v>
      </c>
      <c r="R5" s="9">
        <v>0.645714</v>
      </c>
      <c r="S5" s="9">
        <v>0.657143</v>
      </c>
      <c r="T5" s="9">
        <v>0.656000006</v>
      </c>
      <c r="U5" s="9">
        <v>0.64</v>
      </c>
      <c r="V5" s="9">
        <v>0.725714</v>
      </c>
      <c r="W5" s="9">
        <v>0.661714</v>
      </c>
      <c r="X5" s="9">
        <v>0.68</v>
      </c>
      <c r="Y5" s="9">
        <v>0.68</v>
      </c>
      <c r="Z5" s="9">
        <v>0.689143</v>
      </c>
      <c r="AA5" s="9">
        <v>0.697143</v>
      </c>
      <c r="AB5" s="9">
        <v>0.674286</v>
      </c>
      <c r="AC5" s="9">
        <v>0.672000015</v>
      </c>
      <c r="AD5" s="9">
        <v>0.708571</v>
      </c>
      <c r="AE5" s="9">
        <v>0.737143</v>
      </c>
      <c r="AF5" s="9">
        <v>0.677714288</v>
      </c>
      <c r="AG5" s="9">
        <v>0.68</v>
      </c>
      <c r="AH5" s="9">
        <v>0.742857</v>
      </c>
      <c r="AI5" s="9">
        <v>0.630857</v>
      </c>
      <c r="AJ5" s="9">
        <v>0.6</v>
      </c>
      <c r="AK5" s="9">
        <v>0.685714</v>
      </c>
      <c r="AL5" s="9">
        <v>0.669714</v>
      </c>
      <c r="AM5" s="9">
        <v>0.691429</v>
      </c>
      <c r="AN5" s="9">
        <v>0.64</v>
      </c>
      <c r="AO5" s="9">
        <v>0.714286</v>
      </c>
      <c r="AP5" s="9">
        <v>0.708571</v>
      </c>
      <c r="AQ5" s="9">
        <v>0.731429</v>
      </c>
      <c r="AR5" s="9" t="s">
        <v>85</v>
      </c>
      <c r="AS5" s="9" t="s">
        <v>85</v>
      </c>
      <c r="AT5" s="1" t="s">
        <v>85</v>
      </c>
      <c r="AU5" s="9">
        <v>0.694857</v>
      </c>
      <c r="AV5" s="9">
        <v>0.714286</v>
      </c>
      <c r="AW5" s="9">
        <v>0.72</v>
      </c>
      <c r="AX5" s="9">
        <v>0.706286</v>
      </c>
      <c r="AY5" s="9">
        <v>0.737143</v>
      </c>
      <c r="AZ5" s="9">
        <v>0.754286</v>
      </c>
      <c r="BA5" s="9">
        <v>0.690286</v>
      </c>
      <c r="BB5" s="9">
        <v>0.662857</v>
      </c>
      <c r="BC5" s="9">
        <v>0.788571</v>
      </c>
      <c r="BD5" s="9">
        <v>0.752</v>
      </c>
      <c r="BE5" s="9">
        <v>0.748571</v>
      </c>
      <c r="BF5" s="9">
        <v>0.765714</v>
      </c>
      <c r="BG5" s="9">
        <v>0.643429</v>
      </c>
      <c r="BH5" s="9">
        <v>0.634286</v>
      </c>
      <c r="BI5" s="9">
        <v>0.582857</v>
      </c>
      <c r="BJ5" s="6"/>
      <c r="BK5" s="6" t="str">
        <f t="shared" si="1"/>
        <v>PlottingTime</v>
      </c>
      <c r="BL5" s="11">
        <f t="shared" si="2"/>
        <v>-0.045729</v>
      </c>
      <c r="BM5" s="12" t="str">
        <f t="shared" si="3"/>
        <v>Group 3</v>
      </c>
      <c r="BN5" s="6" t="s">
        <v>83</v>
      </c>
      <c r="BO5" s="6" t="s">
        <v>1</v>
      </c>
      <c r="BP5" s="6"/>
      <c r="BQ5" s="6"/>
      <c r="BR5" s="6">
        <v>-0.04572900000000002</v>
      </c>
      <c r="BS5" s="6"/>
      <c r="BT5" s="6"/>
      <c r="BU5" s="6"/>
      <c r="BV5" s="6"/>
      <c r="BW5" s="6" t="s">
        <v>92</v>
      </c>
      <c r="BX5" s="6"/>
      <c r="BY5" s="6"/>
      <c r="BZ5" s="6"/>
    </row>
    <row r="6" ht="15.75" customHeight="1">
      <c r="A6" s="1" t="s">
        <v>93</v>
      </c>
      <c r="B6" s="7">
        <v>0.7</v>
      </c>
      <c r="C6" s="8"/>
      <c r="D6" s="8"/>
      <c r="E6" s="9">
        <v>0.353333</v>
      </c>
      <c r="F6" s="9">
        <v>0.433333</v>
      </c>
      <c r="G6" s="9">
        <v>0.5</v>
      </c>
      <c r="H6" s="9">
        <v>0.493333346</v>
      </c>
      <c r="I6" s="9">
        <v>0.466666669</v>
      </c>
      <c r="J6" s="9">
        <v>0.233333</v>
      </c>
      <c r="K6" s="9">
        <v>0.333333</v>
      </c>
      <c r="L6" s="9">
        <v>0.366667</v>
      </c>
      <c r="M6" s="9">
        <v>0.433333</v>
      </c>
      <c r="N6" s="9">
        <v>0.326666677</v>
      </c>
      <c r="O6" s="9">
        <v>0.333333</v>
      </c>
      <c r="P6" s="9">
        <v>0.366667</v>
      </c>
      <c r="Q6" s="9">
        <v>0.5</v>
      </c>
      <c r="R6" s="9">
        <v>0.5</v>
      </c>
      <c r="S6" s="9">
        <v>0.533333</v>
      </c>
      <c r="T6" s="9">
        <v>0.453333339</v>
      </c>
      <c r="U6" s="9">
        <v>0.5</v>
      </c>
      <c r="V6" s="9">
        <v>0.5</v>
      </c>
      <c r="W6" s="9">
        <v>0.393333</v>
      </c>
      <c r="X6" s="9">
        <v>0.4</v>
      </c>
      <c r="Y6" s="9">
        <v>0.366667</v>
      </c>
      <c r="Z6" s="9">
        <v>0.44</v>
      </c>
      <c r="AA6" s="9">
        <v>0.466667</v>
      </c>
      <c r="AB6" s="9">
        <v>0.533333</v>
      </c>
      <c r="AC6" s="9">
        <v>0.44666667</v>
      </c>
      <c r="AD6" s="9">
        <v>0.5</v>
      </c>
      <c r="AE6" s="9">
        <v>0.6</v>
      </c>
      <c r="AF6" s="9">
        <v>0.366666669</v>
      </c>
      <c r="AG6" s="9">
        <v>0.4</v>
      </c>
      <c r="AH6" s="9">
        <v>0.566667</v>
      </c>
      <c r="AI6" s="9">
        <v>0.48</v>
      </c>
      <c r="AJ6" s="9">
        <v>0.466667</v>
      </c>
      <c r="AK6" s="9">
        <v>0.466667</v>
      </c>
      <c r="AL6" s="9">
        <v>0.426667</v>
      </c>
      <c r="AM6" s="9">
        <v>0.433333</v>
      </c>
      <c r="AN6" s="9">
        <v>0.433333</v>
      </c>
      <c r="AO6" s="9">
        <v>0.446667</v>
      </c>
      <c r="AP6" s="9">
        <v>0.433333</v>
      </c>
      <c r="AQ6" s="9">
        <v>0.433333</v>
      </c>
      <c r="AR6" s="9">
        <v>0.43333334</v>
      </c>
      <c r="AS6" s="9">
        <v>0.466667</v>
      </c>
      <c r="AT6" s="9">
        <v>0.466667</v>
      </c>
      <c r="AU6" s="9">
        <v>0.36</v>
      </c>
      <c r="AV6" s="9">
        <v>0.4</v>
      </c>
      <c r="AW6" s="9">
        <v>0.433333</v>
      </c>
      <c r="AX6" s="9">
        <v>0.38</v>
      </c>
      <c r="AY6" s="9">
        <v>0.4</v>
      </c>
      <c r="AZ6" s="9">
        <v>0.366667</v>
      </c>
      <c r="BA6" s="9">
        <v>0.426667</v>
      </c>
      <c r="BB6" s="9">
        <v>0.5</v>
      </c>
      <c r="BC6" s="9">
        <v>0.566667</v>
      </c>
      <c r="BD6" s="9">
        <v>0.393333</v>
      </c>
      <c r="BE6" s="9">
        <v>0.4</v>
      </c>
      <c r="BF6" s="9">
        <v>0.5</v>
      </c>
      <c r="BG6" s="9">
        <v>0.466667</v>
      </c>
      <c r="BH6" s="9">
        <v>0.466667</v>
      </c>
      <c r="BI6" s="9">
        <v>0.533333</v>
      </c>
      <c r="BJ6" s="6"/>
      <c r="BK6" s="6" t="str">
        <f t="shared" si="1"/>
        <v>PlottingTime</v>
      </c>
      <c r="BL6" s="11">
        <f t="shared" si="2"/>
        <v>-0.1</v>
      </c>
      <c r="BM6" s="12" t="str">
        <f t="shared" si="3"/>
        <v>Group 1</v>
      </c>
      <c r="BN6" s="6" t="s">
        <v>81</v>
      </c>
      <c r="BO6" s="6" t="s">
        <v>1</v>
      </c>
      <c r="BP6" s="6">
        <v>-0.09999999999999998</v>
      </c>
      <c r="BQ6" s="6"/>
      <c r="BR6" s="6"/>
      <c r="BS6" s="6"/>
      <c r="BT6" s="6"/>
      <c r="BU6" s="6"/>
      <c r="BV6" s="6"/>
      <c r="BW6" s="6" t="s">
        <v>94</v>
      </c>
      <c r="BX6" s="6"/>
      <c r="BY6" s="6"/>
      <c r="BZ6" s="6"/>
    </row>
    <row r="7" ht="15.75" customHeight="1">
      <c r="A7" s="1" t="s">
        <v>95</v>
      </c>
      <c r="B7" s="7">
        <v>0.95</v>
      </c>
      <c r="C7" s="8"/>
      <c r="D7" s="8"/>
      <c r="E7" s="9">
        <v>0.68</v>
      </c>
      <c r="F7" s="9">
        <v>0.7</v>
      </c>
      <c r="G7" s="9">
        <v>0.85</v>
      </c>
      <c r="H7" s="9">
        <v>0.830000019</v>
      </c>
      <c r="I7" s="9">
        <v>0.850000024</v>
      </c>
      <c r="J7" s="9">
        <v>0.5</v>
      </c>
      <c r="K7" s="9">
        <v>0.71</v>
      </c>
      <c r="L7" s="9">
        <v>0.7</v>
      </c>
      <c r="M7" s="9">
        <v>0.9</v>
      </c>
      <c r="N7" s="9">
        <v>0.719999993</v>
      </c>
      <c r="O7" s="9">
        <v>0.75</v>
      </c>
      <c r="P7" s="9">
        <v>0.9</v>
      </c>
      <c r="Q7" s="9">
        <v>0.76</v>
      </c>
      <c r="R7" s="9">
        <v>0.8</v>
      </c>
      <c r="S7" s="9">
        <v>0.85</v>
      </c>
      <c r="T7" s="9">
        <v>0.810000002</v>
      </c>
      <c r="U7" s="9">
        <v>0.8</v>
      </c>
      <c r="V7" s="9">
        <v>0.85</v>
      </c>
      <c r="W7" s="9">
        <v>0.65</v>
      </c>
      <c r="X7" s="9">
        <v>0.65</v>
      </c>
      <c r="Y7" s="9">
        <v>0.6</v>
      </c>
      <c r="Z7" s="9">
        <v>0.63</v>
      </c>
      <c r="AA7" s="9">
        <v>0.65</v>
      </c>
      <c r="AB7" s="9">
        <v>0.6</v>
      </c>
      <c r="AC7" s="9">
        <v>0.75</v>
      </c>
      <c r="AD7" s="9">
        <v>0.75</v>
      </c>
      <c r="AE7" s="9">
        <v>0.9</v>
      </c>
      <c r="AF7" s="9">
        <v>0.639999998</v>
      </c>
      <c r="AG7" s="9">
        <v>0.5</v>
      </c>
      <c r="AH7" s="9">
        <v>0.9</v>
      </c>
      <c r="AI7" s="9">
        <v>0.65</v>
      </c>
      <c r="AJ7" s="9">
        <v>0.65</v>
      </c>
      <c r="AK7" s="9">
        <v>0.75</v>
      </c>
      <c r="AL7" s="9">
        <v>0.63</v>
      </c>
      <c r="AM7" s="9">
        <v>0.65</v>
      </c>
      <c r="AN7" s="9">
        <v>0.6</v>
      </c>
      <c r="AO7" s="9">
        <v>0.64</v>
      </c>
      <c r="AP7" s="9">
        <v>0.55</v>
      </c>
      <c r="AQ7" s="9">
        <v>0.8</v>
      </c>
      <c r="AR7" s="9">
        <v>0.7</v>
      </c>
      <c r="AS7" s="9">
        <v>0.75</v>
      </c>
      <c r="AT7" s="9">
        <v>0.7</v>
      </c>
      <c r="AU7" s="9">
        <v>0.74</v>
      </c>
      <c r="AV7" s="9">
        <v>0.8</v>
      </c>
      <c r="AW7" s="9">
        <v>0.85</v>
      </c>
      <c r="AX7" s="9">
        <v>0.69</v>
      </c>
      <c r="AY7" s="9">
        <v>0.8</v>
      </c>
      <c r="AZ7" s="9">
        <v>0.85</v>
      </c>
      <c r="BA7" s="9">
        <v>0.82</v>
      </c>
      <c r="BB7" s="9">
        <v>0.85</v>
      </c>
      <c r="BC7" s="9">
        <v>0.8</v>
      </c>
      <c r="BD7" s="9">
        <v>0.9</v>
      </c>
      <c r="BE7" s="9">
        <v>0.9</v>
      </c>
      <c r="BF7" s="9">
        <v>0.9</v>
      </c>
      <c r="BG7" s="9">
        <v>0.62</v>
      </c>
      <c r="BH7" s="9">
        <v>0.55</v>
      </c>
      <c r="BI7" s="9">
        <v>0.75</v>
      </c>
      <c r="BJ7" s="6"/>
      <c r="BK7" s="6" t="str">
        <f t="shared" si="1"/>
        <v>PlottingTime</v>
      </c>
      <c r="BL7" s="11">
        <f t="shared" si="2"/>
        <v>-0.05</v>
      </c>
      <c r="BM7" s="12" t="str">
        <f t="shared" si="3"/>
        <v>Group 3</v>
      </c>
      <c r="BN7" s="6" t="s">
        <v>83</v>
      </c>
      <c r="BO7" s="6" t="s">
        <v>1</v>
      </c>
      <c r="BP7" s="6"/>
      <c r="BQ7" s="6"/>
      <c r="BR7" s="6">
        <v>-0.04999999999999993</v>
      </c>
      <c r="BS7" s="6"/>
      <c r="BT7" s="6"/>
      <c r="BU7" s="6"/>
      <c r="BV7" s="6"/>
      <c r="BW7" s="6" t="s">
        <v>96</v>
      </c>
      <c r="BX7" s="6"/>
      <c r="BY7" s="6"/>
      <c r="BZ7" s="6"/>
    </row>
    <row r="8" ht="15.75" customHeight="1">
      <c r="A8" s="1" t="s">
        <v>97</v>
      </c>
      <c r="B8" s="7">
        <v>0.8</v>
      </c>
      <c r="C8" s="8"/>
      <c r="D8" s="8"/>
      <c r="E8" s="9">
        <v>0.68</v>
      </c>
      <c r="F8" s="9">
        <v>0.7</v>
      </c>
      <c r="G8" s="9">
        <v>0.75</v>
      </c>
      <c r="H8" s="9">
        <v>0.6</v>
      </c>
      <c r="I8" s="9">
        <v>0.600000024</v>
      </c>
      <c r="J8" s="9">
        <v>0.5</v>
      </c>
      <c r="K8" s="9">
        <v>0.75</v>
      </c>
      <c r="L8" s="9">
        <v>0.8</v>
      </c>
      <c r="M8" s="9">
        <v>0.8</v>
      </c>
      <c r="N8" s="9">
        <v>0.7</v>
      </c>
      <c r="O8" s="9">
        <v>0.7</v>
      </c>
      <c r="P8" s="9">
        <v>0.85</v>
      </c>
      <c r="Q8" s="9">
        <v>0.58</v>
      </c>
      <c r="R8" s="9">
        <v>0.55</v>
      </c>
      <c r="S8" s="9">
        <v>0.6</v>
      </c>
      <c r="T8" s="9">
        <v>0.560000002</v>
      </c>
      <c r="U8" s="9">
        <v>0.55</v>
      </c>
      <c r="V8" s="9">
        <v>0.75</v>
      </c>
      <c r="W8" s="9">
        <v>0.66</v>
      </c>
      <c r="X8" s="9">
        <v>0.7</v>
      </c>
      <c r="Y8" s="9">
        <v>0.7</v>
      </c>
      <c r="Z8" s="9">
        <v>0.7</v>
      </c>
      <c r="AA8" s="9">
        <v>0.7</v>
      </c>
      <c r="AB8" s="9">
        <v>0.75</v>
      </c>
      <c r="AC8" s="9">
        <v>0.679999995</v>
      </c>
      <c r="AD8" s="9">
        <v>0.7</v>
      </c>
      <c r="AE8" s="9">
        <v>0.65</v>
      </c>
      <c r="AF8" s="9">
        <v>0.719999993</v>
      </c>
      <c r="AG8" s="9">
        <v>0.75</v>
      </c>
      <c r="AH8" s="9">
        <v>0.8</v>
      </c>
      <c r="AI8" s="9">
        <v>0.72</v>
      </c>
      <c r="AJ8" s="9">
        <v>0.85</v>
      </c>
      <c r="AK8" s="9">
        <v>0.9</v>
      </c>
      <c r="AL8" s="9">
        <v>0.79</v>
      </c>
      <c r="AM8" s="9">
        <v>0.8</v>
      </c>
      <c r="AN8" s="9">
        <v>0.9</v>
      </c>
      <c r="AO8" s="9">
        <v>0.61</v>
      </c>
      <c r="AP8" s="9">
        <v>0.6</v>
      </c>
      <c r="AQ8" s="9">
        <v>0.7</v>
      </c>
      <c r="AR8" s="9">
        <v>0.60999999</v>
      </c>
      <c r="AS8" s="9">
        <v>0.65</v>
      </c>
      <c r="AT8" s="9">
        <v>0.7</v>
      </c>
      <c r="AU8" s="9">
        <v>0.67</v>
      </c>
      <c r="AV8" s="9">
        <v>0.7</v>
      </c>
      <c r="AW8" s="9">
        <v>0.75</v>
      </c>
      <c r="AX8" s="9">
        <v>0.68</v>
      </c>
      <c r="AY8" s="9">
        <v>0.7</v>
      </c>
      <c r="AZ8" s="9">
        <v>0.75</v>
      </c>
      <c r="BA8" s="9">
        <v>0.64</v>
      </c>
      <c r="BB8" s="9">
        <v>0.65</v>
      </c>
      <c r="BC8" s="9">
        <v>0.75</v>
      </c>
      <c r="BD8" s="9">
        <v>0.63</v>
      </c>
      <c r="BE8" s="9">
        <v>0.65</v>
      </c>
      <c r="BF8" s="9">
        <v>0.7</v>
      </c>
      <c r="BG8" s="9">
        <v>0.56</v>
      </c>
      <c r="BH8" s="9">
        <v>0.55</v>
      </c>
      <c r="BI8" s="9">
        <v>0.55</v>
      </c>
      <c r="BJ8" s="6"/>
      <c r="BK8" s="6" t="str">
        <f t="shared" si="1"/>
        <v>10V_One_Acc</v>
      </c>
      <c r="BL8" s="11">
        <f t="shared" si="2"/>
        <v>0.1</v>
      </c>
      <c r="BM8" s="12" t="str">
        <f t="shared" si="3"/>
        <v>Group 2</v>
      </c>
      <c r="BN8" s="6" t="s">
        <v>82</v>
      </c>
      <c r="BO8" s="6" t="s">
        <v>53</v>
      </c>
      <c r="BP8" s="6"/>
      <c r="BQ8" s="6">
        <v>0.09999999999999998</v>
      </c>
      <c r="BR8" s="6"/>
      <c r="BS8" s="6"/>
      <c r="BT8" s="6"/>
      <c r="BU8" s="6"/>
      <c r="BV8" s="6"/>
      <c r="BW8" s="13" t="str">
        <f t="array" ref="BW8">INDEX($1:$1,0,COLUMN()-MOD(COLUMN()-1,2))</f>
        <v/>
      </c>
      <c r="BX8" s="6"/>
      <c r="BY8" s="6"/>
      <c r="BZ8" s="6"/>
    </row>
    <row r="9" ht="15.75" customHeight="1">
      <c r="A9" s="1" t="s">
        <v>98</v>
      </c>
      <c r="B9" s="7">
        <v>1.0</v>
      </c>
      <c r="C9" s="8"/>
      <c r="D9" s="8"/>
      <c r="E9" s="9">
        <v>0.798667</v>
      </c>
      <c r="F9" s="9">
        <v>0.886667</v>
      </c>
      <c r="G9" s="9">
        <v>0.9</v>
      </c>
      <c r="H9" s="9">
        <v>0.874666655</v>
      </c>
      <c r="I9" s="9">
        <v>0.886666656</v>
      </c>
      <c r="J9" s="9">
        <v>0.346667</v>
      </c>
      <c r="K9" s="9">
        <v>0.949333</v>
      </c>
      <c r="L9" s="9">
        <v>0.953333</v>
      </c>
      <c r="M9" s="9">
        <v>0.966667</v>
      </c>
      <c r="N9" s="9">
        <v>0.961333323</v>
      </c>
      <c r="O9" s="9">
        <v>0.96</v>
      </c>
      <c r="P9" s="9">
        <v>0.986667</v>
      </c>
      <c r="Q9" s="9">
        <v>0.784</v>
      </c>
      <c r="R9" s="9">
        <v>0.88</v>
      </c>
      <c r="S9" s="9">
        <v>0.9</v>
      </c>
      <c r="T9" s="9">
        <v>0.886666667</v>
      </c>
      <c r="U9" s="9">
        <v>0.9</v>
      </c>
      <c r="V9" s="9">
        <v>0.906667</v>
      </c>
      <c r="W9" s="9">
        <v>0.901333</v>
      </c>
      <c r="X9" s="9">
        <v>0.92</v>
      </c>
      <c r="Y9" s="9">
        <v>0.973333</v>
      </c>
      <c r="Z9" s="9">
        <v>0.938667</v>
      </c>
      <c r="AA9" s="9">
        <v>0.953333</v>
      </c>
      <c r="AB9" s="9">
        <v>0.96</v>
      </c>
      <c r="AC9" s="9">
        <v>0.881333327</v>
      </c>
      <c r="AD9" s="9">
        <v>0.886667</v>
      </c>
      <c r="AE9" s="9">
        <v>0.886667</v>
      </c>
      <c r="AF9" s="9">
        <v>0.846666658</v>
      </c>
      <c r="AG9" s="9">
        <v>0.893333</v>
      </c>
      <c r="AH9" s="9">
        <v>0.9</v>
      </c>
      <c r="AI9" s="9">
        <v>0.925333</v>
      </c>
      <c r="AJ9" s="9">
        <v>0.933333</v>
      </c>
      <c r="AK9" s="9">
        <v>0.946667</v>
      </c>
      <c r="AL9" s="9">
        <v>0.918667</v>
      </c>
      <c r="AM9" s="9">
        <v>0.92</v>
      </c>
      <c r="AN9" s="9">
        <v>0.9</v>
      </c>
      <c r="AO9" s="9">
        <v>0.802667</v>
      </c>
      <c r="AP9" s="9">
        <v>0.873333</v>
      </c>
      <c r="AQ9" s="9">
        <v>0.9</v>
      </c>
      <c r="AR9" s="9">
        <v>0.876000011</v>
      </c>
      <c r="AS9" s="9">
        <v>0.893333</v>
      </c>
      <c r="AT9" s="9">
        <v>0.9</v>
      </c>
      <c r="AU9" s="9">
        <v>0.88</v>
      </c>
      <c r="AV9" s="9">
        <v>0.866667</v>
      </c>
      <c r="AW9" s="9">
        <v>0.893333</v>
      </c>
      <c r="AX9" s="9">
        <v>0.901333</v>
      </c>
      <c r="AY9" s="9">
        <v>0.906667</v>
      </c>
      <c r="AZ9" s="9">
        <v>0.893333</v>
      </c>
      <c r="BA9" s="9">
        <v>0.829333</v>
      </c>
      <c r="BB9" s="9">
        <v>0.833333</v>
      </c>
      <c r="BC9" s="9">
        <v>0.86</v>
      </c>
      <c r="BD9" s="9">
        <v>0.92</v>
      </c>
      <c r="BE9" s="9">
        <v>0.926667</v>
      </c>
      <c r="BF9" s="9">
        <v>0.94</v>
      </c>
      <c r="BG9" s="9">
        <v>0.974667</v>
      </c>
      <c r="BH9" s="9">
        <v>0.986667</v>
      </c>
      <c r="BI9" s="9">
        <v>0.993333</v>
      </c>
      <c r="BJ9" s="6"/>
      <c r="BK9" s="6" t="str">
        <f t="shared" si="1"/>
        <v>PlottingTime</v>
      </c>
      <c r="BL9" s="11">
        <f t="shared" si="2"/>
        <v>-0.006667</v>
      </c>
      <c r="BM9" s="12" t="str">
        <f t="shared" si="3"/>
        <v>Group 3</v>
      </c>
      <c r="BN9" s="6" t="s">
        <v>83</v>
      </c>
      <c r="BO9" s="6" t="s">
        <v>1</v>
      </c>
      <c r="BP9" s="6"/>
      <c r="BQ9" s="6"/>
      <c r="BR9" s="6">
        <v>-0.0066669999999999785</v>
      </c>
      <c r="BS9" s="6"/>
      <c r="BT9" s="6"/>
      <c r="BU9" s="6"/>
      <c r="BV9" s="6"/>
      <c r="BW9" s="6"/>
      <c r="BX9" s="6"/>
      <c r="BY9" s="6"/>
      <c r="BZ9" s="6"/>
    </row>
    <row r="10" ht="15.75" customHeight="1">
      <c r="A10" s="1" t="s">
        <v>99</v>
      </c>
      <c r="B10" s="7">
        <v>0.8167</v>
      </c>
      <c r="C10" s="8"/>
      <c r="D10" s="8"/>
      <c r="E10" s="9">
        <v>0.536667</v>
      </c>
      <c r="F10" s="9">
        <v>0.55</v>
      </c>
      <c r="G10" s="9">
        <v>0.55</v>
      </c>
      <c r="H10" s="9">
        <v>0.543333328</v>
      </c>
      <c r="I10" s="9">
        <v>0.566666663</v>
      </c>
      <c r="J10" s="9">
        <v>0.2</v>
      </c>
      <c r="K10" s="9">
        <v>0.69</v>
      </c>
      <c r="L10" s="9">
        <v>0.683333</v>
      </c>
      <c r="M10" s="9">
        <v>0.683333</v>
      </c>
      <c r="N10" s="9">
        <v>0.636666667</v>
      </c>
      <c r="O10" s="9">
        <v>0.633333</v>
      </c>
      <c r="P10" s="9">
        <v>0.666667</v>
      </c>
      <c r="Q10" s="9">
        <v>0.556667</v>
      </c>
      <c r="R10" s="9">
        <v>0.55</v>
      </c>
      <c r="S10" s="9">
        <v>0.583333</v>
      </c>
      <c r="T10" s="9">
        <v>0.543333334</v>
      </c>
      <c r="U10" s="9">
        <v>0.566667</v>
      </c>
      <c r="V10" s="9">
        <v>0.583333</v>
      </c>
      <c r="W10" s="9">
        <v>0.656667</v>
      </c>
      <c r="X10" s="9">
        <v>0.65</v>
      </c>
      <c r="Y10" s="9">
        <v>0.716667</v>
      </c>
      <c r="Z10" s="9">
        <v>0.63</v>
      </c>
      <c r="AA10" s="9">
        <v>0.616667</v>
      </c>
      <c r="AB10" s="9">
        <v>0.666667</v>
      </c>
      <c r="AC10" s="9">
        <v>0.566666657</v>
      </c>
      <c r="AD10" s="9">
        <v>0.583333</v>
      </c>
      <c r="AE10" s="9">
        <v>0.583333</v>
      </c>
      <c r="AF10" s="9">
        <v>0.566666675</v>
      </c>
      <c r="AG10" s="9">
        <v>0.566667</v>
      </c>
      <c r="AH10" s="9">
        <v>0.55</v>
      </c>
      <c r="AI10" s="9">
        <v>0.65</v>
      </c>
      <c r="AJ10" s="9">
        <v>0.633333</v>
      </c>
      <c r="AK10" s="9">
        <v>0.65</v>
      </c>
      <c r="AL10" s="9">
        <v>0.663333</v>
      </c>
      <c r="AM10" s="9">
        <v>0.666667</v>
      </c>
      <c r="AN10" s="9">
        <v>0.7</v>
      </c>
      <c r="AO10" s="9">
        <v>0.633333</v>
      </c>
      <c r="AP10" s="9">
        <v>0.633333</v>
      </c>
      <c r="AQ10" s="9">
        <v>0.633333</v>
      </c>
      <c r="AR10" s="9">
        <v>0.593333352</v>
      </c>
      <c r="AS10" s="9">
        <v>0.6</v>
      </c>
      <c r="AT10" s="9">
        <v>0.6</v>
      </c>
      <c r="AU10" s="9">
        <v>0.653333</v>
      </c>
      <c r="AV10" s="9">
        <v>0.633333</v>
      </c>
      <c r="AW10" s="9">
        <v>0.766667</v>
      </c>
      <c r="AX10" s="9">
        <v>0.7</v>
      </c>
      <c r="AY10" s="9">
        <v>0.7</v>
      </c>
      <c r="AZ10" s="9">
        <v>0.7</v>
      </c>
      <c r="BA10" s="9">
        <v>0.576667</v>
      </c>
      <c r="BB10" s="9">
        <v>0.6</v>
      </c>
      <c r="BC10" s="9">
        <v>0.55</v>
      </c>
      <c r="BD10" s="9">
        <v>0.65</v>
      </c>
      <c r="BE10" s="9">
        <v>0.666667</v>
      </c>
      <c r="BF10" s="9">
        <v>0.683333</v>
      </c>
      <c r="BG10" s="9">
        <v>0.613333</v>
      </c>
      <c r="BH10" s="9">
        <v>0.566667</v>
      </c>
      <c r="BI10" s="9">
        <v>0.583333</v>
      </c>
      <c r="BJ10" s="6"/>
      <c r="BK10" s="6" t="str">
        <f t="shared" si="1"/>
        <v>PlottingTime</v>
      </c>
      <c r="BL10" s="11">
        <f t="shared" si="2"/>
        <v>-0.050033</v>
      </c>
      <c r="BM10" s="12" t="str">
        <f t="shared" si="3"/>
        <v>Group 3</v>
      </c>
      <c r="BN10" s="6" t="s">
        <v>83</v>
      </c>
      <c r="BO10" s="6" t="s">
        <v>1</v>
      </c>
      <c r="BP10" s="6"/>
      <c r="BQ10" s="6"/>
      <c r="BR10" s="6">
        <v>-0.050032999999999994</v>
      </c>
      <c r="BS10" s="6"/>
      <c r="BT10" s="6"/>
      <c r="BU10" s="6"/>
      <c r="BV10" s="6"/>
      <c r="BW10" s="6" t="s">
        <v>100</v>
      </c>
      <c r="BX10" s="6"/>
      <c r="BY10" s="6"/>
      <c r="BZ10" s="6"/>
    </row>
    <row r="11" ht="15.75" customHeight="1">
      <c r="A11" s="1" t="s">
        <v>101</v>
      </c>
      <c r="B11" s="7">
        <v>0.9989</v>
      </c>
      <c r="C11" s="8"/>
      <c r="D11" s="8"/>
      <c r="E11" s="9">
        <v>0.933556</v>
      </c>
      <c r="F11" s="9">
        <v>0.941111</v>
      </c>
      <c r="G11" s="9">
        <v>0.955556</v>
      </c>
      <c r="H11" s="9">
        <v>0.922888887</v>
      </c>
      <c r="I11" s="9">
        <v>0.930000007</v>
      </c>
      <c r="J11" s="9">
        <v>0.331111</v>
      </c>
      <c r="K11" s="9">
        <v>0.948222</v>
      </c>
      <c r="L11" s="9">
        <v>0.958889</v>
      </c>
      <c r="M11" s="9">
        <v>0.984444</v>
      </c>
      <c r="N11" s="9">
        <v>0.968444455</v>
      </c>
      <c r="O11" s="9">
        <v>0.967778</v>
      </c>
      <c r="P11" s="9">
        <v>0.975556</v>
      </c>
      <c r="Q11" s="9">
        <v>0.910889</v>
      </c>
      <c r="R11" s="9">
        <v>0.916667</v>
      </c>
      <c r="S11" s="9">
        <v>0.935556</v>
      </c>
      <c r="T11" s="9">
        <v>0.917333341</v>
      </c>
      <c r="U11" s="9">
        <v>0.935556</v>
      </c>
      <c r="V11" s="9">
        <v>0.938889</v>
      </c>
      <c r="W11" s="9">
        <v>0.936667</v>
      </c>
      <c r="X11" s="9">
        <v>0.944444</v>
      </c>
      <c r="Y11" s="9">
        <v>0.945556</v>
      </c>
      <c r="Z11" s="9">
        <v>0.932444</v>
      </c>
      <c r="AA11" s="9">
        <v>0.932222</v>
      </c>
      <c r="AB11" s="9">
        <v>0.956667</v>
      </c>
      <c r="AC11" s="9">
        <v>0.949333322</v>
      </c>
      <c r="AD11" s="9">
        <v>0.95</v>
      </c>
      <c r="AE11" s="9">
        <v>0.965556</v>
      </c>
      <c r="AF11" s="9">
        <v>0.942888892</v>
      </c>
      <c r="AG11" s="9">
        <v>0.958889</v>
      </c>
      <c r="AH11" s="9">
        <v>0.96</v>
      </c>
      <c r="AI11" s="9">
        <v>0.964</v>
      </c>
      <c r="AJ11" s="9">
        <v>0.964444</v>
      </c>
      <c r="AK11" s="9">
        <v>0.974444</v>
      </c>
      <c r="AL11" s="9">
        <v>0.965556</v>
      </c>
      <c r="AM11" s="9">
        <v>0.97</v>
      </c>
      <c r="AN11" s="9">
        <v>0.975556</v>
      </c>
      <c r="AO11" s="9">
        <v>0.952667</v>
      </c>
      <c r="AP11" s="9">
        <v>0.948889</v>
      </c>
      <c r="AQ11" s="9">
        <v>0.961111</v>
      </c>
      <c r="AR11" s="9" t="s">
        <v>85</v>
      </c>
      <c r="AS11" s="9" t="s">
        <v>85</v>
      </c>
      <c r="AT11" s="1" t="s">
        <v>85</v>
      </c>
      <c r="AU11" s="9">
        <v>0.899556</v>
      </c>
      <c r="AV11" s="9">
        <v>0.902222</v>
      </c>
      <c r="AW11" s="9">
        <v>0.933333</v>
      </c>
      <c r="AX11" s="9">
        <v>0.938222</v>
      </c>
      <c r="AY11" s="9">
        <v>0.938889</v>
      </c>
      <c r="AZ11" s="9">
        <v>0.948889</v>
      </c>
      <c r="BA11" s="9">
        <v>0.957333</v>
      </c>
      <c r="BB11" s="9">
        <v>0.961111</v>
      </c>
      <c r="BC11" s="9">
        <v>0.971111</v>
      </c>
      <c r="BD11" s="9">
        <v>0.924667</v>
      </c>
      <c r="BE11" s="9">
        <v>0.921111</v>
      </c>
      <c r="BF11" s="9">
        <v>0.94</v>
      </c>
      <c r="BG11" s="9">
        <v>0.849556</v>
      </c>
      <c r="BH11" s="9">
        <v>0.856667</v>
      </c>
      <c r="BI11" s="9">
        <v>0.861111</v>
      </c>
      <c r="BJ11" s="6"/>
      <c r="BK11" s="6" t="str">
        <f t="shared" si="1"/>
        <v>PlottingTime</v>
      </c>
      <c r="BL11" s="11">
        <f t="shared" si="2"/>
        <v>-0.014456</v>
      </c>
      <c r="BM11" s="12" t="str">
        <f t="shared" si="3"/>
        <v>Group 3</v>
      </c>
      <c r="BN11" s="6" t="s">
        <v>83</v>
      </c>
      <c r="BO11" s="6" t="s">
        <v>1</v>
      </c>
      <c r="BP11" s="6"/>
      <c r="BQ11" s="6"/>
      <c r="BR11" s="6">
        <v>-0.014456000000000024</v>
      </c>
      <c r="BS11" s="6"/>
      <c r="BT11" s="6"/>
      <c r="BU11" s="6"/>
      <c r="BV11" s="6"/>
      <c r="BW11" s="6" t="s">
        <v>102</v>
      </c>
      <c r="BX11" s="6"/>
      <c r="BY11" s="6"/>
      <c r="BZ11" s="6"/>
    </row>
    <row r="12" ht="15.75" customHeight="1">
      <c r="A12" s="1" t="s">
        <v>103</v>
      </c>
      <c r="B12" s="7">
        <v>0.9825</v>
      </c>
      <c r="C12" s="8"/>
      <c r="D12" s="8"/>
      <c r="E12" s="9">
        <v>0.960933</v>
      </c>
      <c r="F12" s="9">
        <v>0.965015</v>
      </c>
      <c r="G12" s="9">
        <v>0.976676</v>
      </c>
      <c r="H12" s="9">
        <v>0.958017504</v>
      </c>
      <c r="I12" s="9">
        <v>0.965014577</v>
      </c>
      <c r="J12" s="9">
        <v>0.717201</v>
      </c>
      <c r="K12" s="9">
        <v>0.961516</v>
      </c>
      <c r="L12" s="9">
        <v>0.959184</v>
      </c>
      <c r="M12" s="9">
        <v>0.962099</v>
      </c>
      <c r="N12" s="9">
        <v>0.962682223</v>
      </c>
      <c r="O12" s="9">
        <v>0.965015</v>
      </c>
      <c r="P12" s="9">
        <v>0.965015</v>
      </c>
      <c r="Q12" s="9">
        <v>0.967347</v>
      </c>
      <c r="R12" s="9">
        <v>0.96793</v>
      </c>
      <c r="S12" s="9">
        <v>0.96793</v>
      </c>
      <c r="T12" s="9">
        <v>0.956268227</v>
      </c>
      <c r="U12" s="9">
        <v>0.976676</v>
      </c>
      <c r="V12" s="9">
        <v>0.979592</v>
      </c>
      <c r="W12" s="9">
        <v>0.848397</v>
      </c>
      <c r="X12" s="9">
        <v>0.953353</v>
      </c>
      <c r="Y12" s="9">
        <v>0.944606</v>
      </c>
      <c r="Z12" s="9">
        <v>0.948105</v>
      </c>
      <c r="AA12" s="9">
        <v>0.953353</v>
      </c>
      <c r="AB12" s="9">
        <v>0.944606</v>
      </c>
      <c r="AC12" s="9">
        <v>0.967930019</v>
      </c>
      <c r="AD12" s="9">
        <v>0.970845</v>
      </c>
      <c r="AE12" s="9">
        <v>0.982507</v>
      </c>
      <c r="AF12" s="9">
        <v>0.976676393</v>
      </c>
      <c r="AG12" s="9">
        <v>0.973761</v>
      </c>
      <c r="AH12" s="9">
        <v>0.982507</v>
      </c>
      <c r="AI12" s="9">
        <v>0.937609</v>
      </c>
      <c r="AJ12" s="9">
        <v>0.938776</v>
      </c>
      <c r="AK12" s="9">
        <v>0.947522</v>
      </c>
      <c r="AL12" s="9">
        <v>0.938192</v>
      </c>
      <c r="AM12" s="9">
        <v>0.941691</v>
      </c>
      <c r="AN12" s="9">
        <v>0.932945</v>
      </c>
      <c r="AO12" s="9">
        <v>0.955685</v>
      </c>
      <c r="AP12" s="9">
        <v>0.973761</v>
      </c>
      <c r="AQ12" s="9">
        <v>0.979592</v>
      </c>
      <c r="AR12" s="9">
        <v>0.962682223</v>
      </c>
      <c r="AS12" s="9">
        <v>0.959184</v>
      </c>
      <c r="AT12" s="9">
        <v>0.982507</v>
      </c>
      <c r="AU12" s="9">
        <v>0.940525</v>
      </c>
      <c r="AV12" s="9">
        <v>0.941691</v>
      </c>
      <c r="AW12" s="9">
        <v>0.932945</v>
      </c>
      <c r="AX12" s="9">
        <v>0.941691</v>
      </c>
      <c r="AY12" s="9">
        <v>0.941691</v>
      </c>
      <c r="AZ12" s="9">
        <v>0.956268</v>
      </c>
      <c r="BA12" s="9">
        <v>0.903207</v>
      </c>
      <c r="BB12" s="9">
        <v>0.895044</v>
      </c>
      <c r="BC12" s="9">
        <v>0.947522</v>
      </c>
      <c r="BD12" s="9">
        <v>0.935277</v>
      </c>
      <c r="BE12" s="9">
        <v>0.944606</v>
      </c>
      <c r="BF12" s="9">
        <v>0.947522</v>
      </c>
      <c r="BG12" s="9">
        <v>0.443732</v>
      </c>
      <c r="BH12" s="9">
        <v>0.44898</v>
      </c>
      <c r="BI12" s="9">
        <v>0.970845</v>
      </c>
      <c r="BJ12" s="6"/>
      <c r="BK12" s="6" t="str">
        <f t="shared" si="1"/>
        <v>10B_One_Acc</v>
      </c>
      <c r="BL12" s="11">
        <f t="shared" si="2"/>
        <v>0.000007</v>
      </c>
      <c r="BM12" s="12" t="str">
        <f t="shared" si="3"/>
        <v>Group 3</v>
      </c>
      <c r="BN12" s="6" t="s">
        <v>83</v>
      </c>
      <c r="BO12" s="6" t="s">
        <v>47</v>
      </c>
      <c r="BP12" s="6"/>
      <c r="BQ12" s="6"/>
      <c r="BR12" s="6">
        <v>6.999999999979245E-6</v>
      </c>
      <c r="BS12" s="6"/>
      <c r="BT12" s="6"/>
      <c r="BU12" s="6"/>
      <c r="BV12" s="6"/>
      <c r="BW12" s="6" t="s">
        <v>104</v>
      </c>
      <c r="BX12" s="6"/>
      <c r="BY12" s="6"/>
      <c r="BZ12" s="6"/>
    </row>
    <row r="13" ht="15.75" customHeight="1">
      <c r="A13" s="1" t="s">
        <v>105</v>
      </c>
      <c r="B13" s="7">
        <v>0.5737</v>
      </c>
      <c r="C13" s="8"/>
      <c r="D13" s="8"/>
      <c r="E13" s="9">
        <v>0.540052</v>
      </c>
      <c r="F13" s="9">
        <v>0.532552</v>
      </c>
      <c r="G13" s="9">
        <v>0.547917</v>
      </c>
      <c r="H13" s="9">
        <v>0.545260406</v>
      </c>
      <c r="I13" s="9">
        <v>0.540624976</v>
      </c>
      <c r="J13" s="9">
        <v>0.532552</v>
      </c>
      <c r="K13" s="9">
        <v>0.546823</v>
      </c>
      <c r="L13" s="9">
        <v>0.532552</v>
      </c>
      <c r="M13" s="9">
        <v>0.532552</v>
      </c>
      <c r="N13" s="9">
        <v>0.536770821</v>
      </c>
      <c r="O13" s="9">
        <v>0.532552</v>
      </c>
      <c r="P13" s="9">
        <v>0.532552</v>
      </c>
      <c r="Q13" s="9">
        <v>0.53875</v>
      </c>
      <c r="R13" s="9">
        <v>0.532552</v>
      </c>
      <c r="S13" s="9">
        <v>0.535677</v>
      </c>
      <c r="T13" s="9">
        <v>0.550572908</v>
      </c>
      <c r="U13" s="9">
        <v>0.532552</v>
      </c>
      <c r="V13" s="9">
        <v>0.532552</v>
      </c>
      <c r="W13" s="9">
        <v>0.540156</v>
      </c>
      <c r="X13" s="9">
        <v>0.532552</v>
      </c>
      <c r="Y13" s="9">
        <v>0.56276</v>
      </c>
      <c r="Z13" s="9">
        <v>0.538854</v>
      </c>
      <c r="AA13" s="9">
        <v>0.532552</v>
      </c>
      <c r="AB13" s="9">
        <v>0.532552</v>
      </c>
      <c r="AC13" s="9">
        <v>0.551874983</v>
      </c>
      <c r="AD13" s="9">
        <v>0.540104</v>
      </c>
      <c r="AE13" s="9">
        <v>0.579427</v>
      </c>
      <c r="AF13" s="9">
        <v>0.546822906</v>
      </c>
      <c r="AG13" s="9">
        <v>0.532552</v>
      </c>
      <c r="AH13" s="9">
        <v>0.532552</v>
      </c>
      <c r="AI13" s="9">
        <v>0.532552</v>
      </c>
      <c r="AJ13" s="9">
        <v>0.532552</v>
      </c>
      <c r="AK13" s="9">
        <v>0.532552</v>
      </c>
      <c r="AL13" s="9">
        <v>0.532552</v>
      </c>
      <c r="AM13" s="9">
        <v>0.532552</v>
      </c>
      <c r="AN13" s="9">
        <v>0.532552</v>
      </c>
      <c r="AO13" s="9">
        <v>0.566562</v>
      </c>
      <c r="AP13" s="9">
        <v>0.571094</v>
      </c>
      <c r="AQ13" s="9">
        <v>0.579427</v>
      </c>
      <c r="AR13" s="9">
        <v>0.571406245</v>
      </c>
      <c r="AS13" s="9">
        <v>0.569792</v>
      </c>
      <c r="AT13" s="9">
        <v>0.578385</v>
      </c>
      <c r="AU13" s="9">
        <v>0.541562</v>
      </c>
      <c r="AV13" s="9">
        <v>0.532552</v>
      </c>
      <c r="AW13" s="9">
        <v>0.59974</v>
      </c>
      <c r="AX13" s="9">
        <v>0.551146</v>
      </c>
      <c r="AY13" s="9">
        <v>0.532552</v>
      </c>
      <c r="AZ13" s="9">
        <v>0.532552</v>
      </c>
      <c r="BA13" s="9">
        <v>0.57875</v>
      </c>
      <c r="BB13" s="9">
        <v>0.580208</v>
      </c>
      <c r="BC13" s="9">
        <v>0.588542</v>
      </c>
      <c r="BD13" s="9">
        <v>0.532552</v>
      </c>
      <c r="BE13" s="9">
        <v>0.532552</v>
      </c>
      <c r="BF13" s="9">
        <v>0.532552</v>
      </c>
      <c r="BG13" s="9">
        <v>0.553698</v>
      </c>
      <c r="BH13" s="9">
        <v>0.558333</v>
      </c>
      <c r="BI13" s="9">
        <v>0.5625</v>
      </c>
      <c r="BJ13" s="6"/>
      <c r="BK13" s="6" t="str">
        <f t="shared" si="1"/>
        <v>12V_One_Acc</v>
      </c>
      <c r="BL13" s="11">
        <f t="shared" si="2"/>
        <v>0.02604</v>
      </c>
      <c r="BM13" s="12" t="str">
        <f t="shared" si="3"/>
        <v>Group 3</v>
      </c>
      <c r="BN13" s="6" t="s">
        <v>83</v>
      </c>
      <c r="BO13" s="6" t="s">
        <v>65</v>
      </c>
      <c r="BP13" s="6"/>
      <c r="BQ13" s="6"/>
      <c r="BR13" s="6">
        <v>0.026040000000000063</v>
      </c>
      <c r="BS13" s="6"/>
      <c r="BT13" s="6"/>
      <c r="BU13" s="6"/>
      <c r="BV13" s="6"/>
      <c r="BW13" s="6" t="s">
        <v>106</v>
      </c>
      <c r="BX13" s="6"/>
      <c r="BY13" s="6"/>
      <c r="BZ13" s="6"/>
    </row>
    <row r="14" ht="15.75" customHeight="1">
      <c r="A14" s="1" t="s">
        <v>107</v>
      </c>
      <c r="B14" s="7">
        <v>0.9268</v>
      </c>
      <c r="C14" s="8"/>
      <c r="D14" s="8"/>
      <c r="E14" s="9">
        <v>0.371159</v>
      </c>
      <c r="F14" s="9">
        <v>0.381159</v>
      </c>
      <c r="G14" s="9">
        <v>0.435507</v>
      </c>
      <c r="H14" s="9">
        <v>0.514927524</v>
      </c>
      <c r="I14" s="9">
        <v>0.505072474</v>
      </c>
      <c r="J14" s="9">
        <v>0.247826</v>
      </c>
      <c r="K14" s="9">
        <v>0.402899</v>
      </c>
      <c r="L14" s="9">
        <v>0.403623</v>
      </c>
      <c r="M14" s="9">
        <v>0.496377</v>
      </c>
      <c r="N14" s="9">
        <v>0.350000006</v>
      </c>
      <c r="O14" s="9">
        <v>0.32971</v>
      </c>
      <c r="P14" s="9">
        <v>0.494203</v>
      </c>
      <c r="Q14" s="9">
        <v>0.535362</v>
      </c>
      <c r="R14" s="9">
        <v>0.597101</v>
      </c>
      <c r="S14" s="9">
        <v>0.643478</v>
      </c>
      <c r="T14" s="9">
        <v>0.564347827</v>
      </c>
      <c r="U14" s="9">
        <v>0.544928</v>
      </c>
      <c r="V14" s="9">
        <v>0.603623</v>
      </c>
      <c r="W14" s="9">
        <v>0.561594</v>
      </c>
      <c r="X14" s="9">
        <v>0.565942</v>
      </c>
      <c r="Y14" s="9">
        <v>0.628261</v>
      </c>
      <c r="Z14" s="9">
        <v>0.586522</v>
      </c>
      <c r="AA14" s="9">
        <v>0.578986</v>
      </c>
      <c r="AB14" s="9">
        <v>0.602899</v>
      </c>
      <c r="AC14" s="9">
        <v>0.563623178</v>
      </c>
      <c r="AD14" s="9">
        <v>0.561594</v>
      </c>
      <c r="AE14" s="9">
        <v>0.656522</v>
      </c>
      <c r="AF14" s="9">
        <v>0.602608693</v>
      </c>
      <c r="AG14" s="9">
        <v>0.601449</v>
      </c>
      <c r="AH14" s="9">
        <v>0.668841</v>
      </c>
      <c r="AI14" s="9">
        <v>0.638406</v>
      </c>
      <c r="AJ14" s="9">
        <v>0.644203</v>
      </c>
      <c r="AK14" s="9">
        <v>0.641304</v>
      </c>
      <c r="AL14" s="9">
        <v>0.606667</v>
      </c>
      <c r="AM14" s="9">
        <v>0.607971</v>
      </c>
      <c r="AN14" s="9">
        <v>0.634058</v>
      </c>
      <c r="AO14" s="9">
        <v>0.60971</v>
      </c>
      <c r="AP14" s="9">
        <v>0.619565</v>
      </c>
      <c r="AQ14" s="9">
        <v>0.63913</v>
      </c>
      <c r="AR14" s="9">
        <v>0.601884055</v>
      </c>
      <c r="AS14" s="9">
        <v>0.605797</v>
      </c>
      <c r="AT14" s="9">
        <v>0.646377</v>
      </c>
      <c r="AU14" s="9">
        <v>0.701014</v>
      </c>
      <c r="AV14" s="9">
        <v>0.700725</v>
      </c>
      <c r="AW14" s="9">
        <v>0.697826</v>
      </c>
      <c r="AX14" s="9">
        <v>0.691739</v>
      </c>
      <c r="AY14" s="9">
        <v>0.693478</v>
      </c>
      <c r="AZ14" s="9">
        <v>0.742029</v>
      </c>
      <c r="BA14" s="9">
        <v>0.733478</v>
      </c>
      <c r="BB14" s="9">
        <v>0.743478</v>
      </c>
      <c r="BC14" s="9">
        <v>0.787681</v>
      </c>
      <c r="BD14" s="9">
        <v>0.77942</v>
      </c>
      <c r="BE14" s="9">
        <v>0.782609</v>
      </c>
      <c r="BF14" s="9">
        <v>0.797101</v>
      </c>
      <c r="BG14" s="9">
        <v>0.279855</v>
      </c>
      <c r="BH14" s="9">
        <v>0.284058</v>
      </c>
      <c r="BI14" s="9">
        <v>0.281884</v>
      </c>
      <c r="BJ14" s="6"/>
      <c r="BK14" s="6" t="str">
        <f t="shared" si="1"/>
        <v>PlottingTime</v>
      </c>
      <c r="BL14" s="11">
        <f t="shared" si="2"/>
        <v>-0.129699</v>
      </c>
      <c r="BM14" s="12" t="str">
        <f t="shared" si="3"/>
        <v>Group 1</v>
      </c>
      <c r="BN14" s="6" t="s">
        <v>81</v>
      </c>
      <c r="BO14" s="6" t="s">
        <v>1</v>
      </c>
      <c r="BP14" s="6">
        <v>-0.129699</v>
      </c>
      <c r="BQ14" s="6"/>
      <c r="BR14" s="6"/>
      <c r="BS14" s="6"/>
      <c r="BT14" s="6"/>
      <c r="BU14" s="6"/>
      <c r="BV14" s="6"/>
      <c r="BW14" s="6" t="s">
        <v>108</v>
      </c>
      <c r="BX14" s="6"/>
      <c r="BY14" s="6"/>
      <c r="BZ14" s="6"/>
    </row>
    <row r="15" ht="15.75" customHeight="1">
      <c r="A15" s="1" t="s">
        <v>109</v>
      </c>
      <c r="B15" s="7">
        <v>1.0</v>
      </c>
      <c r="C15" s="8"/>
      <c r="D15" s="8"/>
      <c r="E15" s="9">
        <v>0.742857</v>
      </c>
      <c r="F15" s="9">
        <v>0.785714</v>
      </c>
      <c r="G15" s="9">
        <v>0.75</v>
      </c>
      <c r="H15" s="9">
        <v>0.764285707</v>
      </c>
      <c r="I15" s="9">
        <v>0.785714269</v>
      </c>
      <c r="J15" s="9">
        <v>0.464286</v>
      </c>
      <c r="K15" s="9">
        <v>0.828571</v>
      </c>
      <c r="L15" s="9">
        <v>0.821429</v>
      </c>
      <c r="M15" s="9">
        <v>0.821429</v>
      </c>
      <c r="N15" s="9">
        <v>0.757142866</v>
      </c>
      <c r="O15" s="9">
        <v>0.75</v>
      </c>
      <c r="P15" s="9">
        <v>0.75</v>
      </c>
      <c r="Q15" s="9">
        <v>0.721429</v>
      </c>
      <c r="R15" s="9">
        <v>0.714286</v>
      </c>
      <c r="S15" s="9">
        <v>0.714286</v>
      </c>
      <c r="T15" s="9">
        <v>0.742857134</v>
      </c>
      <c r="U15" s="9">
        <v>0.75</v>
      </c>
      <c r="V15" s="9">
        <v>0.75</v>
      </c>
      <c r="W15" s="9">
        <v>0.985714</v>
      </c>
      <c r="X15" s="9">
        <v>1.0</v>
      </c>
      <c r="Y15" s="9">
        <v>0.964286</v>
      </c>
      <c r="Z15" s="9">
        <v>0.985714</v>
      </c>
      <c r="AA15" s="9">
        <v>1.0</v>
      </c>
      <c r="AB15" s="9">
        <v>1.0</v>
      </c>
      <c r="AC15" s="9">
        <v>0.849999988</v>
      </c>
      <c r="AD15" s="9">
        <v>0.857143</v>
      </c>
      <c r="AE15" s="9">
        <v>0.857143</v>
      </c>
      <c r="AF15" s="9">
        <v>0.864285707</v>
      </c>
      <c r="AG15" s="9">
        <v>0.892857</v>
      </c>
      <c r="AH15" s="9">
        <v>0.857143</v>
      </c>
      <c r="AI15" s="9">
        <v>0.771429</v>
      </c>
      <c r="AJ15" s="9">
        <v>0.857143</v>
      </c>
      <c r="AK15" s="9">
        <v>0.857143</v>
      </c>
      <c r="AL15" s="9">
        <v>0.835714</v>
      </c>
      <c r="AM15" s="9">
        <v>0.857143</v>
      </c>
      <c r="AN15" s="9">
        <v>0.857143</v>
      </c>
      <c r="AO15" s="9">
        <v>0.864286</v>
      </c>
      <c r="AP15" s="9">
        <v>0.892857</v>
      </c>
      <c r="AQ15" s="9">
        <v>0.928571</v>
      </c>
      <c r="AR15" s="9">
        <v>0.892857134</v>
      </c>
      <c r="AS15" s="9">
        <v>0.928571</v>
      </c>
      <c r="AT15" s="9">
        <v>0.928571</v>
      </c>
      <c r="AU15" s="9">
        <v>0.935714</v>
      </c>
      <c r="AV15" s="9">
        <v>0.964286</v>
      </c>
      <c r="AW15" s="9">
        <v>0.964286</v>
      </c>
      <c r="AX15" s="9">
        <v>0.935714</v>
      </c>
      <c r="AY15" s="9">
        <v>0.928571</v>
      </c>
      <c r="AZ15" s="9">
        <v>0.964286</v>
      </c>
      <c r="BA15" s="9">
        <v>0.885714</v>
      </c>
      <c r="BB15" s="9">
        <v>0.928571</v>
      </c>
      <c r="BC15" s="9">
        <v>0.928571</v>
      </c>
      <c r="BD15" s="9">
        <v>0.964286</v>
      </c>
      <c r="BE15" s="9">
        <v>0.964286</v>
      </c>
      <c r="BF15" s="9">
        <v>0.964286</v>
      </c>
      <c r="BG15" s="9">
        <v>0.65</v>
      </c>
      <c r="BH15" s="9">
        <v>0.642857</v>
      </c>
      <c r="BI15" s="9">
        <v>0.928571</v>
      </c>
      <c r="BJ15" s="6"/>
      <c r="BK15" s="6" t="str">
        <f t="shared" si="1"/>
        <v>PlottingTime</v>
      </c>
      <c r="BL15" s="11">
        <f t="shared" si="2"/>
        <v>0</v>
      </c>
      <c r="BM15" s="12" t="str">
        <f t="shared" si="3"/>
        <v>Group 3</v>
      </c>
      <c r="BN15" s="6" t="s">
        <v>83</v>
      </c>
      <c r="BO15" s="6" t="s">
        <v>1</v>
      </c>
      <c r="BP15" s="6"/>
      <c r="BQ15" s="6"/>
      <c r="BR15" s="6">
        <v>0.0</v>
      </c>
      <c r="BS15" s="6"/>
      <c r="BT15" s="6"/>
      <c r="BU15" s="6"/>
      <c r="BV15" s="6"/>
      <c r="BW15" s="6"/>
      <c r="BX15" s="6"/>
      <c r="BY15" s="6"/>
      <c r="BZ15" s="6"/>
    </row>
    <row r="16" ht="15.75" customHeight="1">
      <c r="A16" s="1" t="s">
        <v>110</v>
      </c>
      <c r="B16" s="7">
        <v>0.816</v>
      </c>
      <c r="C16" s="8"/>
      <c r="D16" s="8"/>
      <c r="E16" s="9">
        <v>0.8104</v>
      </c>
      <c r="F16" s="9">
        <v>0.812</v>
      </c>
      <c r="G16" s="9">
        <v>0.812</v>
      </c>
      <c r="H16" s="9">
        <v>0.73039999</v>
      </c>
      <c r="I16" s="9">
        <v>0.736000001</v>
      </c>
      <c r="J16" s="9">
        <v>0.5</v>
      </c>
      <c r="K16" s="9">
        <v>0.6848</v>
      </c>
      <c r="L16" s="9">
        <v>0.672</v>
      </c>
      <c r="M16" s="9">
        <v>0.684</v>
      </c>
      <c r="N16" s="9">
        <v>0.669599998</v>
      </c>
      <c r="O16" s="9">
        <v>0.676</v>
      </c>
      <c r="P16" s="9">
        <v>0.672</v>
      </c>
      <c r="Q16" s="9">
        <v>0.8112</v>
      </c>
      <c r="R16" s="9">
        <v>0.808</v>
      </c>
      <c r="S16" s="9">
        <v>0.836</v>
      </c>
      <c r="T16" s="9">
        <v>0.8176</v>
      </c>
      <c r="U16" s="9">
        <v>0.816</v>
      </c>
      <c r="V16" s="9">
        <v>0.824</v>
      </c>
      <c r="W16" s="9">
        <v>0.7032</v>
      </c>
      <c r="X16" s="9">
        <v>0.704</v>
      </c>
      <c r="Y16" s="9">
        <v>0.712</v>
      </c>
      <c r="Z16" s="9">
        <v>0.692</v>
      </c>
      <c r="AA16" s="9">
        <v>0.688</v>
      </c>
      <c r="AB16" s="9">
        <v>0.692</v>
      </c>
      <c r="AC16" s="9">
        <v>0.828000009</v>
      </c>
      <c r="AD16" s="9">
        <v>0.832</v>
      </c>
      <c r="AE16" s="9">
        <v>0.824</v>
      </c>
      <c r="AF16" s="9">
        <v>0.823199987</v>
      </c>
      <c r="AG16" s="9">
        <v>0.824</v>
      </c>
      <c r="AH16" s="9">
        <v>0.828</v>
      </c>
      <c r="AI16" s="9">
        <v>0.6616</v>
      </c>
      <c r="AJ16" s="9">
        <v>0.66</v>
      </c>
      <c r="AK16" s="9">
        <v>0.616</v>
      </c>
      <c r="AL16" s="9">
        <v>0.6584</v>
      </c>
      <c r="AM16" s="9">
        <v>0.656</v>
      </c>
      <c r="AN16" s="9">
        <v>0.676</v>
      </c>
      <c r="AO16" s="9">
        <v>0.8136</v>
      </c>
      <c r="AP16" s="9">
        <v>0.812</v>
      </c>
      <c r="AQ16" s="9">
        <v>0.8</v>
      </c>
      <c r="AR16" s="9">
        <v>0.809600008</v>
      </c>
      <c r="AS16" s="9">
        <v>0.808</v>
      </c>
      <c r="AT16" s="9">
        <v>0.812</v>
      </c>
      <c r="AU16" s="9">
        <v>0.6728</v>
      </c>
      <c r="AV16" s="9">
        <v>0.672</v>
      </c>
      <c r="AW16" s="9">
        <v>0.648</v>
      </c>
      <c r="AX16" s="9">
        <v>0.6416</v>
      </c>
      <c r="AY16" s="9">
        <v>0.632</v>
      </c>
      <c r="AZ16" s="9">
        <v>0.644</v>
      </c>
      <c r="BA16" s="9">
        <v>0.7872</v>
      </c>
      <c r="BB16" s="9">
        <v>0.792</v>
      </c>
      <c r="BC16" s="9">
        <v>0.784</v>
      </c>
      <c r="BD16" s="9">
        <v>0.6688</v>
      </c>
      <c r="BE16" s="9">
        <v>0.68</v>
      </c>
      <c r="BF16" s="9">
        <v>0.684</v>
      </c>
      <c r="BG16" s="9">
        <v>0.5728</v>
      </c>
      <c r="BH16" s="9">
        <v>0.588</v>
      </c>
      <c r="BI16" s="9">
        <v>0.604</v>
      </c>
      <c r="BJ16" s="6"/>
      <c r="BK16" s="6" t="str">
        <f t="shared" si="1"/>
        <v>8B_One_Acc</v>
      </c>
      <c r="BL16" s="11">
        <f t="shared" si="2"/>
        <v>0.02</v>
      </c>
      <c r="BM16" s="12" t="str">
        <f t="shared" si="3"/>
        <v>Group 3</v>
      </c>
      <c r="BN16" s="6" t="s">
        <v>83</v>
      </c>
      <c r="BO16" s="6" t="s">
        <v>35</v>
      </c>
      <c r="BP16" s="6"/>
      <c r="BQ16" s="6"/>
      <c r="BR16" s="6">
        <v>0.020000000000000018</v>
      </c>
      <c r="BS16" s="6"/>
      <c r="BT16" s="6"/>
      <c r="BU16" s="6"/>
      <c r="BV16" s="6"/>
      <c r="BW16" s="6"/>
      <c r="BX16" s="6"/>
      <c r="BY16" s="6"/>
      <c r="BZ16" s="6"/>
    </row>
    <row r="17" ht="15.75" customHeight="1">
      <c r="A17" s="1" t="s">
        <v>111</v>
      </c>
      <c r="B17" s="7">
        <v>0.642</v>
      </c>
      <c r="C17" s="8"/>
      <c r="D17" s="8"/>
      <c r="E17" s="9">
        <v>0.409798</v>
      </c>
      <c r="F17" s="9">
        <v>0.406548</v>
      </c>
      <c r="G17" s="9">
        <v>0.445952</v>
      </c>
      <c r="H17" s="9">
        <v>0.425797617</v>
      </c>
      <c r="I17" s="9">
        <v>0.441726178</v>
      </c>
      <c r="J17" s="9">
        <v>0.041667</v>
      </c>
      <c r="K17" s="9">
        <v>0.401869</v>
      </c>
      <c r="L17" s="9">
        <v>0.399048</v>
      </c>
      <c r="M17" s="9">
        <v>0.253274</v>
      </c>
      <c r="N17" s="9">
        <v>0.413392866</v>
      </c>
      <c r="O17" s="9">
        <v>0.451548</v>
      </c>
      <c r="P17" s="9">
        <v>0.37631</v>
      </c>
      <c r="Q17" s="9">
        <v>0.454262</v>
      </c>
      <c r="R17" s="9">
        <v>0.43619</v>
      </c>
      <c r="S17" s="9">
        <v>0.352976</v>
      </c>
      <c r="T17" s="9">
        <v>0.490238106</v>
      </c>
      <c r="U17" s="9">
        <v>0.501071</v>
      </c>
      <c r="V17" s="9">
        <v>0.471131</v>
      </c>
      <c r="W17" s="9">
        <v>0.363964</v>
      </c>
      <c r="X17" s="9">
        <v>0.35625</v>
      </c>
      <c r="Y17" s="9">
        <v>0.489762</v>
      </c>
      <c r="Z17" s="9">
        <v>0.411381</v>
      </c>
      <c r="AA17" s="9">
        <v>0.4275</v>
      </c>
      <c r="AB17" s="9">
        <v>0.255119</v>
      </c>
      <c r="AC17" s="9">
        <v>0.451357144</v>
      </c>
      <c r="AD17" s="9">
        <v>0.458274</v>
      </c>
      <c r="AE17" s="9">
        <v>0.475595</v>
      </c>
      <c r="AF17" s="9">
        <v>0.390392855</v>
      </c>
      <c r="AG17" s="9">
        <v>0.431786</v>
      </c>
      <c r="AH17" s="9">
        <v>0.224286</v>
      </c>
      <c r="AI17" s="9">
        <v>0.301881</v>
      </c>
      <c r="AJ17" s="9">
        <v>0.236786</v>
      </c>
      <c r="AK17" s="9">
        <v>0.407679</v>
      </c>
      <c r="AL17" s="9">
        <v>0.249524</v>
      </c>
      <c r="AM17" s="9">
        <v>0.207679</v>
      </c>
      <c r="AN17" s="9">
        <v>0.2325</v>
      </c>
      <c r="AO17" s="9">
        <v>0.483131</v>
      </c>
      <c r="AP17" s="9">
        <v>0.496012</v>
      </c>
      <c r="AQ17" s="9">
        <v>0.560119</v>
      </c>
      <c r="AR17" s="9">
        <v>0.489238095</v>
      </c>
      <c r="AS17" s="9">
        <v>0.504881</v>
      </c>
      <c r="AT17" s="9">
        <v>0.472381</v>
      </c>
      <c r="AU17" s="9">
        <v>0.373298</v>
      </c>
      <c r="AV17" s="9">
        <v>0.363512</v>
      </c>
      <c r="AW17" s="9">
        <v>0.593988</v>
      </c>
      <c r="AX17" s="9">
        <v>0.31631</v>
      </c>
      <c r="AY17" s="9">
        <v>0.317976</v>
      </c>
      <c r="AZ17" s="9">
        <v>0.354048</v>
      </c>
      <c r="BA17" s="9">
        <v>0.409679</v>
      </c>
      <c r="BB17" s="9">
        <v>0.425774</v>
      </c>
      <c r="BC17" s="9">
        <v>0.49875</v>
      </c>
      <c r="BD17" s="9">
        <v>0.292607</v>
      </c>
      <c r="BE17" s="9">
        <v>0.270179</v>
      </c>
      <c r="BF17" s="9">
        <v>0.254405</v>
      </c>
      <c r="BG17" s="9">
        <v>0.643631</v>
      </c>
      <c r="BH17" s="9">
        <v>0.645357</v>
      </c>
      <c r="BI17" s="9">
        <v>0.598333</v>
      </c>
      <c r="BJ17" s="6"/>
      <c r="BK17" s="6" t="str">
        <f t="shared" si="1"/>
        <v>De_Fold_Median</v>
      </c>
      <c r="BL17" s="11">
        <f t="shared" si="2"/>
        <v>0.003357</v>
      </c>
      <c r="BM17" s="12" t="str">
        <f t="shared" si="3"/>
        <v>Group 3</v>
      </c>
      <c r="BN17" s="6" t="s">
        <v>83</v>
      </c>
      <c r="BO17" s="6" t="s">
        <v>76</v>
      </c>
      <c r="BP17" s="6"/>
      <c r="BQ17" s="6"/>
      <c r="BR17" s="6">
        <v>0.0033569999999999434</v>
      </c>
      <c r="BS17" s="6"/>
      <c r="BT17" s="6"/>
      <c r="BU17" s="6"/>
      <c r="BV17" s="6"/>
      <c r="BW17" s="6"/>
      <c r="BX17" s="6"/>
      <c r="BY17" s="6"/>
      <c r="BZ17" s="6"/>
    </row>
    <row r="18" ht="15.75" customHeight="1">
      <c r="A18" s="1" t="s">
        <v>112</v>
      </c>
      <c r="B18" s="7">
        <v>0.9706</v>
      </c>
      <c r="C18" s="8"/>
      <c r="D18" s="8"/>
      <c r="E18" s="9">
        <v>0.865359</v>
      </c>
      <c r="F18" s="9">
        <v>0.882353</v>
      </c>
      <c r="G18" s="9">
        <v>0.905229</v>
      </c>
      <c r="H18" s="9">
        <v>0.858823514</v>
      </c>
      <c r="I18" s="9">
        <v>0.879084945</v>
      </c>
      <c r="J18" s="9">
        <v>0.300654</v>
      </c>
      <c r="K18" s="9">
        <v>0.859477</v>
      </c>
      <c r="L18" s="9">
        <v>0.885621</v>
      </c>
      <c r="M18" s="9">
        <v>0.892157</v>
      </c>
      <c r="N18" s="9">
        <v>0.794117641</v>
      </c>
      <c r="O18" s="9">
        <v>0.843137</v>
      </c>
      <c r="P18" s="9">
        <v>0.892157</v>
      </c>
      <c r="Q18" s="9">
        <v>0.881046</v>
      </c>
      <c r="R18" s="9">
        <v>0.879085</v>
      </c>
      <c r="S18" s="9">
        <v>0.892157</v>
      </c>
      <c r="T18" s="9">
        <v>0.774509794</v>
      </c>
      <c r="U18" s="9">
        <v>0.892157</v>
      </c>
      <c r="V18" s="9">
        <v>0.905229</v>
      </c>
      <c r="W18" s="9">
        <v>0.885621</v>
      </c>
      <c r="X18" s="9">
        <v>0.892157</v>
      </c>
      <c r="Y18" s="9">
        <v>0.892157</v>
      </c>
      <c r="Z18" s="9">
        <v>0.889542</v>
      </c>
      <c r="AA18" s="9">
        <v>0.892157</v>
      </c>
      <c r="AB18" s="9">
        <v>0.892157</v>
      </c>
      <c r="AC18" s="9">
        <v>0.884313715</v>
      </c>
      <c r="AD18" s="9">
        <v>0.888889</v>
      </c>
      <c r="AE18" s="9">
        <v>0.875817</v>
      </c>
      <c r="AF18" s="9">
        <v>0.879084969</v>
      </c>
      <c r="AG18" s="9">
        <v>0.882353</v>
      </c>
      <c r="AH18" s="9">
        <v>0.885621</v>
      </c>
      <c r="AI18" s="9">
        <v>0.891503</v>
      </c>
      <c r="AJ18" s="9">
        <v>0.888889</v>
      </c>
      <c r="AK18" s="9">
        <v>0.915033</v>
      </c>
      <c r="AL18" s="9">
        <v>0.869935</v>
      </c>
      <c r="AM18" s="9">
        <v>0.892157</v>
      </c>
      <c r="AN18" s="9">
        <v>0.892157</v>
      </c>
      <c r="AO18" s="9">
        <v>0.890196</v>
      </c>
      <c r="AP18" s="9">
        <v>0.888889</v>
      </c>
      <c r="AQ18" s="9">
        <v>0.888889</v>
      </c>
      <c r="AR18" s="9">
        <v>0.871895421</v>
      </c>
      <c r="AS18" s="9">
        <v>0.892157</v>
      </c>
      <c r="AT18" s="9">
        <v>0.901961</v>
      </c>
      <c r="AU18" s="9">
        <v>0.861438</v>
      </c>
      <c r="AV18" s="9">
        <v>0.875817</v>
      </c>
      <c r="AW18" s="9">
        <v>0.888889</v>
      </c>
      <c r="AX18" s="9">
        <v>0.833987</v>
      </c>
      <c r="AY18" s="9">
        <v>0.888889</v>
      </c>
      <c r="AZ18" s="9">
        <v>0.888889</v>
      </c>
      <c r="BA18" s="9">
        <v>0.89281</v>
      </c>
      <c r="BB18" s="9">
        <v>0.892157</v>
      </c>
      <c r="BC18" s="9">
        <v>0.898693</v>
      </c>
      <c r="BD18" s="9">
        <v>0.896078</v>
      </c>
      <c r="BE18" s="9">
        <v>0.892157</v>
      </c>
      <c r="BF18" s="9">
        <v>0.895425</v>
      </c>
      <c r="BG18" s="9">
        <v>0.296078</v>
      </c>
      <c r="BH18" s="9">
        <v>0.30719</v>
      </c>
      <c r="BI18" s="9">
        <v>0.330065</v>
      </c>
      <c r="BJ18" s="6"/>
      <c r="BK18" s="6" t="str">
        <f t="shared" si="1"/>
        <v>PlottingTime</v>
      </c>
      <c r="BL18" s="11">
        <f t="shared" si="2"/>
        <v>-0.055567</v>
      </c>
      <c r="BM18" s="12" t="str">
        <f t="shared" si="3"/>
        <v>Group 3</v>
      </c>
      <c r="BN18" s="6" t="s">
        <v>83</v>
      </c>
      <c r="BO18" s="6" t="s">
        <v>1</v>
      </c>
      <c r="BP18" s="6"/>
      <c r="BQ18" s="6"/>
      <c r="BR18" s="6">
        <v>-0.05556700000000003</v>
      </c>
      <c r="BS18" s="6"/>
      <c r="BT18" s="6"/>
      <c r="BU18" s="6"/>
      <c r="BV18" s="6"/>
      <c r="BW18" s="6"/>
      <c r="BX18" s="6"/>
      <c r="BY18" s="6"/>
      <c r="BZ18" s="6"/>
    </row>
    <row r="19" ht="15.75" customHeight="1">
      <c r="A19" s="1" t="s">
        <v>113</v>
      </c>
      <c r="B19" s="7">
        <v>0.7482</v>
      </c>
      <c r="C19" s="8"/>
      <c r="D19" s="8"/>
      <c r="E19" s="9">
        <v>0.664748</v>
      </c>
      <c r="F19" s="9">
        <v>0.669065</v>
      </c>
      <c r="G19" s="9">
        <v>0.625899</v>
      </c>
      <c r="H19" s="9">
        <v>0.682014382</v>
      </c>
      <c r="I19" s="9">
        <v>0.676258981</v>
      </c>
      <c r="J19" s="9">
        <v>0.467626</v>
      </c>
      <c r="K19" s="9">
        <v>0.735252</v>
      </c>
      <c r="L19" s="9">
        <v>0.741007</v>
      </c>
      <c r="M19" s="9">
        <v>0.733813</v>
      </c>
      <c r="N19" s="9">
        <v>0.710791361</v>
      </c>
      <c r="O19" s="9">
        <v>0.733813</v>
      </c>
      <c r="P19" s="9">
        <v>0.654676</v>
      </c>
      <c r="Q19" s="9">
        <v>0.683453</v>
      </c>
      <c r="R19" s="9">
        <v>0.683453</v>
      </c>
      <c r="S19" s="9">
        <v>0.640288</v>
      </c>
      <c r="T19" s="9">
        <v>0.684892106</v>
      </c>
      <c r="U19" s="9">
        <v>0.683453</v>
      </c>
      <c r="V19" s="9">
        <v>0.705036</v>
      </c>
      <c r="W19" s="9">
        <v>0.693525</v>
      </c>
      <c r="X19" s="9">
        <v>0.683453</v>
      </c>
      <c r="Y19" s="9">
        <v>0.726619</v>
      </c>
      <c r="Z19" s="9">
        <v>0.689209</v>
      </c>
      <c r="AA19" s="9">
        <v>0.683453</v>
      </c>
      <c r="AB19" s="9">
        <v>0.705036</v>
      </c>
      <c r="AC19" s="9">
        <v>0.69784174</v>
      </c>
      <c r="AD19" s="9">
        <v>0.683453</v>
      </c>
      <c r="AE19" s="9">
        <v>0.676259</v>
      </c>
      <c r="AF19" s="9">
        <v>0.702158272</v>
      </c>
      <c r="AG19" s="9">
        <v>0.71223</v>
      </c>
      <c r="AH19" s="9">
        <v>0.669065</v>
      </c>
      <c r="AI19" s="9">
        <v>0.706475</v>
      </c>
      <c r="AJ19" s="9">
        <v>0.705036</v>
      </c>
      <c r="AK19" s="9">
        <v>0.669065</v>
      </c>
      <c r="AL19" s="9">
        <v>0.697842</v>
      </c>
      <c r="AM19" s="9">
        <v>0.683453</v>
      </c>
      <c r="AN19" s="9">
        <v>0.719424</v>
      </c>
      <c r="AO19" s="9">
        <v>0.686331</v>
      </c>
      <c r="AP19" s="9">
        <v>0.683453</v>
      </c>
      <c r="AQ19" s="9">
        <v>0.690647</v>
      </c>
      <c r="AR19" s="9">
        <v>0.700719428</v>
      </c>
      <c r="AS19" s="9">
        <v>0.697842</v>
      </c>
      <c r="AT19" s="9">
        <v>0.66187</v>
      </c>
      <c r="AU19" s="9">
        <v>0.67482</v>
      </c>
      <c r="AV19" s="9">
        <v>0.683453</v>
      </c>
      <c r="AW19" s="9">
        <v>0.733813</v>
      </c>
      <c r="AX19" s="9">
        <v>0.67482</v>
      </c>
      <c r="AY19" s="9">
        <v>0.683453</v>
      </c>
      <c r="AZ19" s="9">
        <v>0.748201</v>
      </c>
      <c r="BA19" s="9">
        <v>0.664748</v>
      </c>
      <c r="BB19" s="9">
        <v>0.669065</v>
      </c>
      <c r="BC19" s="9">
        <v>0.71223</v>
      </c>
      <c r="BD19" s="9">
        <v>0.690647</v>
      </c>
      <c r="BE19" s="9">
        <v>0.683453</v>
      </c>
      <c r="BF19" s="9">
        <v>0.654676</v>
      </c>
      <c r="BG19" s="9">
        <v>0.697842</v>
      </c>
      <c r="BH19" s="9">
        <v>0.683453</v>
      </c>
      <c r="BI19" s="9">
        <v>0.719424</v>
      </c>
      <c r="BJ19" s="6"/>
      <c r="BK19" s="6" t="str">
        <f t="shared" si="1"/>
        <v>12VB_One_Acc</v>
      </c>
      <c r="BL19" s="11">
        <f t="shared" si="2"/>
        <v>0.000001</v>
      </c>
      <c r="BM19" s="12" t="str">
        <f t="shared" si="3"/>
        <v>Group 3</v>
      </c>
      <c r="BN19" s="6" t="s">
        <v>83</v>
      </c>
      <c r="BO19" s="6" t="s">
        <v>68</v>
      </c>
      <c r="BP19" s="6"/>
      <c r="BQ19" s="6"/>
      <c r="BR19" s="6">
        <v>1.0000000000287557E-6</v>
      </c>
      <c r="BS19" s="6"/>
      <c r="BT19" s="6"/>
      <c r="BU19" s="6"/>
      <c r="BV19" s="6"/>
      <c r="BW19" s="6"/>
      <c r="BX19" s="6"/>
      <c r="BY19" s="6"/>
      <c r="BZ19" s="6"/>
    </row>
    <row r="20" ht="15.75" customHeight="1">
      <c r="A20" s="1" t="s">
        <v>114</v>
      </c>
      <c r="B20" s="7">
        <v>0.779</v>
      </c>
      <c r="C20" s="8"/>
      <c r="D20" s="8"/>
      <c r="E20" s="9">
        <v>0.726087</v>
      </c>
      <c r="F20" s="9">
        <v>0.728261</v>
      </c>
      <c r="G20" s="9">
        <v>0.724638</v>
      </c>
      <c r="H20" s="9">
        <v>0.7268116</v>
      </c>
      <c r="I20" s="9">
        <v>0.728260875</v>
      </c>
      <c r="J20" s="9">
        <v>0.583333</v>
      </c>
      <c r="K20" s="9">
        <v>0.747826</v>
      </c>
      <c r="L20" s="9">
        <v>0.75</v>
      </c>
      <c r="M20" s="9">
        <v>0.768116</v>
      </c>
      <c r="N20" s="9">
        <v>0.754347825</v>
      </c>
      <c r="O20" s="9">
        <v>0.75</v>
      </c>
      <c r="P20" s="9">
        <v>0.764493</v>
      </c>
      <c r="Q20" s="9">
        <v>0.734058</v>
      </c>
      <c r="R20" s="9">
        <v>0.735507</v>
      </c>
      <c r="S20" s="9">
        <v>0.713768</v>
      </c>
      <c r="T20" s="9">
        <v>0.7326087</v>
      </c>
      <c r="U20" s="9">
        <v>0.728261</v>
      </c>
      <c r="V20" s="9">
        <v>0.695652</v>
      </c>
      <c r="W20" s="9">
        <v>0.755072</v>
      </c>
      <c r="X20" s="9">
        <v>0.757246</v>
      </c>
      <c r="Y20" s="9">
        <v>0.76087</v>
      </c>
      <c r="Z20" s="9">
        <v>0.75942</v>
      </c>
      <c r="AA20" s="9">
        <v>0.757246</v>
      </c>
      <c r="AB20" s="9">
        <v>0.757246</v>
      </c>
      <c r="AC20" s="9">
        <v>0.744927537</v>
      </c>
      <c r="AD20" s="9">
        <v>0.742754</v>
      </c>
      <c r="AE20" s="9">
        <v>0.75</v>
      </c>
      <c r="AF20" s="9">
        <v>0.747826087</v>
      </c>
      <c r="AG20" s="9">
        <v>0.75</v>
      </c>
      <c r="AH20" s="9">
        <v>0.742754</v>
      </c>
      <c r="AI20" s="9">
        <v>0.736957</v>
      </c>
      <c r="AJ20" s="9">
        <v>0.735507</v>
      </c>
      <c r="AK20" s="9">
        <v>0.75</v>
      </c>
      <c r="AL20" s="9">
        <v>0.728986</v>
      </c>
      <c r="AM20" s="9">
        <v>0.724638</v>
      </c>
      <c r="AN20" s="9">
        <v>0.75</v>
      </c>
      <c r="AO20" s="9">
        <v>0.757246</v>
      </c>
      <c r="AP20" s="9">
        <v>0.764493</v>
      </c>
      <c r="AQ20" s="9">
        <v>0.764493</v>
      </c>
      <c r="AR20" s="9">
        <v>0.760869563</v>
      </c>
      <c r="AS20" s="9">
        <v>0.757246</v>
      </c>
      <c r="AT20" s="9">
        <v>0.753623</v>
      </c>
      <c r="AU20" s="9">
        <v>0.765217</v>
      </c>
      <c r="AV20" s="9">
        <v>0.764493</v>
      </c>
      <c r="AW20" s="9">
        <v>0.771739</v>
      </c>
      <c r="AX20" s="9">
        <v>0.762319</v>
      </c>
      <c r="AY20" s="9">
        <v>0.764493</v>
      </c>
      <c r="AZ20" s="9">
        <v>0.753623</v>
      </c>
      <c r="BA20" s="9">
        <v>0.751449</v>
      </c>
      <c r="BB20" s="9">
        <v>0.753623</v>
      </c>
      <c r="BC20" s="9">
        <v>0.753623</v>
      </c>
      <c r="BD20" s="9">
        <v>0.752174</v>
      </c>
      <c r="BE20" s="9">
        <v>0.757246</v>
      </c>
      <c r="BF20" s="9">
        <v>0.735507</v>
      </c>
      <c r="BG20" s="9">
        <v>0.742754</v>
      </c>
      <c r="BH20" s="9">
        <v>0.73913</v>
      </c>
      <c r="BI20" s="9">
        <v>0.75</v>
      </c>
      <c r="BJ20" s="6"/>
      <c r="BK20" s="6" t="str">
        <f t="shared" si="1"/>
        <v>PlottingTime</v>
      </c>
      <c r="BL20" s="11">
        <f t="shared" si="2"/>
        <v>-0.007261</v>
      </c>
      <c r="BM20" s="12" t="str">
        <f t="shared" si="3"/>
        <v>Group 3</v>
      </c>
      <c r="BN20" s="6" t="s">
        <v>83</v>
      </c>
      <c r="BO20" s="6" t="s">
        <v>1</v>
      </c>
      <c r="BP20" s="6"/>
      <c r="BQ20" s="6"/>
      <c r="BR20" s="6">
        <v>-0.007261000000000073</v>
      </c>
      <c r="BS20" s="6"/>
      <c r="BT20" s="6"/>
      <c r="BU20" s="6"/>
      <c r="BV20" s="6"/>
      <c r="BW20" s="6"/>
      <c r="BX20" s="6"/>
      <c r="BY20" s="6"/>
      <c r="BZ20" s="6"/>
    </row>
    <row r="21" ht="15.75" customHeight="1">
      <c r="A21" s="1" t="s">
        <v>115</v>
      </c>
      <c r="B21" s="7">
        <v>0.6978</v>
      </c>
      <c r="C21" s="8"/>
      <c r="D21" s="8"/>
      <c r="E21" s="9">
        <v>0.594245</v>
      </c>
      <c r="F21" s="9">
        <v>0.597122</v>
      </c>
      <c r="G21" s="9">
        <v>0.582734</v>
      </c>
      <c r="H21" s="9">
        <v>0.597122312</v>
      </c>
      <c r="I21" s="9">
        <v>0.597122312</v>
      </c>
      <c r="J21" s="9">
        <v>0.302158</v>
      </c>
      <c r="K21" s="9">
        <v>0.666187</v>
      </c>
      <c r="L21" s="9">
        <v>0.669065</v>
      </c>
      <c r="M21" s="9">
        <v>0.669065</v>
      </c>
      <c r="N21" s="9">
        <v>0.641726613</v>
      </c>
      <c r="O21" s="9">
        <v>0.654676</v>
      </c>
      <c r="P21" s="9">
        <v>0.676259</v>
      </c>
      <c r="Q21" s="9">
        <v>0.61295</v>
      </c>
      <c r="R21" s="9">
        <v>0.589928</v>
      </c>
      <c r="S21" s="9">
        <v>0.640288</v>
      </c>
      <c r="T21" s="9">
        <v>0.61438849</v>
      </c>
      <c r="U21" s="9">
        <v>0.611511</v>
      </c>
      <c r="V21" s="9">
        <v>0.597122</v>
      </c>
      <c r="W21" s="9">
        <v>0.653237</v>
      </c>
      <c r="X21" s="9">
        <v>0.66187</v>
      </c>
      <c r="Y21" s="9">
        <v>0.669065</v>
      </c>
      <c r="Z21" s="9">
        <v>0.656115</v>
      </c>
      <c r="AA21" s="9">
        <v>0.669065</v>
      </c>
      <c r="AB21" s="9">
        <v>0.669065</v>
      </c>
      <c r="AC21" s="9">
        <v>0.607194245</v>
      </c>
      <c r="AD21" s="9">
        <v>0.582734</v>
      </c>
      <c r="AE21" s="9">
        <v>0.654676</v>
      </c>
      <c r="AF21" s="9">
        <v>0.615827334</v>
      </c>
      <c r="AG21" s="9">
        <v>0.604317</v>
      </c>
      <c r="AH21" s="9">
        <v>0.633094</v>
      </c>
      <c r="AI21" s="9">
        <v>0.614389</v>
      </c>
      <c r="AJ21" s="9">
        <v>0.633094</v>
      </c>
      <c r="AK21" s="9">
        <v>0.654676</v>
      </c>
      <c r="AL21" s="9">
        <v>0.647482</v>
      </c>
      <c r="AM21" s="9">
        <v>0.647482</v>
      </c>
      <c r="AN21" s="9">
        <v>0.582734</v>
      </c>
      <c r="AO21" s="9">
        <v>0.620144</v>
      </c>
      <c r="AP21" s="9">
        <v>0.625899</v>
      </c>
      <c r="AQ21" s="9">
        <v>0.690647</v>
      </c>
      <c r="AR21" s="9">
        <v>0.618705034</v>
      </c>
      <c r="AS21" s="9">
        <v>0.582734</v>
      </c>
      <c r="AT21" s="9">
        <v>0.654676</v>
      </c>
      <c r="AU21" s="9">
        <v>0.65036</v>
      </c>
      <c r="AV21" s="9">
        <v>0.654676</v>
      </c>
      <c r="AW21" s="9">
        <v>0.676259</v>
      </c>
      <c r="AX21" s="9">
        <v>0.634532</v>
      </c>
      <c r="AY21" s="9">
        <v>0.654676</v>
      </c>
      <c r="AZ21" s="9">
        <v>0.654676</v>
      </c>
      <c r="BA21" s="9">
        <v>0.62446</v>
      </c>
      <c r="BB21" s="9">
        <v>0.633094</v>
      </c>
      <c r="BC21" s="9">
        <v>0.625899</v>
      </c>
      <c r="BD21" s="9">
        <v>0.638849</v>
      </c>
      <c r="BE21" s="9">
        <v>0.654676</v>
      </c>
      <c r="BF21" s="9">
        <v>0.625899</v>
      </c>
      <c r="BG21" s="9">
        <v>0.686331</v>
      </c>
      <c r="BH21" s="9">
        <v>0.690647</v>
      </c>
      <c r="BI21" s="9">
        <v>0.690647</v>
      </c>
      <c r="BJ21" s="6"/>
      <c r="BK21" s="6" t="str">
        <f t="shared" si="1"/>
        <v>PlottingTime</v>
      </c>
      <c r="BL21" s="11">
        <f t="shared" si="2"/>
        <v>-0.007153</v>
      </c>
      <c r="BM21" s="12" t="str">
        <f t="shared" si="3"/>
        <v>Group 3</v>
      </c>
      <c r="BN21" s="6" t="s">
        <v>83</v>
      </c>
      <c r="BO21" s="6" t="s">
        <v>1</v>
      </c>
      <c r="BP21" s="6"/>
      <c r="BQ21" s="6"/>
      <c r="BR21" s="6">
        <v>-0.007152999999999965</v>
      </c>
      <c r="BS21" s="6"/>
      <c r="BT21" s="6"/>
      <c r="BU21" s="6"/>
      <c r="BV21" s="6"/>
      <c r="BW21" s="6"/>
      <c r="BX21" s="6"/>
      <c r="BY21" s="6"/>
      <c r="BZ21" s="6"/>
    </row>
    <row r="22" ht="15.75" customHeight="1">
      <c r="A22" s="1" t="s">
        <v>116</v>
      </c>
      <c r="B22" s="7">
        <v>0.777</v>
      </c>
      <c r="C22" s="8"/>
      <c r="D22" s="8"/>
      <c r="E22" s="9">
        <v>0.748201</v>
      </c>
      <c r="F22" s="9">
        <v>0.748201</v>
      </c>
      <c r="G22" s="9">
        <v>0.741007</v>
      </c>
      <c r="H22" s="9">
        <v>0.74820143</v>
      </c>
      <c r="I22" s="9">
        <v>0.74820143</v>
      </c>
      <c r="J22" s="9">
        <v>0.748201</v>
      </c>
      <c r="K22" s="9">
        <v>0.748201</v>
      </c>
      <c r="L22" s="9">
        <v>0.748201</v>
      </c>
      <c r="M22" s="9">
        <v>0.748201</v>
      </c>
      <c r="N22" s="9">
        <v>0.74820143</v>
      </c>
      <c r="O22" s="9">
        <v>0.748201</v>
      </c>
      <c r="P22" s="9">
        <v>0.748201</v>
      </c>
      <c r="Q22" s="9">
        <v>0.748201</v>
      </c>
      <c r="R22" s="9">
        <v>0.748201</v>
      </c>
      <c r="S22" s="9">
        <v>0.748201</v>
      </c>
      <c r="T22" s="9">
        <v>0.74820143</v>
      </c>
      <c r="U22" s="9">
        <v>0.748201</v>
      </c>
      <c r="V22" s="9">
        <v>0.748201</v>
      </c>
      <c r="W22" s="9">
        <v>0.748201</v>
      </c>
      <c r="X22" s="9">
        <v>0.748201</v>
      </c>
      <c r="Y22" s="9">
        <v>0.748201</v>
      </c>
      <c r="Z22" s="9">
        <v>0.748201</v>
      </c>
      <c r="AA22" s="9">
        <v>0.748201</v>
      </c>
      <c r="AB22" s="9">
        <v>0.748201</v>
      </c>
      <c r="AC22" s="9">
        <v>0.74820143</v>
      </c>
      <c r="AD22" s="9">
        <v>0.748201</v>
      </c>
      <c r="AE22" s="9">
        <v>0.741007</v>
      </c>
      <c r="AF22" s="9">
        <v>0.74820143</v>
      </c>
      <c r="AG22" s="9">
        <v>0.748201</v>
      </c>
      <c r="AH22" s="9">
        <v>0.748201</v>
      </c>
      <c r="AI22" s="9">
        <v>0.748201</v>
      </c>
      <c r="AJ22" s="9">
        <v>0.748201</v>
      </c>
      <c r="AK22" s="9">
        <v>0.748201</v>
      </c>
      <c r="AL22" s="9">
        <v>0.748201</v>
      </c>
      <c r="AM22" s="9">
        <v>0.748201</v>
      </c>
      <c r="AN22" s="9">
        <v>0.748201</v>
      </c>
      <c r="AO22" s="9">
        <v>0.748201</v>
      </c>
      <c r="AP22" s="9">
        <v>0.748201</v>
      </c>
      <c r="AQ22" s="9">
        <v>0.705036</v>
      </c>
      <c r="AR22" s="9">
        <v>0.74820143</v>
      </c>
      <c r="AS22" s="9">
        <v>0.748201</v>
      </c>
      <c r="AT22" s="9">
        <v>0.748201</v>
      </c>
      <c r="AU22" s="9">
        <v>0.748201</v>
      </c>
      <c r="AV22" s="9">
        <v>0.748201</v>
      </c>
      <c r="AW22" s="9">
        <v>0.748201</v>
      </c>
      <c r="AX22" s="9">
        <v>0.748201</v>
      </c>
      <c r="AY22" s="9">
        <v>0.748201</v>
      </c>
      <c r="AZ22" s="9">
        <v>0.748201</v>
      </c>
      <c r="BA22" s="9">
        <v>0.748201</v>
      </c>
      <c r="BB22" s="9">
        <v>0.748201</v>
      </c>
      <c r="BC22" s="9">
        <v>0.748201</v>
      </c>
      <c r="BD22" s="9">
        <v>0.748201</v>
      </c>
      <c r="BE22" s="9">
        <v>0.748201</v>
      </c>
      <c r="BF22" s="9">
        <v>0.748201</v>
      </c>
      <c r="BG22" s="9">
        <v>0.748201</v>
      </c>
      <c r="BH22" s="9">
        <v>0.748201</v>
      </c>
      <c r="BI22" s="9">
        <v>0.66187</v>
      </c>
      <c r="BJ22" s="6"/>
      <c r="BK22" s="6" t="str">
        <f t="shared" si="1"/>
        <v>PlottingTime</v>
      </c>
      <c r="BL22" s="11">
        <f t="shared" si="2"/>
        <v>-0.02879857</v>
      </c>
      <c r="BM22" s="12" t="str">
        <f t="shared" si="3"/>
        <v>Group 3</v>
      </c>
      <c r="BN22" s="6" t="s">
        <v>83</v>
      </c>
      <c r="BO22" s="6" t="s">
        <v>1</v>
      </c>
      <c r="BP22" s="6"/>
      <c r="BQ22" s="6"/>
      <c r="BR22" s="6">
        <v>-0.02879857000000008</v>
      </c>
      <c r="BS22" s="6"/>
      <c r="BT22" s="6"/>
      <c r="BU22" s="6"/>
      <c r="BV22" s="6"/>
      <c r="BW22" s="6"/>
      <c r="BX22" s="6"/>
      <c r="BY22" s="6"/>
      <c r="BZ22" s="6"/>
    </row>
    <row r="23" ht="15.75" customHeight="1">
      <c r="A23" s="1" t="s">
        <v>117</v>
      </c>
      <c r="B23" s="7">
        <v>0.9</v>
      </c>
      <c r="C23" s="8"/>
      <c r="D23" s="8"/>
      <c r="E23" s="9">
        <v>0.64</v>
      </c>
      <c r="F23" s="9">
        <v>0.64</v>
      </c>
      <c r="G23" s="9">
        <v>0.64</v>
      </c>
      <c r="H23" s="9">
        <v>0.639999986</v>
      </c>
      <c r="I23" s="9">
        <v>0.639999986</v>
      </c>
      <c r="J23" s="9">
        <v>0.64</v>
      </c>
      <c r="K23" s="9">
        <v>0.64</v>
      </c>
      <c r="L23" s="9">
        <v>0.64</v>
      </c>
      <c r="M23" s="9">
        <v>0.64</v>
      </c>
      <c r="N23" s="9">
        <v>0.639999986</v>
      </c>
      <c r="O23" s="9">
        <v>0.64</v>
      </c>
      <c r="P23" s="9">
        <v>0.64</v>
      </c>
      <c r="Q23" s="9">
        <v>0.64</v>
      </c>
      <c r="R23" s="9">
        <v>0.64</v>
      </c>
      <c r="S23" s="9">
        <v>0.64</v>
      </c>
      <c r="T23" s="9">
        <v>0.639999986</v>
      </c>
      <c r="U23" s="9">
        <v>0.64</v>
      </c>
      <c r="V23" s="9">
        <v>0.64</v>
      </c>
      <c r="W23" s="9">
        <v>0.64</v>
      </c>
      <c r="X23" s="9">
        <v>0.64</v>
      </c>
      <c r="Y23" s="9">
        <v>0.64</v>
      </c>
      <c r="Z23" s="9">
        <v>0.64</v>
      </c>
      <c r="AA23" s="9">
        <v>0.64</v>
      </c>
      <c r="AB23" s="9">
        <v>0.64</v>
      </c>
      <c r="AC23" s="9">
        <v>0.639999986</v>
      </c>
      <c r="AD23" s="9">
        <v>0.64</v>
      </c>
      <c r="AE23" s="9">
        <v>0.64</v>
      </c>
      <c r="AF23" s="9">
        <v>0.639999986</v>
      </c>
      <c r="AG23" s="9">
        <v>0.64</v>
      </c>
      <c r="AH23" s="9">
        <v>0.64</v>
      </c>
      <c r="AI23" s="9">
        <v>0.64</v>
      </c>
      <c r="AJ23" s="9">
        <v>0.64</v>
      </c>
      <c r="AK23" s="9">
        <v>0.64</v>
      </c>
      <c r="AL23" s="9">
        <v>0.64</v>
      </c>
      <c r="AM23" s="9">
        <v>0.64</v>
      </c>
      <c r="AN23" s="9">
        <v>0.64</v>
      </c>
      <c r="AO23" s="9">
        <v>0.64</v>
      </c>
      <c r="AP23" s="9">
        <v>0.64</v>
      </c>
      <c r="AQ23" s="9">
        <v>0.64</v>
      </c>
      <c r="AR23" s="9">
        <v>0.639999986</v>
      </c>
      <c r="AS23" s="9">
        <v>0.64</v>
      </c>
      <c r="AT23" s="9">
        <v>0.64</v>
      </c>
      <c r="AU23" s="9">
        <v>0.64</v>
      </c>
      <c r="AV23" s="9">
        <v>0.64</v>
      </c>
      <c r="AW23" s="9">
        <v>0.64</v>
      </c>
      <c r="AX23" s="9">
        <v>0.64</v>
      </c>
      <c r="AY23" s="9">
        <v>0.64</v>
      </c>
      <c r="AZ23" s="9">
        <v>0.64</v>
      </c>
      <c r="BA23" s="9">
        <v>0.64</v>
      </c>
      <c r="BB23" s="9">
        <v>0.64</v>
      </c>
      <c r="BC23" s="9">
        <v>0.64</v>
      </c>
      <c r="BD23" s="9">
        <v>0.64</v>
      </c>
      <c r="BE23" s="9">
        <v>0.64</v>
      </c>
      <c r="BF23" s="9">
        <v>0.64</v>
      </c>
      <c r="BG23" s="9">
        <v>0.64</v>
      </c>
      <c r="BH23" s="9">
        <v>0.64</v>
      </c>
      <c r="BI23" s="9">
        <v>0.64</v>
      </c>
      <c r="BJ23" s="6"/>
      <c r="BK23" s="6" t="str">
        <f t="shared" si="1"/>
        <v>PlottingTime</v>
      </c>
      <c r="BL23" s="11">
        <f t="shared" si="2"/>
        <v>-0.26</v>
      </c>
      <c r="BM23" s="12" t="str">
        <f t="shared" si="3"/>
        <v>Group 1</v>
      </c>
      <c r="BN23" s="6" t="s">
        <v>81</v>
      </c>
      <c r="BO23" s="6" t="s">
        <v>1</v>
      </c>
      <c r="BP23" s="6">
        <v>-0.26</v>
      </c>
      <c r="BQ23" s="6"/>
      <c r="BR23" s="6"/>
      <c r="BS23" s="6"/>
      <c r="BT23" s="6"/>
      <c r="BU23" s="6"/>
      <c r="BV23" s="6"/>
      <c r="BW23" s="6"/>
      <c r="BX23" s="6"/>
      <c r="BY23" s="6"/>
      <c r="BZ23" s="6"/>
    </row>
    <row r="24" ht="15.75" customHeight="1">
      <c r="A24" s="1" t="s">
        <v>118</v>
      </c>
      <c r="B24" s="7">
        <v>0.9442</v>
      </c>
      <c r="C24" s="8"/>
      <c r="D24" s="8"/>
      <c r="E24" s="9">
        <v>0.911467</v>
      </c>
      <c r="F24" s="9">
        <v>0.913333</v>
      </c>
      <c r="G24" s="9">
        <v>0.922444</v>
      </c>
      <c r="H24" s="9">
        <v>0.913199985</v>
      </c>
      <c r="I24" s="9">
        <v>0.914444447</v>
      </c>
      <c r="J24" s="9">
        <v>0.583778</v>
      </c>
      <c r="K24" s="9">
        <v>0.916356</v>
      </c>
      <c r="L24" s="9">
        <v>0.917556</v>
      </c>
      <c r="M24" s="9">
        <v>0.918444</v>
      </c>
      <c r="N24" s="9">
        <v>0.912177777</v>
      </c>
      <c r="O24" s="9">
        <v>0.915111</v>
      </c>
      <c r="P24" s="9">
        <v>0.919556</v>
      </c>
      <c r="Q24" s="9">
        <v>0.9136</v>
      </c>
      <c r="R24" s="9">
        <v>0.915111</v>
      </c>
      <c r="S24" s="9">
        <v>0.922</v>
      </c>
      <c r="T24" s="9">
        <v>0.913866675</v>
      </c>
      <c r="U24" s="9">
        <v>0.914889</v>
      </c>
      <c r="V24" s="9">
        <v>0.922</v>
      </c>
      <c r="W24" s="9">
        <v>0.920044</v>
      </c>
      <c r="X24" s="9">
        <v>0.921333</v>
      </c>
      <c r="Y24" s="9">
        <v>0.921778</v>
      </c>
      <c r="Z24" s="9">
        <v>0.920089</v>
      </c>
      <c r="AA24" s="9">
        <v>0.920222</v>
      </c>
      <c r="AB24" s="9">
        <v>0.925778</v>
      </c>
      <c r="AC24" s="9">
        <v>0.916044438</v>
      </c>
      <c r="AD24" s="9">
        <v>0.916222</v>
      </c>
      <c r="AE24" s="9">
        <v>0.928444</v>
      </c>
      <c r="AF24" s="9">
        <v>0.916266656</v>
      </c>
      <c r="AG24" s="9">
        <v>0.916222</v>
      </c>
      <c r="AH24" s="9">
        <v>0.924889</v>
      </c>
      <c r="AI24" s="9">
        <v>0.920489</v>
      </c>
      <c r="AJ24" s="9">
        <v>0.920444</v>
      </c>
      <c r="AK24" s="9">
        <v>0.924</v>
      </c>
      <c r="AL24" s="9">
        <v>0.920844</v>
      </c>
      <c r="AM24" s="9">
        <v>0.920889</v>
      </c>
      <c r="AN24" s="9">
        <v>0.924222</v>
      </c>
      <c r="AO24" s="9">
        <v>0.917733</v>
      </c>
      <c r="AP24" s="9">
        <v>0.916667</v>
      </c>
      <c r="AQ24" s="9">
        <v>0.928222</v>
      </c>
      <c r="AR24" s="9">
        <v>0.915911126</v>
      </c>
      <c r="AS24" s="9">
        <v>0.916</v>
      </c>
      <c r="AT24" s="9">
        <v>0.925333</v>
      </c>
      <c r="AU24" s="9">
        <v>0.920978</v>
      </c>
      <c r="AV24" s="9">
        <v>0.920667</v>
      </c>
      <c r="AW24" s="9">
        <v>0.924667</v>
      </c>
      <c r="AX24" s="9">
        <v>0.920222</v>
      </c>
      <c r="AY24" s="9">
        <v>0.920444</v>
      </c>
      <c r="AZ24" s="9">
        <v>0.931111</v>
      </c>
      <c r="BA24" s="9">
        <v>0.913778</v>
      </c>
      <c r="BB24" s="9">
        <v>0.914222</v>
      </c>
      <c r="BC24" s="9">
        <v>0.921556</v>
      </c>
      <c r="BD24" s="9">
        <v>0.919778</v>
      </c>
      <c r="BE24" s="9">
        <v>0.920444</v>
      </c>
      <c r="BF24" s="9">
        <v>0.926667</v>
      </c>
      <c r="BG24" s="9">
        <v>0.924756</v>
      </c>
      <c r="BH24" s="9">
        <v>0.924889</v>
      </c>
      <c r="BI24" s="9">
        <v>0.926444</v>
      </c>
      <c r="BJ24" s="6"/>
      <c r="BK24" s="6" t="str">
        <f t="shared" si="1"/>
        <v>PlottingTime</v>
      </c>
      <c r="BL24" s="11">
        <f t="shared" si="2"/>
        <v>-0.013089</v>
      </c>
      <c r="BM24" s="12" t="str">
        <f t="shared" si="3"/>
        <v>Group 3</v>
      </c>
      <c r="BN24" s="6" t="s">
        <v>83</v>
      </c>
      <c r="BO24" s="6" t="s">
        <v>1</v>
      </c>
      <c r="BP24" s="6"/>
      <c r="BQ24" s="6"/>
      <c r="BR24" s="6">
        <v>-0.013089000000000017</v>
      </c>
      <c r="BS24" s="6"/>
      <c r="BT24" s="6"/>
      <c r="BU24" s="6"/>
      <c r="BV24" s="6"/>
      <c r="BW24" s="6"/>
      <c r="BX24" s="6"/>
      <c r="BY24" s="6"/>
      <c r="BZ24" s="6"/>
    </row>
    <row r="25" ht="15.75" customHeight="1">
      <c r="A25" s="1" t="s">
        <v>119</v>
      </c>
      <c r="B25" s="7">
        <v>0.8792</v>
      </c>
      <c r="C25" s="8"/>
      <c r="D25" s="8"/>
      <c r="E25" s="9">
        <v>0.75633</v>
      </c>
      <c r="F25" s="9">
        <v>0.785134</v>
      </c>
      <c r="G25" s="9">
        <v>0.796748</v>
      </c>
      <c r="H25" s="9">
        <v>0.592102212</v>
      </c>
      <c r="I25" s="9">
        <v>0.59814167</v>
      </c>
      <c r="J25" s="9">
        <v>0.497096</v>
      </c>
      <c r="K25" s="9">
        <v>0.881998</v>
      </c>
      <c r="L25" s="9">
        <v>0.888502</v>
      </c>
      <c r="M25" s="9">
        <v>0.885017</v>
      </c>
      <c r="N25" s="9">
        <v>0.876655042</v>
      </c>
      <c r="O25" s="9">
        <v>0.878049</v>
      </c>
      <c r="P25" s="9">
        <v>0.912892</v>
      </c>
      <c r="Q25" s="9">
        <v>0.702207</v>
      </c>
      <c r="R25" s="9">
        <v>0.765389</v>
      </c>
      <c r="S25" s="9">
        <v>0.789779</v>
      </c>
      <c r="T25" s="9">
        <v>0.719628346</v>
      </c>
      <c r="U25" s="9">
        <v>0.704994</v>
      </c>
      <c r="V25" s="9">
        <v>0.81417</v>
      </c>
      <c r="W25" s="9">
        <v>0.837863</v>
      </c>
      <c r="X25" s="9">
        <v>0.858304</v>
      </c>
      <c r="Y25" s="9">
        <v>0.872242</v>
      </c>
      <c r="Z25" s="9">
        <v>0.75122</v>
      </c>
      <c r="AA25" s="9">
        <v>0.826945</v>
      </c>
      <c r="AB25" s="9">
        <v>0.875726</v>
      </c>
      <c r="AC25" s="9">
        <v>0.675029039</v>
      </c>
      <c r="AD25" s="9">
        <v>0.745645</v>
      </c>
      <c r="AE25" s="9">
        <v>0.851336</v>
      </c>
      <c r="AF25" s="9">
        <v>0.690127766</v>
      </c>
      <c r="AG25" s="9">
        <v>0.71777</v>
      </c>
      <c r="AH25" s="9">
        <v>0.84669</v>
      </c>
      <c r="AI25" s="9">
        <v>0.672242</v>
      </c>
      <c r="AJ25" s="9">
        <v>0.68525</v>
      </c>
      <c r="AK25" s="9">
        <v>0.836237</v>
      </c>
      <c r="AL25" s="9">
        <v>0.650174</v>
      </c>
      <c r="AM25" s="9">
        <v>0.627178</v>
      </c>
      <c r="AN25" s="9">
        <v>0.801394</v>
      </c>
      <c r="AO25" s="9">
        <v>0.769106</v>
      </c>
      <c r="AP25" s="9">
        <v>0.807201</v>
      </c>
      <c r="AQ25" s="9">
        <v>0.826945</v>
      </c>
      <c r="AR25" s="9">
        <v>0.65574913</v>
      </c>
      <c r="AS25" s="9">
        <v>0.735192</v>
      </c>
      <c r="AT25" s="9">
        <v>0.811847</v>
      </c>
      <c r="AU25" s="9">
        <v>0.728455</v>
      </c>
      <c r="AV25" s="9">
        <v>0.810685</v>
      </c>
      <c r="AW25" s="9">
        <v>0.831591</v>
      </c>
      <c r="AX25" s="9">
        <v>0.818815</v>
      </c>
      <c r="AY25" s="9">
        <v>0.829268</v>
      </c>
      <c r="AZ25" s="9">
        <v>0.824623</v>
      </c>
      <c r="BA25" s="9">
        <v>0.774913</v>
      </c>
      <c r="BB25" s="9">
        <v>0.790941</v>
      </c>
      <c r="BC25" s="9">
        <v>0.8223</v>
      </c>
      <c r="BD25" s="9">
        <v>0.560279</v>
      </c>
      <c r="BE25" s="9">
        <v>0.497096</v>
      </c>
      <c r="BF25" s="9">
        <v>0.658537</v>
      </c>
      <c r="BG25" s="9">
        <v>0.723345</v>
      </c>
      <c r="BH25" s="9">
        <v>0.745645</v>
      </c>
      <c r="BI25" s="9">
        <v>0.816492</v>
      </c>
      <c r="BJ25" s="6"/>
      <c r="BK25" s="6" t="str">
        <f t="shared" si="1"/>
        <v>5VB_One_Acc</v>
      </c>
      <c r="BL25" s="11">
        <f t="shared" si="2"/>
        <v>0.033692</v>
      </c>
      <c r="BM25" s="12" t="str">
        <f t="shared" si="3"/>
        <v>Group 3</v>
      </c>
      <c r="BN25" s="6" t="s">
        <v>83</v>
      </c>
      <c r="BO25" s="6" t="s">
        <v>32</v>
      </c>
      <c r="BP25" s="6"/>
      <c r="BQ25" s="6"/>
      <c r="BR25" s="6">
        <v>0.033692000000000055</v>
      </c>
      <c r="BS25" s="6"/>
      <c r="BT25" s="6"/>
      <c r="BU25" s="6"/>
      <c r="BV25" s="6"/>
      <c r="BW25" s="6"/>
      <c r="BX25" s="6"/>
      <c r="BY25" s="6"/>
      <c r="BZ25" s="6"/>
    </row>
    <row r="26" ht="15.75" customHeight="1">
      <c r="A26" s="1" t="s">
        <v>120</v>
      </c>
      <c r="B26" s="7">
        <v>0.7378</v>
      </c>
      <c r="C26" s="8"/>
      <c r="D26" s="8"/>
      <c r="E26" s="9">
        <v>0.620568</v>
      </c>
      <c r="F26" s="9">
        <v>0.630787</v>
      </c>
      <c r="G26" s="9">
        <v>0.632343</v>
      </c>
      <c r="H26" s="9">
        <v>0.560368311</v>
      </c>
      <c r="I26" s="9">
        <v>0.556866825</v>
      </c>
      <c r="J26" s="9">
        <v>0.242381</v>
      </c>
      <c r="K26" s="9">
        <v>0.628998</v>
      </c>
      <c r="L26" s="9">
        <v>0.628712</v>
      </c>
      <c r="M26" s="9">
        <v>0.607574</v>
      </c>
      <c r="N26" s="9">
        <v>0.63862015</v>
      </c>
      <c r="O26" s="9">
        <v>0.637012</v>
      </c>
      <c r="P26" s="9">
        <v>0.650499</v>
      </c>
      <c r="Q26" s="9">
        <v>0.637271</v>
      </c>
      <c r="R26" s="9">
        <v>0.648165</v>
      </c>
      <c r="S26" s="9">
        <v>0.677474</v>
      </c>
      <c r="T26" s="9">
        <v>0.640876675</v>
      </c>
      <c r="U26" s="9">
        <v>0.652056</v>
      </c>
      <c r="V26" s="9">
        <v>0.670341</v>
      </c>
      <c r="W26" s="9">
        <v>0.635352</v>
      </c>
      <c r="X26" s="9">
        <v>0.635975</v>
      </c>
      <c r="Y26" s="9">
        <v>0.643237</v>
      </c>
      <c r="Z26" s="9">
        <v>0.648502</v>
      </c>
      <c r="AA26" s="9">
        <v>0.651277</v>
      </c>
      <c r="AB26" s="9">
        <v>0.606017</v>
      </c>
      <c r="AC26" s="9">
        <v>0.632473087</v>
      </c>
      <c r="AD26" s="9">
        <v>0.635067</v>
      </c>
      <c r="AE26" s="9">
        <v>0.627415</v>
      </c>
      <c r="AF26" s="9">
        <v>0.655894172</v>
      </c>
      <c r="AG26" s="9">
        <v>0.664765</v>
      </c>
      <c r="AH26" s="9">
        <v>0.66671</v>
      </c>
      <c r="AI26" s="9">
        <v>0.65203</v>
      </c>
      <c r="AJ26" s="9">
        <v>0.651018</v>
      </c>
      <c r="AK26" s="9">
        <v>0.652445</v>
      </c>
      <c r="AL26" s="9">
        <v>0.644612</v>
      </c>
      <c r="AM26" s="9">
        <v>0.638698</v>
      </c>
      <c r="AN26" s="9">
        <v>0.634937</v>
      </c>
      <c r="AO26" s="9">
        <v>0.611309</v>
      </c>
      <c r="AP26" s="9">
        <v>0.622487</v>
      </c>
      <c r="AQ26" s="9">
        <v>0.67488</v>
      </c>
      <c r="AR26" s="9">
        <v>0.613876283</v>
      </c>
      <c r="AS26" s="9">
        <v>0.61328</v>
      </c>
      <c r="AT26" s="9">
        <v>0.638568</v>
      </c>
      <c r="AU26" s="9">
        <v>0.630398</v>
      </c>
      <c r="AV26" s="9">
        <v>0.631436</v>
      </c>
      <c r="AW26" s="9">
        <v>0.626248</v>
      </c>
      <c r="AX26" s="9">
        <v>0.639684</v>
      </c>
      <c r="AY26" s="9">
        <v>0.638179</v>
      </c>
      <c r="AZ26" s="9">
        <v>0.658151</v>
      </c>
      <c r="BA26" s="9">
        <v>0.62892</v>
      </c>
      <c r="BB26" s="9">
        <v>0.62158</v>
      </c>
      <c r="BC26" s="9">
        <v>0.609519</v>
      </c>
      <c r="BD26" s="9">
        <v>0.638205</v>
      </c>
      <c r="BE26" s="9">
        <v>0.641551</v>
      </c>
      <c r="BF26" s="9">
        <v>0.600571</v>
      </c>
      <c r="BG26" s="9">
        <v>0.589029</v>
      </c>
      <c r="BH26" s="9">
        <v>0.585657</v>
      </c>
      <c r="BI26" s="9">
        <v>0.610686</v>
      </c>
      <c r="BJ26" s="6"/>
      <c r="BK26" s="6" t="str">
        <f t="shared" si="1"/>
        <v>PlottingTime</v>
      </c>
      <c r="BL26" s="11">
        <f t="shared" si="2"/>
        <v>-0.060326</v>
      </c>
      <c r="BM26" s="12" t="str">
        <f t="shared" si="3"/>
        <v>Group 3</v>
      </c>
      <c r="BN26" s="6" t="s">
        <v>83</v>
      </c>
      <c r="BO26" s="6" t="s">
        <v>1</v>
      </c>
      <c r="BP26" s="6"/>
      <c r="BQ26" s="6"/>
      <c r="BR26" s="6">
        <v>-0.06032599999999999</v>
      </c>
      <c r="BS26" s="6"/>
      <c r="BT26" s="6"/>
      <c r="BU26" s="6"/>
      <c r="BV26" s="6"/>
      <c r="BW26" s="6"/>
      <c r="BX26" s="6"/>
      <c r="BY26" s="6"/>
      <c r="BZ26" s="6"/>
    </row>
    <row r="27" ht="15.75" customHeight="1">
      <c r="A27" s="1" t="s">
        <v>121</v>
      </c>
      <c r="B27" s="7">
        <v>0.64</v>
      </c>
      <c r="C27" s="8"/>
      <c r="D27" s="8"/>
      <c r="E27" s="9">
        <v>0.2672</v>
      </c>
      <c r="F27" s="9">
        <v>0.252</v>
      </c>
      <c r="G27" s="9">
        <v>0.248</v>
      </c>
      <c r="H27" s="9">
        <v>0.266000009</v>
      </c>
      <c r="I27" s="9">
        <v>0.256000012</v>
      </c>
      <c r="J27" s="9">
        <v>0.252</v>
      </c>
      <c r="K27" s="9">
        <v>0.2496</v>
      </c>
      <c r="L27" s="9">
        <v>0.25</v>
      </c>
      <c r="M27" s="9">
        <v>0.248</v>
      </c>
      <c r="N27" s="9">
        <v>0.253999996</v>
      </c>
      <c r="O27" s="9">
        <v>0.248</v>
      </c>
      <c r="P27" s="9">
        <v>0.276</v>
      </c>
      <c r="Q27" s="9">
        <v>0.2932</v>
      </c>
      <c r="R27" s="9">
        <v>0.284</v>
      </c>
      <c r="S27" s="9">
        <v>0.252</v>
      </c>
      <c r="T27" s="9">
        <v>0.253599995</v>
      </c>
      <c r="U27" s="9">
        <v>0.248</v>
      </c>
      <c r="V27" s="9">
        <v>0.248</v>
      </c>
      <c r="W27" s="9">
        <v>0.2524</v>
      </c>
      <c r="X27" s="9">
        <v>0.252</v>
      </c>
      <c r="Y27" s="9">
        <v>0.248</v>
      </c>
      <c r="Z27" s="9">
        <v>0.2476</v>
      </c>
      <c r="AA27" s="9">
        <v>0.252</v>
      </c>
      <c r="AB27" s="9">
        <v>0.248</v>
      </c>
      <c r="AC27" s="9">
        <v>0.285599995</v>
      </c>
      <c r="AD27" s="9">
        <v>0.268</v>
      </c>
      <c r="AE27" s="9">
        <v>0.248</v>
      </c>
      <c r="AF27" s="9">
        <v>0.288000003</v>
      </c>
      <c r="AG27" s="9">
        <v>0.284</v>
      </c>
      <c r="AH27" s="9">
        <v>0.252</v>
      </c>
      <c r="AI27" s="9">
        <v>0.3264</v>
      </c>
      <c r="AJ27" s="9">
        <v>0.294</v>
      </c>
      <c r="AK27" s="9">
        <v>0.38</v>
      </c>
      <c r="AL27" s="9">
        <v>0.3488</v>
      </c>
      <c r="AM27" s="9">
        <v>0.356</v>
      </c>
      <c r="AN27" s="9">
        <v>0.402</v>
      </c>
      <c r="AO27" s="9">
        <v>0.2496</v>
      </c>
      <c r="AP27" s="9">
        <v>0.248</v>
      </c>
      <c r="AQ27" s="9">
        <v>0.258</v>
      </c>
      <c r="AR27" s="9">
        <v>0.281999993</v>
      </c>
      <c r="AS27" s="9">
        <v>0.258</v>
      </c>
      <c r="AT27" s="9">
        <v>0.286</v>
      </c>
      <c r="AU27" s="9">
        <v>0.2476</v>
      </c>
      <c r="AV27" s="9">
        <v>0.248</v>
      </c>
      <c r="AW27" s="9">
        <v>0.288</v>
      </c>
      <c r="AX27" s="9">
        <v>0.25</v>
      </c>
      <c r="AY27" s="9">
        <v>0.248</v>
      </c>
      <c r="AZ27" s="9">
        <v>0.248</v>
      </c>
      <c r="BA27" s="9">
        <v>0.2536</v>
      </c>
      <c r="BB27" s="9">
        <v>0.248</v>
      </c>
      <c r="BC27" s="9">
        <v>0.278</v>
      </c>
      <c r="BD27" s="9">
        <v>0.286</v>
      </c>
      <c r="BE27" s="9">
        <v>0.26</v>
      </c>
      <c r="BF27" s="9">
        <v>0.252</v>
      </c>
      <c r="BG27" s="9">
        <v>0.3056</v>
      </c>
      <c r="BH27" s="9">
        <v>0.314</v>
      </c>
      <c r="BI27" s="9">
        <v>0.272</v>
      </c>
      <c r="BJ27" s="6"/>
      <c r="BK27" s="6" t="str">
        <f t="shared" si="1"/>
        <v>PlottingTime</v>
      </c>
      <c r="BL27" s="11">
        <f t="shared" si="2"/>
        <v>-0.238</v>
      </c>
      <c r="BM27" s="12" t="str">
        <f t="shared" si="3"/>
        <v>Group 1</v>
      </c>
      <c r="BN27" s="6" t="s">
        <v>81</v>
      </c>
      <c r="BO27" s="6" t="s">
        <v>1</v>
      </c>
      <c r="BP27" s="6">
        <v>-0.238</v>
      </c>
      <c r="BQ27" s="6"/>
      <c r="BR27" s="6"/>
      <c r="BS27" s="6"/>
      <c r="BT27" s="6"/>
      <c r="BU27" s="6"/>
      <c r="BV27" s="6"/>
      <c r="BW27" s="6"/>
      <c r="BX27" s="6"/>
      <c r="BY27" s="6"/>
      <c r="BZ27" s="6"/>
    </row>
    <row r="28" ht="15.75" customHeight="1">
      <c r="A28" s="1" t="s">
        <v>122</v>
      </c>
      <c r="B28" s="7">
        <v>0.8805</v>
      </c>
      <c r="C28" s="8"/>
      <c r="D28" s="8"/>
      <c r="E28" s="9">
        <v>0.393728</v>
      </c>
      <c r="F28" s="9">
        <v>0.395266</v>
      </c>
      <c r="G28" s="9">
        <v>0.466864</v>
      </c>
      <c r="H28" s="9">
        <v>0.400710058</v>
      </c>
      <c r="I28" s="9">
        <v>0.411834329</v>
      </c>
      <c r="J28" s="9">
        <v>0.064497</v>
      </c>
      <c r="K28" s="9">
        <v>0.539527</v>
      </c>
      <c r="L28" s="9">
        <v>0.554438</v>
      </c>
      <c r="M28" s="9">
        <v>0.602959</v>
      </c>
      <c r="N28" s="9">
        <v>0.371124262</v>
      </c>
      <c r="O28" s="9">
        <v>0.36568</v>
      </c>
      <c r="P28" s="9">
        <v>0.624852</v>
      </c>
      <c r="Q28" s="9">
        <v>0.587219</v>
      </c>
      <c r="R28" s="9">
        <v>0.587574</v>
      </c>
      <c r="S28" s="9">
        <v>0.632544</v>
      </c>
      <c r="T28" s="9">
        <v>0.553964508</v>
      </c>
      <c r="U28" s="9">
        <v>0.557396</v>
      </c>
      <c r="V28" s="9">
        <v>0.63787</v>
      </c>
      <c r="W28" s="9">
        <v>0.577751</v>
      </c>
      <c r="X28" s="9">
        <v>0.523077</v>
      </c>
      <c r="Y28" s="9">
        <v>0.704142</v>
      </c>
      <c r="Z28" s="9">
        <v>0.439172</v>
      </c>
      <c r="AA28" s="9">
        <v>0.443787</v>
      </c>
      <c r="AB28" s="9">
        <v>0.516568</v>
      </c>
      <c r="AC28" s="9">
        <v>0.567573953</v>
      </c>
      <c r="AD28" s="9">
        <v>0.580473</v>
      </c>
      <c r="AE28" s="9">
        <v>0.552663</v>
      </c>
      <c r="AF28" s="9">
        <v>0.675621295</v>
      </c>
      <c r="AG28" s="9">
        <v>0.673373</v>
      </c>
      <c r="AH28" s="9">
        <v>0.676331</v>
      </c>
      <c r="AI28" s="9">
        <v>0.54213</v>
      </c>
      <c r="AJ28" s="9">
        <v>0.550888</v>
      </c>
      <c r="AK28" s="9">
        <v>0.436686</v>
      </c>
      <c r="AL28" s="9">
        <v>0.422249</v>
      </c>
      <c r="AM28" s="9">
        <v>0.374556</v>
      </c>
      <c r="AN28" s="9">
        <v>0.671006</v>
      </c>
      <c r="AO28" s="9">
        <v>0.550888</v>
      </c>
      <c r="AP28" s="9">
        <v>0.591124</v>
      </c>
      <c r="AQ28" s="9">
        <v>0.36213</v>
      </c>
      <c r="AR28" s="9">
        <v>0.624023664</v>
      </c>
      <c r="AS28" s="9">
        <v>0.629586</v>
      </c>
      <c r="AT28" s="9">
        <v>0.613018</v>
      </c>
      <c r="AU28" s="9">
        <v>0.442722</v>
      </c>
      <c r="AV28" s="9">
        <v>0.420118</v>
      </c>
      <c r="AW28" s="9">
        <v>0.646746</v>
      </c>
      <c r="AX28" s="9">
        <v>0.485917</v>
      </c>
      <c r="AY28" s="9">
        <v>0.46568</v>
      </c>
      <c r="AZ28" s="9">
        <v>0.539645</v>
      </c>
      <c r="BA28" s="9">
        <v>0.631716</v>
      </c>
      <c r="BB28" s="9">
        <v>0.678106</v>
      </c>
      <c r="BC28" s="9">
        <v>0.605325</v>
      </c>
      <c r="BD28" s="9">
        <v>0.422604</v>
      </c>
      <c r="BE28" s="9">
        <v>0.405325</v>
      </c>
      <c r="BF28" s="9">
        <v>0.390533</v>
      </c>
      <c r="BG28" s="9">
        <v>0.363077</v>
      </c>
      <c r="BH28" s="9">
        <v>0.300592</v>
      </c>
      <c r="BI28" s="9">
        <v>0.13787</v>
      </c>
      <c r="BJ28" s="6"/>
      <c r="BK28" s="6" t="str">
        <f t="shared" si="1"/>
        <v>PlottingTime</v>
      </c>
      <c r="BL28" s="11">
        <f t="shared" si="2"/>
        <v>-0.176358</v>
      </c>
      <c r="BM28" s="12" t="str">
        <f t="shared" si="3"/>
        <v>Group 1</v>
      </c>
      <c r="BN28" s="6" t="s">
        <v>81</v>
      </c>
      <c r="BO28" s="6" t="s">
        <v>1</v>
      </c>
      <c r="BP28" s="6">
        <v>-0.1763579999999999</v>
      </c>
      <c r="BQ28" s="6"/>
      <c r="BR28" s="6"/>
      <c r="BS28" s="6"/>
      <c r="BT28" s="6"/>
      <c r="BU28" s="6"/>
      <c r="BV28" s="6"/>
      <c r="BW28" s="6"/>
      <c r="BX28" s="6"/>
      <c r="BY28" s="6"/>
      <c r="BZ28" s="6"/>
    </row>
    <row r="29" ht="15.75" customHeight="1">
      <c r="A29" s="1" t="s">
        <v>123</v>
      </c>
      <c r="B29" s="7">
        <v>0.9205</v>
      </c>
      <c r="C29" s="8"/>
      <c r="D29" s="8"/>
      <c r="E29" s="9">
        <v>0.384091</v>
      </c>
      <c r="F29" s="9">
        <v>0.397727</v>
      </c>
      <c r="G29" s="9">
        <v>0.465909</v>
      </c>
      <c r="H29" s="9">
        <v>0.361363637</v>
      </c>
      <c r="I29" s="9">
        <v>0.363636374</v>
      </c>
      <c r="J29" s="9">
        <v>0.159091</v>
      </c>
      <c r="K29" s="9">
        <v>0.531818</v>
      </c>
      <c r="L29" s="9">
        <v>0.522727</v>
      </c>
      <c r="M29" s="9">
        <v>0.647727</v>
      </c>
      <c r="N29" s="9">
        <v>0.586363637</v>
      </c>
      <c r="O29" s="9">
        <v>0.545455</v>
      </c>
      <c r="P29" s="9">
        <v>0.738636</v>
      </c>
      <c r="Q29" s="9">
        <v>0.456818</v>
      </c>
      <c r="R29" s="9">
        <v>0.409091</v>
      </c>
      <c r="S29" s="9">
        <v>0.613636</v>
      </c>
      <c r="T29" s="9">
        <v>0.490909094</v>
      </c>
      <c r="U29" s="9">
        <v>0.488636</v>
      </c>
      <c r="V29" s="9">
        <v>0.556818</v>
      </c>
      <c r="W29" s="9">
        <v>0.7</v>
      </c>
      <c r="X29" s="9">
        <v>0.715909</v>
      </c>
      <c r="Y29" s="9">
        <v>0.579545</v>
      </c>
      <c r="Z29" s="9">
        <v>0.645455</v>
      </c>
      <c r="AA29" s="9">
        <v>0.602273</v>
      </c>
      <c r="AB29" s="9">
        <v>0.784091</v>
      </c>
      <c r="AC29" s="9">
        <v>0.45454545</v>
      </c>
      <c r="AD29" s="9">
        <v>0.454545</v>
      </c>
      <c r="AE29" s="9">
        <v>0.545455</v>
      </c>
      <c r="AF29" s="9">
        <v>0.440909091</v>
      </c>
      <c r="AG29" s="9">
        <v>0.477273</v>
      </c>
      <c r="AH29" s="9">
        <v>0.5</v>
      </c>
      <c r="AI29" s="9">
        <v>0.590909</v>
      </c>
      <c r="AJ29" s="9">
        <v>0.556818</v>
      </c>
      <c r="AK29" s="9">
        <v>0.75</v>
      </c>
      <c r="AL29" s="9">
        <v>0.638636</v>
      </c>
      <c r="AM29" s="9">
        <v>0.625</v>
      </c>
      <c r="AN29" s="9">
        <v>0.693182</v>
      </c>
      <c r="AO29" s="9">
        <v>0.515909</v>
      </c>
      <c r="AP29" s="9">
        <v>0.534091</v>
      </c>
      <c r="AQ29" s="9">
        <v>0.715909</v>
      </c>
      <c r="AR29" s="9">
        <v>0.522727263</v>
      </c>
      <c r="AS29" s="9">
        <v>0.647727</v>
      </c>
      <c r="AT29" s="9">
        <v>0.681818</v>
      </c>
      <c r="AU29" s="9">
        <v>0.522727</v>
      </c>
      <c r="AV29" s="9">
        <v>0.545455</v>
      </c>
      <c r="AW29" s="9">
        <v>0.659091</v>
      </c>
      <c r="AX29" s="9">
        <v>0.602273</v>
      </c>
      <c r="AY29" s="9">
        <v>0.602273</v>
      </c>
      <c r="AZ29" s="9">
        <v>0.818182</v>
      </c>
      <c r="BA29" s="9">
        <v>0.563636</v>
      </c>
      <c r="BB29" s="9">
        <v>0.488636</v>
      </c>
      <c r="BC29" s="9">
        <v>0.704545</v>
      </c>
      <c r="BD29" s="9">
        <v>0.65</v>
      </c>
      <c r="BE29" s="9">
        <v>0.681818</v>
      </c>
      <c r="BF29" s="9">
        <v>0.840909</v>
      </c>
      <c r="BG29" s="9">
        <v>0.520455</v>
      </c>
      <c r="BH29" s="9">
        <v>0.488636</v>
      </c>
      <c r="BI29" s="9">
        <v>0.590909</v>
      </c>
      <c r="BJ29" s="6"/>
      <c r="BK29" s="6" t="str">
        <f t="shared" si="1"/>
        <v>PlottingTime</v>
      </c>
      <c r="BL29" s="11">
        <f t="shared" si="2"/>
        <v>-0.079591</v>
      </c>
      <c r="BM29" s="12" t="str">
        <f t="shared" si="3"/>
        <v>Group 3</v>
      </c>
      <c r="BN29" s="6" t="s">
        <v>83</v>
      </c>
      <c r="BO29" s="6" t="s">
        <v>1</v>
      </c>
      <c r="BP29" s="6"/>
      <c r="BQ29" s="6"/>
      <c r="BR29" s="6">
        <v>-0.07959099999999997</v>
      </c>
      <c r="BS29" s="6"/>
      <c r="BT29" s="6"/>
      <c r="BU29" s="6"/>
      <c r="BV29" s="6"/>
      <c r="BW29" s="6"/>
      <c r="BX29" s="6"/>
      <c r="BY29" s="6"/>
      <c r="BZ29" s="6"/>
    </row>
    <row r="30" ht="15.75" customHeight="1">
      <c r="A30" s="1" t="s">
        <v>124</v>
      </c>
      <c r="B30" s="7">
        <v>0.8956</v>
      </c>
      <c r="C30" s="8"/>
      <c r="D30" s="8"/>
      <c r="E30" s="9">
        <v>0.517951</v>
      </c>
      <c r="F30" s="9">
        <v>0.519024</v>
      </c>
      <c r="G30" s="9">
        <v>0.560976</v>
      </c>
      <c r="H30" s="9">
        <v>0.456195128</v>
      </c>
      <c r="I30" s="9">
        <v>0.458048791</v>
      </c>
      <c r="J30" s="9">
        <v>0.143415</v>
      </c>
      <c r="K30" s="9">
        <v>0.564</v>
      </c>
      <c r="L30" s="9">
        <v>0.581951</v>
      </c>
      <c r="M30" s="9">
        <v>0.570732</v>
      </c>
      <c r="N30" s="9">
        <v>0.548682922</v>
      </c>
      <c r="O30" s="9">
        <v>0.556585</v>
      </c>
      <c r="P30" s="9">
        <v>0.49122</v>
      </c>
      <c r="Q30" s="9">
        <v>0.626049</v>
      </c>
      <c r="R30" s="9">
        <v>0.625366</v>
      </c>
      <c r="S30" s="9">
        <v>0.630244</v>
      </c>
      <c r="T30" s="9">
        <v>0.582048786</v>
      </c>
      <c r="U30" s="9">
        <v>0.598537</v>
      </c>
      <c r="V30" s="9">
        <v>0.638537</v>
      </c>
      <c r="W30" s="9">
        <v>0.607512</v>
      </c>
      <c r="X30" s="9">
        <v>0.61122</v>
      </c>
      <c r="Y30" s="9">
        <v>0.686341</v>
      </c>
      <c r="Z30" s="9">
        <v>0.585854</v>
      </c>
      <c r="AA30" s="9">
        <v>0.583902</v>
      </c>
      <c r="AB30" s="9">
        <v>0.574146</v>
      </c>
      <c r="AC30" s="9">
        <v>0.599414653</v>
      </c>
      <c r="AD30" s="9">
        <v>0.610244</v>
      </c>
      <c r="AE30" s="9">
        <v>0.7</v>
      </c>
      <c r="AF30" s="9">
        <v>0.617268288</v>
      </c>
      <c r="AG30" s="9">
        <v>0.640976</v>
      </c>
      <c r="AH30" s="9">
        <v>0.607805</v>
      </c>
      <c r="AI30" s="9">
        <v>0.538829</v>
      </c>
      <c r="AJ30" s="9">
        <v>0.537073</v>
      </c>
      <c r="AK30" s="9">
        <v>0.690244</v>
      </c>
      <c r="AL30" s="9">
        <v>0.564878</v>
      </c>
      <c r="AM30" s="9">
        <v>0.581463</v>
      </c>
      <c r="AN30" s="9">
        <v>0.415122</v>
      </c>
      <c r="AO30" s="9">
        <v>0.636195</v>
      </c>
      <c r="AP30" s="9">
        <v>0.649268</v>
      </c>
      <c r="AQ30" s="9">
        <v>0.561951</v>
      </c>
      <c r="AR30" s="9">
        <v>0.636097562</v>
      </c>
      <c r="AS30" s="9">
        <v>0.636585</v>
      </c>
      <c r="AT30" s="9">
        <v>0.679024</v>
      </c>
      <c r="AU30" s="9">
        <v>0.573268</v>
      </c>
      <c r="AV30" s="9">
        <v>0.565366</v>
      </c>
      <c r="AW30" s="9">
        <v>0.601951</v>
      </c>
      <c r="AX30" s="9">
        <v>0.612098</v>
      </c>
      <c r="AY30" s="9">
        <v>0.61122</v>
      </c>
      <c r="AZ30" s="9">
        <v>0.369756</v>
      </c>
      <c r="BA30" s="9">
        <v>0.667902</v>
      </c>
      <c r="BB30" s="9">
        <v>0.687805</v>
      </c>
      <c r="BC30" s="9">
        <v>0.665366</v>
      </c>
      <c r="BD30" s="9">
        <v>0.549463</v>
      </c>
      <c r="BE30" s="9">
        <v>0.541463</v>
      </c>
      <c r="BF30" s="9">
        <v>0.570244</v>
      </c>
      <c r="BG30" s="9">
        <v>0.378146</v>
      </c>
      <c r="BH30" s="9">
        <v>0.393171</v>
      </c>
      <c r="BI30" s="9">
        <v>0.396098</v>
      </c>
      <c r="BJ30" s="6"/>
      <c r="BK30" s="6" t="str">
        <f t="shared" si="1"/>
        <v>PlottingTime</v>
      </c>
      <c r="BL30" s="11">
        <f t="shared" si="2"/>
        <v>-0.1956</v>
      </c>
      <c r="BM30" s="12" t="str">
        <f t="shared" si="3"/>
        <v>Group 1</v>
      </c>
      <c r="BN30" s="6" t="s">
        <v>81</v>
      </c>
      <c r="BO30" s="6" t="s">
        <v>1</v>
      </c>
      <c r="BP30" s="6">
        <v>-0.1956</v>
      </c>
      <c r="BQ30" s="6"/>
      <c r="BR30" s="6"/>
      <c r="BS30" s="6"/>
      <c r="BT30" s="6"/>
      <c r="BU30" s="6"/>
      <c r="BV30" s="6"/>
      <c r="BW30" s="6"/>
      <c r="BX30" s="6"/>
      <c r="BY30" s="6"/>
      <c r="BZ30" s="6"/>
    </row>
    <row r="31" ht="15.75" customHeight="1">
      <c r="A31" s="1" t="s">
        <v>125</v>
      </c>
      <c r="B31" s="7">
        <v>0.7275</v>
      </c>
      <c r="C31" s="8"/>
      <c r="D31" s="8"/>
      <c r="E31" s="9">
        <v>0.412747</v>
      </c>
      <c r="F31" s="9">
        <v>0.413187</v>
      </c>
      <c r="G31" s="9">
        <v>0.404396</v>
      </c>
      <c r="H31" s="9">
        <v>0.356043965</v>
      </c>
      <c r="I31" s="9">
        <v>0.353846163</v>
      </c>
      <c r="J31" s="9">
        <v>0.125275</v>
      </c>
      <c r="K31" s="9">
        <v>0.396044</v>
      </c>
      <c r="L31" s="9">
        <v>0.386813</v>
      </c>
      <c r="M31" s="9">
        <v>0.353846</v>
      </c>
      <c r="N31" s="9">
        <v>0.389010996</v>
      </c>
      <c r="O31" s="9">
        <v>0.373626</v>
      </c>
      <c r="P31" s="9">
        <v>0.272527</v>
      </c>
      <c r="Q31" s="9">
        <v>0.444835</v>
      </c>
      <c r="R31" s="9">
        <v>0.446154</v>
      </c>
      <c r="S31" s="9">
        <v>0.492308</v>
      </c>
      <c r="T31" s="9">
        <v>0.465934068</v>
      </c>
      <c r="U31" s="9">
        <v>0.476923</v>
      </c>
      <c r="V31" s="9">
        <v>0.505495</v>
      </c>
      <c r="W31" s="9">
        <v>0.374066</v>
      </c>
      <c r="X31" s="9">
        <v>0.397802</v>
      </c>
      <c r="Y31" s="9">
        <v>0.254945</v>
      </c>
      <c r="Z31" s="9">
        <v>0.38989</v>
      </c>
      <c r="AA31" s="9">
        <v>0.378022</v>
      </c>
      <c r="AB31" s="9">
        <v>0.340659</v>
      </c>
      <c r="AC31" s="9">
        <v>0.439120883</v>
      </c>
      <c r="AD31" s="9">
        <v>0.430769</v>
      </c>
      <c r="AE31" s="9">
        <v>0.452747</v>
      </c>
      <c r="AF31" s="9">
        <v>0.454945064</v>
      </c>
      <c r="AG31" s="9">
        <v>0.432967</v>
      </c>
      <c r="AH31" s="9">
        <v>0.540659</v>
      </c>
      <c r="AI31" s="9">
        <v>0.301538</v>
      </c>
      <c r="AJ31" s="9">
        <v>0.259341</v>
      </c>
      <c r="AK31" s="9">
        <v>0.389011</v>
      </c>
      <c r="AL31" s="9">
        <v>0.414945</v>
      </c>
      <c r="AM31" s="9">
        <v>0.424176</v>
      </c>
      <c r="AN31" s="9">
        <v>0.426374</v>
      </c>
      <c r="AO31" s="9">
        <v>0.414945</v>
      </c>
      <c r="AP31" s="9">
        <v>0.413187</v>
      </c>
      <c r="AQ31" s="9">
        <v>0.492308</v>
      </c>
      <c r="AR31" s="9">
        <v>0.479120886</v>
      </c>
      <c r="AS31" s="9">
        <v>0.481319</v>
      </c>
      <c r="AT31" s="9">
        <v>0.432967</v>
      </c>
      <c r="AU31" s="9">
        <v>0.338022</v>
      </c>
      <c r="AV31" s="9">
        <v>0.342857</v>
      </c>
      <c r="AW31" s="9">
        <v>0.252747</v>
      </c>
      <c r="AX31" s="9">
        <v>0.331429</v>
      </c>
      <c r="AY31" s="9">
        <v>0.336264</v>
      </c>
      <c r="AZ31" s="9">
        <v>0.364835</v>
      </c>
      <c r="BA31" s="9">
        <v>0.378022</v>
      </c>
      <c r="BB31" s="9">
        <v>0.373626</v>
      </c>
      <c r="BC31" s="9">
        <v>0.356044</v>
      </c>
      <c r="BD31" s="9">
        <v>0.384176</v>
      </c>
      <c r="BE31" s="9">
        <v>0.382418</v>
      </c>
      <c r="BF31" s="9">
        <v>0.457143</v>
      </c>
      <c r="BG31" s="9">
        <v>0.454505</v>
      </c>
      <c r="BH31" s="9">
        <v>0.459341</v>
      </c>
      <c r="BI31" s="9">
        <v>0.465934</v>
      </c>
      <c r="BJ31" s="6"/>
      <c r="BK31" s="6" t="str">
        <f t="shared" si="1"/>
        <v>PlottingTime</v>
      </c>
      <c r="BL31" s="11">
        <f t="shared" si="2"/>
        <v>-0.186841</v>
      </c>
      <c r="BM31" s="12" t="str">
        <f t="shared" si="3"/>
        <v>Group 1</v>
      </c>
      <c r="BN31" s="6" t="s">
        <v>81</v>
      </c>
      <c r="BO31" s="6" t="s">
        <v>1</v>
      </c>
      <c r="BP31" s="6">
        <v>-0.18684100000000003</v>
      </c>
      <c r="BQ31" s="6"/>
      <c r="BR31" s="6"/>
      <c r="BS31" s="6"/>
      <c r="BT31" s="6"/>
      <c r="BU31" s="6"/>
      <c r="BV31" s="6"/>
      <c r="BW31" s="6"/>
      <c r="BX31" s="6"/>
      <c r="BY31" s="6"/>
      <c r="BZ31" s="6"/>
    </row>
    <row r="32" ht="15.75" customHeight="1">
      <c r="A32" s="1" t="s">
        <v>126</v>
      </c>
      <c r="B32" s="7">
        <v>0.9314</v>
      </c>
      <c r="C32" s="8"/>
      <c r="D32" s="8"/>
      <c r="E32" s="9">
        <v>0.517714</v>
      </c>
      <c r="F32" s="9">
        <v>0.514286</v>
      </c>
      <c r="G32" s="9">
        <v>0.491429</v>
      </c>
      <c r="H32" s="9">
        <v>0.48228572</v>
      </c>
      <c r="I32" s="9">
        <v>0.497142851</v>
      </c>
      <c r="J32" s="9">
        <v>0.137143</v>
      </c>
      <c r="K32" s="9">
        <v>0.669714</v>
      </c>
      <c r="L32" s="9">
        <v>0.68</v>
      </c>
      <c r="M32" s="9">
        <v>0.531429</v>
      </c>
      <c r="N32" s="9">
        <v>0.656000006</v>
      </c>
      <c r="O32" s="9">
        <v>0.651429</v>
      </c>
      <c r="P32" s="9">
        <v>0.748571</v>
      </c>
      <c r="Q32" s="9">
        <v>0.580571</v>
      </c>
      <c r="R32" s="9">
        <v>0.577143</v>
      </c>
      <c r="S32" s="9">
        <v>0.668571</v>
      </c>
      <c r="T32" s="9">
        <v>0.618285716</v>
      </c>
      <c r="U32" s="9">
        <v>0.628571</v>
      </c>
      <c r="V32" s="9">
        <v>0.622857</v>
      </c>
      <c r="W32" s="9">
        <v>0.618286</v>
      </c>
      <c r="X32" s="9">
        <v>0.691429</v>
      </c>
      <c r="Y32" s="9">
        <v>0.594286</v>
      </c>
      <c r="Z32" s="9">
        <v>0.592</v>
      </c>
      <c r="AA32" s="9">
        <v>0.64</v>
      </c>
      <c r="AB32" s="9">
        <v>0.52</v>
      </c>
      <c r="AC32" s="9">
        <v>0.594285703</v>
      </c>
      <c r="AD32" s="9">
        <v>0.577143</v>
      </c>
      <c r="AE32" s="9">
        <v>0.611429</v>
      </c>
      <c r="AF32" s="9">
        <v>0.595428574</v>
      </c>
      <c r="AG32" s="9">
        <v>0.6</v>
      </c>
      <c r="AH32" s="9">
        <v>0.645714</v>
      </c>
      <c r="AI32" s="9">
        <v>0.613714</v>
      </c>
      <c r="AJ32" s="9">
        <v>0.611429</v>
      </c>
      <c r="AK32" s="9">
        <v>0.634286</v>
      </c>
      <c r="AL32" s="9">
        <v>0.558857</v>
      </c>
      <c r="AM32" s="9">
        <v>0.537143</v>
      </c>
      <c r="AN32" s="9">
        <v>0.508571</v>
      </c>
      <c r="AO32" s="9">
        <v>0.590857</v>
      </c>
      <c r="AP32" s="9">
        <v>0.588571</v>
      </c>
      <c r="AQ32" s="9">
        <v>0.514286</v>
      </c>
      <c r="AR32" s="9">
        <v>0.555428576</v>
      </c>
      <c r="AS32" s="9">
        <v>0.554286</v>
      </c>
      <c r="AT32" s="9">
        <v>0.662857</v>
      </c>
      <c r="AU32" s="9">
        <v>0.539429</v>
      </c>
      <c r="AV32" s="9">
        <v>0.571429</v>
      </c>
      <c r="AW32" s="9">
        <v>0.525714</v>
      </c>
      <c r="AX32" s="9">
        <v>0.542857</v>
      </c>
      <c r="AY32" s="9">
        <v>0.537143</v>
      </c>
      <c r="AZ32" s="9">
        <v>0.605714</v>
      </c>
      <c r="BA32" s="9">
        <v>0.562286</v>
      </c>
      <c r="BB32" s="9">
        <v>0.565714</v>
      </c>
      <c r="BC32" s="9">
        <v>0.662857</v>
      </c>
      <c r="BD32" s="9">
        <v>0.633143</v>
      </c>
      <c r="BE32" s="9">
        <v>0.657143</v>
      </c>
      <c r="BF32" s="9">
        <v>0.731429</v>
      </c>
      <c r="BG32" s="9">
        <v>0.549714</v>
      </c>
      <c r="BH32" s="9">
        <v>0.554286</v>
      </c>
      <c r="BI32" s="9">
        <v>0.64</v>
      </c>
      <c r="BJ32" s="6"/>
      <c r="BK32" s="6" t="str">
        <f t="shared" si="1"/>
        <v>PlottingTime</v>
      </c>
      <c r="BL32" s="11">
        <f t="shared" si="2"/>
        <v>-0.182829</v>
      </c>
      <c r="BM32" s="12" t="str">
        <f t="shared" si="3"/>
        <v>Group 1</v>
      </c>
      <c r="BN32" s="6" t="s">
        <v>81</v>
      </c>
      <c r="BO32" s="6" t="s">
        <v>1</v>
      </c>
      <c r="BP32" s="6">
        <v>-0.18282900000000002</v>
      </c>
      <c r="BQ32" s="6"/>
      <c r="BR32" s="6"/>
      <c r="BS32" s="6"/>
      <c r="BT32" s="6"/>
      <c r="BU32" s="6"/>
      <c r="BV32" s="6"/>
      <c r="BW32" s="6"/>
      <c r="BX32" s="6"/>
      <c r="BY32" s="6"/>
      <c r="BZ32" s="6"/>
    </row>
    <row r="33" ht="15.75" customHeight="1">
      <c r="A33" s="1" t="s">
        <v>127</v>
      </c>
      <c r="B33" s="7">
        <v>0.7629</v>
      </c>
      <c r="C33" s="8"/>
      <c r="D33" s="8"/>
      <c r="E33" s="9">
        <v>0.484091</v>
      </c>
      <c r="F33" s="9">
        <v>0.484091</v>
      </c>
      <c r="G33" s="9">
        <v>0.484091</v>
      </c>
      <c r="H33" s="9">
        <v>0.484090894</v>
      </c>
      <c r="I33" s="9">
        <v>0.484090894</v>
      </c>
      <c r="J33" s="9">
        <v>0.484091</v>
      </c>
      <c r="K33" s="9">
        <v>0.484091</v>
      </c>
      <c r="L33" s="9">
        <v>0.484091</v>
      </c>
      <c r="M33" s="9">
        <v>0.484091</v>
      </c>
      <c r="N33" s="9">
        <v>0.484090894</v>
      </c>
      <c r="O33" s="9">
        <v>0.484091</v>
      </c>
      <c r="P33" s="9">
        <v>0.484091</v>
      </c>
      <c r="Q33" s="9">
        <v>0.484091</v>
      </c>
      <c r="R33" s="9">
        <v>0.484091</v>
      </c>
      <c r="S33" s="9">
        <v>0.484091</v>
      </c>
      <c r="T33" s="9">
        <v>0.484090894</v>
      </c>
      <c r="U33" s="9">
        <v>0.484091</v>
      </c>
      <c r="V33" s="9">
        <v>0.484091</v>
      </c>
      <c r="W33" s="9">
        <v>0.484091</v>
      </c>
      <c r="X33" s="9">
        <v>0.484091</v>
      </c>
      <c r="Y33" s="9">
        <v>0.484091</v>
      </c>
      <c r="Z33" s="9">
        <v>0.484091</v>
      </c>
      <c r="AA33" s="9">
        <v>0.484091</v>
      </c>
      <c r="AB33" s="9">
        <v>0.484091</v>
      </c>
      <c r="AC33" s="9">
        <v>0.484090894</v>
      </c>
      <c r="AD33" s="9">
        <v>0.484091</v>
      </c>
      <c r="AE33" s="9">
        <v>0.484091</v>
      </c>
      <c r="AF33" s="9">
        <v>0.484090894</v>
      </c>
      <c r="AG33" s="9">
        <v>0.484091</v>
      </c>
      <c r="AH33" s="9">
        <v>0.484091</v>
      </c>
      <c r="AI33" s="9">
        <v>0.484091</v>
      </c>
      <c r="AJ33" s="9">
        <v>0.484091</v>
      </c>
      <c r="AK33" s="9">
        <v>0.484091</v>
      </c>
      <c r="AL33" s="9">
        <v>0.484091</v>
      </c>
      <c r="AM33" s="9">
        <v>0.484091</v>
      </c>
      <c r="AN33" s="9">
        <v>0.484091</v>
      </c>
      <c r="AO33" s="9">
        <v>0.484091</v>
      </c>
      <c r="AP33" s="9">
        <v>0.484091</v>
      </c>
      <c r="AQ33" s="9">
        <v>0.484091</v>
      </c>
      <c r="AR33" s="9">
        <v>0.484090894</v>
      </c>
      <c r="AS33" s="9">
        <v>0.484091</v>
      </c>
      <c r="AT33" s="9">
        <v>0.484091</v>
      </c>
      <c r="AU33" s="9">
        <v>0.484091</v>
      </c>
      <c r="AV33" s="9">
        <v>0.484091</v>
      </c>
      <c r="AW33" s="9">
        <v>0.484091</v>
      </c>
      <c r="AX33" s="9">
        <v>0.484091</v>
      </c>
      <c r="AY33" s="9">
        <v>0.484091</v>
      </c>
      <c r="AZ33" s="9">
        <v>0.484091</v>
      </c>
      <c r="BA33" s="9">
        <v>0.484091</v>
      </c>
      <c r="BB33" s="9">
        <v>0.484091</v>
      </c>
      <c r="BC33" s="9">
        <v>0.484091</v>
      </c>
      <c r="BD33" s="9">
        <v>0.484091</v>
      </c>
      <c r="BE33" s="9">
        <v>0.484091</v>
      </c>
      <c r="BF33" s="9">
        <v>0.484091</v>
      </c>
      <c r="BG33" s="9">
        <v>0.484091</v>
      </c>
      <c r="BH33" s="9">
        <v>0.484091</v>
      </c>
      <c r="BI33" s="9">
        <v>0.484091</v>
      </c>
      <c r="BJ33" s="6"/>
      <c r="BK33" s="6" t="str">
        <f t="shared" si="1"/>
        <v>PlottingTime</v>
      </c>
      <c r="BL33" s="11">
        <f t="shared" si="2"/>
        <v>-0.278809</v>
      </c>
      <c r="BM33" s="12" t="str">
        <f t="shared" si="3"/>
        <v>Group 1</v>
      </c>
      <c r="BN33" s="6" t="s">
        <v>81</v>
      </c>
      <c r="BO33" s="6" t="s">
        <v>1</v>
      </c>
      <c r="BP33" s="6">
        <v>-0.27880900000000003</v>
      </c>
      <c r="BQ33" s="6"/>
      <c r="BR33" s="6"/>
      <c r="BS33" s="6"/>
      <c r="BT33" s="6"/>
      <c r="BU33" s="6"/>
      <c r="BV33" s="6"/>
      <c r="BW33" s="6"/>
      <c r="BX33" s="6"/>
      <c r="BY33" s="6"/>
      <c r="BZ33" s="6"/>
    </row>
    <row r="34" ht="15.75" customHeight="1">
      <c r="A34" s="14" t="s">
        <v>128</v>
      </c>
      <c r="B34" s="7">
        <v>-1.0</v>
      </c>
      <c r="C34" s="8"/>
      <c r="D34" s="8"/>
      <c r="E34" s="9">
        <v>0.504938</v>
      </c>
      <c r="F34" s="9">
        <v>0.504938</v>
      </c>
      <c r="G34" s="9">
        <v>0.504938</v>
      </c>
      <c r="H34" s="9">
        <v>0.504938245</v>
      </c>
      <c r="I34" s="9">
        <v>0.504938245</v>
      </c>
      <c r="J34" s="9">
        <v>0.504938</v>
      </c>
      <c r="K34" s="9">
        <v>0.504938</v>
      </c>
      <c r="L34" s="9">
        <v>0.504938</v>
      </c>
      <c r="M34" s="9">
        <v>0.504938</v>
      </c>
      <c r="N34" s="9">
        <v>0.504938245</v>
      </c>
      <c r="O34" s="9">
        <v>0.504938</v>
      </c>
      <c r="P34" s="9">
        <v>0.504938</v>
      </c>
      <c r="Q34" s="9">
        <v>0.504938</v>
      </c>
      <c r="R34" s="9">
        <v>0.504938</v>
      </c>
      <c r="S34" s="9">
        <v>0.504938</v>
      </c>
      <c r="T34" s="9">
        <v>0.504938245</v>
      </c>
      <c r="U34" s="9">
        <v>0.504938</v>
      </c>
      <c r="V34" s="9">
        <v>0.504938</v>
      </c>
      <c r="W34" s="9">
        <v>0.504938</v>
      </c>
      <c r="X34" s="9">
        <v>0.504938</v>
      </c>
      <c r="Y34" s="9">
        <v>0.504938</v>
      </c>
      <c r="Z34" s="9">
        <v>0.504938</v>
      </c>
      <c r="AA34" s="9">
        <v>0.504938</v>
      </c>
      <c r="AB34" s="9">
        <v>0.504938</v>
      </c>
      <c r="AC34" s="9">
        <v>0.504938245</v>
      </c>
      <c r="AD34" s="9">
        <v>0.504938</v>
      </c>
      <c r="AE34" s="9">
        <v>0.504938</v>
      </c>
      <c r="AF34" s="9">
        <v>0.504938245</v>
      </c>
      <c r="AG34" s="9">
        <v>0.504938</v>
      </c>
      <c r="AH34" s="9">
        <v>0.504938</v>
      </c>
      <c r="AI34" s="9">
        <v>0.504938</v>
      </c>
      <c r="AJ34" s="9">
        <v>0.504938</v>
      </c>
      <c r="AK34" s="9">
        <v>0.504938</v>
      </c>
      <c r="AL34" s="9">
        <v>0.504938</v>
      </c>
      <c r="AM34" s="9">
        <v>0.504938</v>
      </c>
      <c r="AN34" s="9">
        <v>0.504938</v>
      </c>
      <c r="AO34" s="9">
        <v>0.504938</v>
      </c>
      <c r="AP34" s="9">
        <v>0.504938</v>
      </c>
      <c r="AQ34" s="9">
        <v>0.504938</v>
      </c>
      <c r="AR34" s="9">
        <v>0.504938245</v>
      </c>
      <c r="AS34" s="9">
        <v>0.504938</v>
      </c>
      <c r="AT34" s="9">
        <v>0.504938</v>
      </c>
      <c r="AU34" s="9">
        <v>0.504938</v>
      </c>
      <c r="AV34" s="9">
        <v>0.504938</v>
      </c>
      <c r="AW34" s="9">
        <v>0.504938</v>
      </c>
      <c r="AX34" s="9">
        <v>0.504938</v>
      </c>
      <c r="AY34" s="9">
        <v>0.504938</v>
      </c>
      <c r="AZ34" s="9">
        <v>0.504938</v>
      </c>
      <c r="BA34" s="9">
        <v>0.504938</v>
      </c>
      <c r="BB34" s="9">
        <v>0.504938</v>
      </c>
      <c r="BC34" s="9">
        <v>0.504938</v>
      </c>
      <c r="BD34" s="9">
        <v>0.504938</v>
      </c>
      <c r="BE34" s="9">
        <v>0.504938</v>
      </c>
      <c r="BF34" s="9">
        <v>0.504938</v>
      </c>
      <c r="BG34" s="9">
        <v>0.504938</v>
      </c>
      <c r="BH34" s="9">
        <v>0.504938</v>
      </c>
      <c r="BI34" s="9">
        <v>0.504938</v>
      </c>
      <c r="BJ34" s="6"/>
      <c r="BK34" s="6"/>
      <c r="BL34" s="6"/>
      <c r="BM34" s="12"/>
      <c r="BN34" s="6" t="s">
        <v>83</v>
      </c>
      <c r="BO34" s="6"/>
      <c r="BP34" s="6"/>
      <c r="BQ34" s="6"/>
      <c r="BR34" s="6"/>
      <c r="BS34" s="6"/>
      <c r="BT34" s="6" t="str">
        <f t="array" ref="BT34">INDEX($B$2:$BI$2,0,MATCH(MAX(B34:BI34),B34:BI34,0))</f>
        <v>5BN_Fold_Mean</v>
      </c>
      <c r="BU34" s="11">
        <f>MINUS(B34, MAX(E34:BI34))</f>
        <v>-1.504938245</v>
      </c>
      <c r="BV34" s="6"/>
      <c r="BW34" s="6"/>
      <c r="BX34" s="6"/>
      <c r="BY34" s="6"/>
      <c r="BZ34" s="6"/>
    </row>
    <row r="35" ht="15.75" customHeight="1">
      <c r="A35" s="1" t="s">
        <v>129</v>
      </c>
      <c r="B35" s="7">
        <v>0.974</v>
      </c>
      <c r="C35" s="8"/>
      <c r="D35" s="8"/>
      <c r="E35" s="9">
        <v>0.966175</v>
      </c>
      <c r="F35" s="9">
        <v>0.967018</v>
      </c>
      <c r="G35" s="9">
        <v>0.968421</v>
      </c>
      <c r="H35" s="9">
        <v>0.967157888</v>
      </c>
      <c r="I35" s="9">
        <v>0.968070149</v>
      </c>
      <c r="J35" s="9">
        <v>0.5</v>
      </c>
      <c r="K35" s="9">
        <v>0.940351</v>
      </c>
      <c r="L35" s="9">
        <v>0.944211</v>
      </c>
      <c r="M35" s="9">
        <v>0.947719</v>
      </c>
      <c r="N35" s="9">
        <v>0.942947364</v>
      </c>
      <c r="O35" s="9">
        <v>0.94386</v>
      </c>
      <c r="P35" s="9">
        <v>0.95193</v>
      </c>
      <c r="Q35" s="9">
        <v>0.968772</v>
      </c>
      <c r="R35" s="9">
        <v>0.968421</v>
      </c>
      <c r="S35" s="9">
        <v>0.969825</v>
      </c>
      <c r="T35" s="9">
        <v>0.971157897</v>
      </c>
      <c r="U35" s="9">
        <v>0.971228</v>
      </c>
      <c r="V35" s="9">
        <v>0.971579</v>
      </c>
      <c r="W35" s="9">
        <v>0.974597</v>
      </c>
      <c r="X35" s="9">
        <v>0.975088</v>
      </c>
      <c r="Y35" s="9">
        <v>0.981754</v>
      </c>
      <c r="Z35" s="9">
        <v>0.970667</v>
      </c>
      <c r="AA35" s="9">
        <v>0.969123</v>
      </c>
      <c r="AB35" s="9">
        <v>0.980351</v>
      </c>
      <c r="AC35" s="9">
        <v>0.973684216</v>
      </c>
      <c r="AD35" s="9">
        <v>0.973333</v>
      </c>
      <c r="AE35" s="9">
        <v>0.976491</v>
      </c>
      <c r="AF35" s="9">
        <v>0.971087718</v>
      </c>
      <c r="AG35" s="9">
        <v>0.970877</v>
      </c>
      <c r="AH35" s="9">
        <v>0.972281</v>
      </c>
      <c r="AI35" s="9">
        <v>0.95186</v>
      </c>
      <c r="AJ35" s="9">
        <v>0.962456</v>
      </c>
      <c r="AK35" s="9">
        <v>0.960351</v>
      </c>
      <c r="AL35" s="9">
        <v>0.962246</v>
      </c>
      <c r="AM35" s="9">
        <v>0.961403</v>
      </c>
      <c r="AN35" s="9">
        <v>0.964561</v>
      </c>
      <c r="AO35" s="9">
        <v>0.969474</v>
      </c>
      <c r="AP35" s="9">
        <v>0.970175</v>
      </c>
      <c r="AQ35" s="9">
        <v>0.96807</v>
      </c>
      <c r="AR35" s="9">
        <v>0.965964901</v>
      </c>
      <c r="AS35" s="9">
        <v>0.970175</v>
      </c>
      <c r="AT35" s="9">
        <v>0.964912</v>
      </c>
      <c r="AU35" s="9">
        <v>0.961684</v>
      </c>
      <c r="AV35" s="9">
        <v>0.963158</v>
      </c>
      <c r="AW35" s="9">
        <v>0.963158</v>
      </c>
      <c r="AX35" s="9">
        <v>0.962386</v>
      </c>
      <c r="AY35" s="9">
        <v>0.965263</v>
      </c>
      <c r="AZ35" s="9">
        <v>0.961754</v>
      </c>
      <c r="BA35" s="9">
        <v>0.970807</v>
      </c>
      <c r="BB35" s="9">
        <v>0.970877</v>
      </c>
      <c r="BC35" s="9">
        <v>0.971228</v>
      </c>
      <c r="BD35" s="9">
        <v>0.945825</v>
      </c>
      <c r="BE35" s="9">
        <v>0.945965</v>
      </c>
      <c r="BF35" s="9">
        <v>0.947018</v>
      </c>
      <c r="BG35" s="9">
        <v>0.827228</v>
      </c>
      <c r="BH35" s="9">
        <v>0.817193</v>
      </c>
      <c r="BI35" s="9">
        <v>0.853684</v>
      </c>
      <c r="BJ35" s="6"/>
      <c r="BK35" s="6" t="str">
        <f t="shared" ref="BK35:BK100" si="4">INDEX($B$2:$BI$2,0,MATCH(MAX(B35:BI35),B35:BI35,0))</f>
        <v>8V_One_Acc</v>
      </c>
      <c r="BL35" s="11">
        <f t="shared" ref="BL35:BL100" si="5">MINUS(MAX(E35:BI35),B35 )</f>
        <v>0.007754</v>
      </c>
      <c r="BM35" s="12" t="str">
        <f t="shared" ref="BM35:BM100" si="6">IF(BL35 &lt;=-0.1, "Group 1",IF(BL35&gt;=0.1,"Group 2","Group 3"))</f>
        <v>Group 3</v>
      </c>
      <c r="BN35" s="6" t="s">
        <v>83</v>
      </c>
      <c r="BO35" s="6" t="s">
        <v>41</v>
      </c>
      <c r="BP35" s="6"/>
      <c r="BQ35" s="6"/>
      <c r="BR35" s="6">
        <v>0.007754000000000039</v>
      </c>
      <c r="BS35" s="6"/>
      <c r="BT35" s="6"/>
      <c r="BU35" s="6"/>
      <c r="BV35" s="6"/>
      <c r="BW35" s="6"/>
      <c r="BX35" s="6"/>
      <c r="BY35" s="6"/>
      <c r="BZ35" s="6"/>
    </row>
    <row r="36" ht="15.75" customHeight="1">
      <c r="A36" s="1" t="s">
        <v>130</v>
      </c>
      <c r="B36" s="7">
        <v>0.9684</v>
      </c>
      <c r="C36" s="8"/>
      <c r="D36" s="8"/>
      <c r="E36" s="9">
        <v>0.962526</v>
      </c>
      <c r="F36" s="9">
        <v>0.962807</v>
      </c>
      <c r="G36" s="9">
        <v>0.961403</v>
      </c>
      <c r="H36" s="9">
        <v>0.960561407</v>
      </c>
      <c r="I36" s="9">
        <v>0.958947361</v>
      </c>
      <c r="J36" s="9">
        <v>0.5</v>
      </c>
      <c r="K36" s="9">
        <v>0.788</v>
      </c>
      <c r="L36" s="9">
        <v>0.793333</v>
      </c>
      <c r="M36" s="9">
        <v>0.807719</v>
      </c>
      <c r="N36" s="9">
        <v>0.788280702</v>
      </c>
      <c r="O36" s="9">
        <v>0.801053</v>
      </c>
      <c r="P36" s="9">
        <v>0.801053</v>
      </c>
      <c r="Q36" s="9">
        <v>0.950035</v>
      </c>
      <c r="R36" s="9">
        <v>0.950175</v>
      </c>
      <c r="S36" s="9">
        <v>0.949825</v>
      </c>
      <c r="T36" s="9">
        <v>0.946175444</v>
      </c>
      <c r="U36" s="9">
        <v>0.949825</v>
      </c>
      <c r="V36" s="9">
        <v>0.948772</v>
      </c>
      <c r="W36" s="9">
        <v>0.913404</v>
      </c>
      <c r="X36" s="9">
        <v>0.921404</v>
      </c>
      <c r="Y36" s="9">
        <v>0.906316</v>
      </c>
      <c r="Z36" s="9">
        <v>0.905263</v>
      </c>
      <c r="AA36" s="9">
        <v>0.910526</v>
      </c>
      <c r="AB36" s="9">
        <v>0.92386</v>
      </c>
      <c r="AC36" s="10" t="s">
        <v>85</v>
      </c>
      <c r="AD36" s="10" t="s">
        <v>85</v>
      </c>
      <c r="AE36" s="1" t="s">
        <v>85</v>
      </c>
      <c r="AF36" s="9">
        <v>0.964070177</v>
      </c>
      <c r="AG36" s="9">
        <v>0.966316</v>
      </c>
      <c r="AH36" s="9">
        <v>0.94807</v>
      </c>
      <c r="AI36" s="9">
        <v>0.883158</v>
      </c>
      <c r="AJ36" s="9">
        <v>0.889474</v>
      </c>
      <c r="AK36" s="9">
        <v>0.889123</v>
      </c>
      <c r="AL36" s="9">
        <v>0.877825</v>
      </c>
      <c r="AM36" s="9">
        <v>0.886316</v>
      </c>
      <c r="AN36" s="9">
        <v>0.893333</v>
      </c>
      <c r="AO36" s="9">
        <v>0.952912</v>
      </c>
      <c r="AP36" s="9">
        <v>0.954386</v>
      </c>
      <c r="AQ36" s="9">
        <v>0.952281</v>
      </c>
      <c r="AR36" s="9">
        <v>0.949052632</v>
      </c>
      <c r="AS36" s="9">
        <v>0.952632</v>
      </c>
      <c r="AT36" s="9">
        <v>0.95614</v>
      </c>
      <c r="AU36" s="9">
        <v>0.785404</v>
      </c>
      <c r="AV36" s="9">
        <v>0.782105</v>
      </c>
      <c r="AW36" s="9">
        <v>0.767719</v>
      </c>
      <c r="AX36" s="9">
        <v>0.808351</v>
      </c>
      <c r="AY36" s="9">
        <v>0.799649</v>
      </c>
      <c r="AZ36" s="9">
        <v>0.823509</v>
      </c>
      <c r="BA36" s="9">
        <v>0.966807</v>
      </c>
      <c r="BB36" s="9">
        <v>0.968772</v>
      </c>
      <c r="BC36" s="9">
        <v>0.967368</v>
      </c>
      <c r="BD36" s="9">
        <v>0.889614</v>
      </c>
      <c r="BE36" s="9">
        <v>0.886667</v>
      </c>
      <c r="BF36" s="9">
        <v>0.896491</v>
      </c>
      <c r="BG36" s="9">
        <v>0.707298</v>
      </c>
      <c r="BH36" s="9">
        <v>0.69193</v>
      </c>
      <c r="BI36" s="9">
        <v>0.694386</v>
      </c>
      <c r="BJ36" s="6"/>
      <c r="BK36" s="6" t="str">
        <f t="shared" si="4"/>
        <v>20B_Fold_Median</v>
      </c>
      <c r="BL36" s="11">
        <f t="shared" si="5"/>
        <v>0.000372</v>
      </c>
      <c r="BM36" s="12" t="str">
        <f t="shared" si="6"/>
        <v>Group 3</v>
      </c>
      <c r="BN36" s="6" t="s">
        <v>83</v>
      </c>
      <c r="BO36" s="6" t="s">
        <v>70</v>
      </c>
      <c r="BP36" s="6"/>
      <c r="BQ36" s="6"/>
      <c r="BR36" s="6">
        <v>3.7199999999992794E-4</v>
      </c>
      <c r="BS36" s="6"/>
      <c r="BT36" s="6"/>
      <c r="BU36" s="6"/>
      <c r="BV36" s="6"/>
      <c r="BW36" s="6"/>
      <c r="BX36" s="6"/>
      <c r="BY36" s="6"/>
      <c r="BZ36" s="6"/>
    </row>
    <row r="37" ht="15.75" customHeight="1">
      <c r="A37" s="1" t="s">
        <v>131</v>
      </c>
      <c r="B37" s="7">
        <v>0.9933</v>
      </c>
      <c r="C37" s="8"/>
      <c r="D37" s="8"/>
      <c r="E37" s="9">
        <v>0.909333</v>
      </c>
      <c r="F37" s="9">
        <v>0.906667</v>
      </c>
      <c r="G37" s="9">
        <v>0.92</v>
      </c>
      <c r="H37" s="9">
        <v>0.912000012</v>
      </c>
      <c r="I37" s="9">
        <v>0.913333356</v>
      </c>
      <c r="J37" s="9">
        <v>0.493333</v>
      </c>
      <c r="K37" s="9">
        <v>0.897333</v>
      </c>
      <c r="L37" s="9">
        <v>0.9</v>
      </c>
      <c r="M37" s="9">
        <v>0.906667</v>
      </c>
      <c r="N37" s="9">
        <v>0.921333337</v>
      </c>
      <c r="O37" s="9">
        <v>0.926667</v>
      </c>
      <c r="P37" s="9">
        <v>0.92</v>
      </c>
      <c r="Q37" s="9">
        <v>0.941333</v>
      </c>
      <c r="R37" s="9">
        <v>0.946667</v>
      </c>
      <c r="S37" s="9">
        <v>0.973333</v>
      </c>
      <c r="T37" s="9">
        <v>0.937333345</v>
      </c>
      <c r="U37" s="9">
        <v>0.94</v>
      </c>
      <c r="V37" s="9">
        <v>0.966667</v>
      </c>
      <c r="W37" s="9">
        <v>0.836</v>
      </c>
      <c r="X37" s="9">
        <v>0.84</v>
      </c>
      <c r="Y37" s="9">
        <v>0.893333</v>
      </c>
      <c r="Z37" s="9">
        <v>0.833333</v>
      </c>
      <c r="AA37" s="9">
        <v>0.813333</v>
      </c>
      <c r="AB37" s="9">
        <v>0.873333</v>
      </c>
      <c r="AC37" s="9">
        <v>0.918666661</v>
      </c>
      <c r="AD37" s="9">
        <v>0.933333</v>
      </c>
      <c r="AE37" s="9">
        <v>0.953333</v>
      </c>
      <c r="AF37" s="9">
        <v>0.925333321</v>
      </c>
      <c r="AG37" s="9">
        <v>0.92</v>
      </c>
      <c r="AH37" s="9">
        <v>0.946667</v>
      </c>
      <c r="AI37" s="9">
        <v>0.832</v>
      </c>
      <c r="AJ37" s="9">
        <v>0.826667</v>
      </c>
      <c r="AK37" s="9">
        <v>0.84</v>
      </c>
      <c r="AL37" s="9">
        <v>0.842667</v>
      </c>
      <c r="AM37" s="9">
        <v>0.833333</v>
      </c>
      <c r="AN37" s="9">
        <v>0.846667</v>
      </c>
      <c r="AO37" s="9">
        <v>0.924</v>
      </c>
      <c r="AP37" s="9">
        <v>0.953333</v>
      </c>
      <c r="AQ37" s="9">
        <v>0.92</v>
      </c>
      <c r="AR37" s="9">
        <v>0.931999993</v>
      </c>
      <c r="AS37" s="9">
        <v>0.94</v>
      </c>
      <c r="AT37" s="9">
        <v>0.94</v>
      </c>
      <c r="AU37" s="9">
        <v>0.869333</v>
      </c>
      <c r="AV37" s="9">
        <v>0.873333</v>
      </c>
      <c r="AW37" s="9">
        <v>0.9</v>
      </c>
      <c r="AX37" s="9">
        <v>0.854667</v>
      </c>
      <c r="AY37" s="9">
        <v>0.853333</v>
      </c>
      <c r="AZ37" s="9">
        <v>0.873333</v>
      </c>
      <c r="BA37" s="9">
        <v>0.922667</v>
      </c>
      <c r="BB37" s="9">
        <v>0.92</v>
      </c>
      <c r="BC37" s="9">
        <v>0.953333</v>
      </c>
      <c r="BD37" s="9">
        <v>0.890667</v>
      </c>
      <c r="BE37" s="9">
        <v>0.893333</v>
      </c>
      <c r="BF37" s="9">
        <v>0.913333</v>
      </c>
      <c r="BG37" s="9">
        <v>0.789333</v>
      </c>
      <c r="BH37" s="9">
        <v>0.786667</v>
      </c>
      <c r="BI37" s="9">
        <v>0.786667</v>
      </c>
      <c r="BJ37" s="6"/>
      <c r="BK37" s="6" t="str">
        <f t="shared" si="4"/>
        <v>PlottingTime</v>
      </c>
      <c r="BL37" s="11">
        <f t="shared" si="5"/>
        <v>-0.019967</v>
      </c>
      <c r="BM37" s="12" t="str">
        <f t="shared" si="6"/>
        <v>Group 3</v>
      </c>
      <c r="BN37" s="6" t="s">
        <v>83</v>
      </c>
      <c r="BO37" s="6" t="s">
        <v>1</v>
      </c>
      <c r="BP37" s="6"/>
      <c r="BQ37" s="6"/>
      <c r="BR37" s="6">
        <v>-0.019966999999999957</v>
      </c>
      <c r="BS37" s="6"/>
      <c r="BT37" s="6"/>
      <c r="BU37" s="6"/>
      <c r="BV37" s="6"/>
      <c r="BW37" s="6"/>
      <c r="BX37" s="6"/>
      <c r="BY37" s="6"/>
      <c r="BZ37" s="6"/>
    </row>
    <row r="38" ht="15.75" customHeight="1">
      <c r="A38" s="1" t="s">
        <v>132</v>
      </c>
      <c r="B38" s="7">
        <v>0.9937</v>
      </c>
      <c r="C38" s="8"/>
      <c r="D38" s="8"/>
      <c r="E38" s="9">
        <v>0.956962</v>
      </c>
      <c r="F38" s="9">
        <v>0.955696</v>
      </c>
      <c r="G38" s="9">
        <v>0.974684</v>
      </c>
      <c r="H38" s="9">
        <v>0.946835446</v>
      </c>
      <c r="I38" s="9">
        <v>0.946202517</v>
      </c>
      <c r="J38" s="9">
        <v>0.493671</v>
      </c>
      <c r="K38" s="9">
        <v>0.929747</v>
      </c>
      <c r="L38" s="9">
        <v>0.936709</v>
      </c>
      <c r="M38" s="9">
        <v>0.936709</v>
      </c>
      <c r="N38" s="9">
        <v>0.945569623</v>
      </c>
      <c r="O38" s="9">
        <v>0.946203</v>
      </c>
      <c r="P38" s="9">
        <v>0.955696</v>
      </c>
      <c r="Q38" s="9">
        <v>0.947468</v>
      </c>
      <c r="R38" s="9">
        <v>0.946203</v>
      </c>
      <c r="S38" s="9">
        <v>0.952532</v>
      </c>
      <c r="T38" s="9">
        <v>0.949367106</v>
      </c>
      <c r="U38" s="9">
        <v>0.955696</v>
      </c>
      <c r="V38" s="9">
        <v>0.96519</v>
      </c>
      <c r="W38" s="9">
        <v>0.89557</v>
      </c>
      <c r="X38" s="9">
        <v>0.89557</v>
      </c>
      <c r="Y38" s="9">
        <v>0.901899</v>
      </c>
      <c r="Z38" s="9">
        <v>0.898101</v>
      </c>
      <c r="AA38" s="9">
        <v>0.898734</v>
      </c>
      <c r="AB38" s="9">
        <v>0.917722</v>
      </c>
      <c r="AC38" s="9">
        <v>0.937341774</v>
      </c>
      <c r="AD38" s="9">
        <v>0.936709</v>
      </c>
      <c r="AE38" s="9">
        <v>0.955696</v>
      </c>
      <c r="AF38" s="9">
        <v>0.940506315</v>
      </c>
      <c r="AG38" s="9">
        <v>0.939873</v>
      </c>
      <c r="AH38" s="9">
        <v>0.949367</v>
      </c>
      <c r="AI38" s="9">
        <v>0.913291</v>
      </c>
      <c r="AJ38" s="9">
        <v>0.908228</v>
      </c>
      <c r="AK38" s="9">
        <v>0.924051</v>
      </c>
      <c r="AL38" s="9">
        <v>0.908861</v>
      </c>
      <c r="AM38" s="9">
        <v>0.914557</v>
      </c>
      <c r="AN38" s="9">
        <v>0.924051</v>
      </c>
      <c r="AO38" s="9">
        <v>0.932278</v>
      </c>
      <c r="AP38" s="9">
        <v>0.93038</v>
      </c>
      <c r="AQ38" s="9">
        <v>0.933544</v>
      </c>
      <c r="AR38" s="9">
        <v>0.933544314</v>
      </c>
      <c r="AS38" s="9">
        <v>0.93038</v>
      </c>
      <c r="AT38" s="9">
        <v>0.946203</v>
      </c>
      <c r="AU38" s="9">
        <v>0.906329</v>
      </c>
      <c r="AV38" s="9">
        <v>0.917722</v>
      </c>
      <c r="AW38" s="9">
        <v>0.914557</v>
      </c>
      <c r="AX38" s="9">
        <v>0.90443</v>
      </c>
      <c r="AY38" s="9">
        <v>0.914557</v>
      </c>
      <c r="AZ38" s="9">
        <v>0.93038</v>
      </c>
      <c r="BA38" s="9">
        <v>0.913924</v>
      </c>
      <c r="BB38" s="9">
        <v>0.920886</v>
      </c>
      <c r="BC38" s="9">
        <v>0.927215</v>
      </c>
      <c r="BD38" s="9">
        <v>0.912658</v>
      </c>
      <c r="BE38" s="9">
        <v>0.920886</v>
      </c>
      <c r="BF38" s="9">
        <v>0.924051</v>
      </c>
      <c r="BG38" s="9">
        <v>0.501266</v>
      </c>
      <c r="BH38" s="9">
        <v>0.506329</v>
      </c>
      <c r="BI38" s="9">
        <v>0.506329</v>
      </c>
      <c r="BJ38" s="6"/>
      <c r="BK38" s="6" t="str">
        <f t="shared" si="4"/>
        <v>PlottingTime</v>
      </c>
      <c r="BL38" s="11">
        <f t="shared" si="5"/>
        <v>-0.019016</v>
      </c>
      <c r="BM38" s="12" t="str">
        <f t="shared" si="6"/>
        <v>Group 3</v>
      </c>
      <c r="BN38" s="6" t="s">
        <v>83</v>
      </c>
      <c r="BO38" s="6" t="s">
        <v>1</v>
      </c>
      <c r="BP38" s="6"/>
      <c r="BQ38" s="6"/>
      <c r="BR38" s="6">
        <v>-0.019016000000000033</v>
      </c>
      <c r="BS38" s="6"/>
      <c r="BT38" s="6"/>
      <c r="BU38" s="6"/>
      <c r="BV38" s="6"/>
      <c r="BW38" s="6"/>
      <c r="BX38" s="6"/>
      <c r="BY38" s="6"/>
      <c r="BZ38" s="6"/>
    </row>
    <row r="39" ht="15.75" customHeight="1">
      <c r="A39" s="1" t="s">
        <v>133</v>
      </c>
      <c r="B39" s="7">
        <v>0.9937</v>
      </c>
      <c r="C39" s="8"/>
      <c r="D39" s="8"/>
      <c r="E39" s="9">
        <v>0.968987</v>
      </c>
      <c r="F39" s="9">
        <v>0.96519</v>
      </c>
      <c r="G39" s="9">
        <v>0.974684</v>
      </c>
      <c r="H39" s="9">
        <v>0.961392403</v>
      </c>
      <c r="I39" s="9">
        <v>0.958860755</v>
      </c>
      <c r="J39" s="9">
        <v>0.474684</v>
      </c>
      <c r="K39" s="9">
        <v>0.944304</v>
      </c>
      <c r="L39" s="9">
        <v>0.946203</v>
      </c>
      <c r="M39" s="9">
        <v>0.962025</v>
      </c>
      <c r="N39" s="9">
        <v>0.958227849</v>
      </c>
      <c r="O39" s="9">
        <v>0.96519</v>
      </c>
      <c r="P39" s="9">
        <v>0.977848</v>
      </c>
      <c r="Q39" s="9">
        <v>0.974051</v>
      </c>
      <c r="R39" s="9">
        <v>0.977848</v>
      </c>
      <c r="S39" s="9">
        <v>0.974684</v>
      </c>
      <c r="T39" s="9">
        <v>0.972151887</v>
      </c>
      <c r="U39" s="9">
        <v>0.974684</v>
      </c>
      <c r="V39" s="9">
        <v>0.977848</v>
      </c>
      <c r="W39" s="9">
        <v>0.946203</v>
      </c>
      <c r="X39" s="9">
        <v>0.949367</v>
      </c>
      <c r="Y39" s="9">
        <v>0.968354</v>
      </c>
      <c r="Z39" s="9">
        <v>0.960127</v>
      </c>
      <c r="AA39" s="9">
        <v>0.958861</v>
      </c>
      <c r="AB39" s="9">
        <v>0.962025</v>
      </c>
      <c r="AC39" s="9">
        <v>0.98227849</v>
      </c>
      <c r="AD39" s="9">
        <v>0.987342</v>
      </c>
      <c r="AE39" s="9">
        <v>0.981013</v>
      </c>
      <c r="AF39" s="9">
        <v>0.977848089</v>
      </c>
      <c r="AG39" s="9">
        <v>0.981013</v>
      </c>
      <c r="AH39" s="9">
        <v>0.984177</v>
      </c>
      <c r="AI39" s="9">
        <v>0.975316</v>
      </c>
      <c r="AJ39" s="9">
        <v>0.974684</v>
      </c>
      <c r="AK39" s="9">
        <v>0.987342</v>
      </c>
      <c r="AL39" s="9">
        <v>0.968354</v>
      </c>
      <c r="AM39" s="9">
        <v>0.968354</v>
      </c>
      <c r="AN39" s="9">
        <v>0.984177</v>
      </c>
      <c r="AO39" s="9">
        <v>0.968354</v>
      </c>
      <c r="AP39" s="9">
        <v>0.96519</v>
      </c>
      <c r="AQ39" s="9">
        <v>0.974684</v>
      </c>
      <c r="AR39" s="9">
        <v>0.966455686</v>
      </c>
      <c r="AS39" s="9">
        <v>0.968354</v>
      </c>
      <c r="AT39" s="9">
        <v>0.971519</v>
      </c>
      <c r="AU39" s="9">
        <v>0.982911</v>
      </c>
      <c r="AV39" s="9">
        <v>0.987342</v>
      </c>
      <c r="AW39" s="9">
        <v>0.996835</v>
      </c>
      <c r="AX39" s="9">
        <v>0.982278</v>
      </c>
      <c r="AY39" s="9">
        <v>0.987342</v>
      </c>
      <c r="AZ39" s="9">
        <v>0.993671</v>
      </c>
      <c r="BA39" s="9">
        <v>0.967089</v>
      </c>
      <c r="BB39" s="9">
        <v>0.968354</v>
      </c>
      <c r="BC39" s="9">
        <v>0.977848</v>
      </c>
      <c r="BD39" s="9">
        <v>0.961392</v>
      </c>
      <c r="BE39" s="9">
        <v>0.96519</v>
      </c>
      <c r="BF39" s="9">
        <v>0.974684</v>
      </c>
      <c r="BG39" s="9">
        <v>0.525316</v>
      </c>
      <c r="BH39" s="9">
        <v>0.525316</v>
      </c>
      <c r="BI39" s="9">
        <v>0.525316</v>
      </c>
      <c r="BJ39" s="6"/>
      <c r="BK39" s="6" t="str">
        <f t="shared" si="4"/>
        <v>12V_One_Acc</v>
      </c>
      <c r="BL39" s="11">
        <f t="shared" si="5"/>
        <v>0.003135</v>
      </c>
      <c r="BM39" s="12" t="str">
        <f t="shared" si="6"/>
        <v>Group 3</v>
      </c>
      <c r="BN39" s="6" t="s">
        <v>83</v>
      </c>
      <c r="BO39" s="6" t="s">
        <v>65</v>
      </c>
      <c r="BP39" s="6"/>
      <c r="BQ39" s="6"/>
      <c r="BR39" s="6">
        <v>0.003134999999999999</v>
      </c>
      <c r="BS39" s="6"/>
      <c r="BT39" s="6"/>
      <c r="BU39" s="6"/>
      <c r="BV39" s="6"/>
      <c r="BW39" s="6"/>
      <c r="BX39" s="6"/>
      <c r="BY39" s="6"/>
      <c r="BZ39" s="6"/>
    </row>
    <row r="40" ht="15.75" customHeight="1">
      <c r="A40" s="1" t="s">
        <v>134</v>
      </c>
      <c r="B40" s="7">
        <v>0.9587</v>
      </c>
      <c r="C40" s="8"/>
      <c r="D40" s="8"/>
      <c r="E40" s="9">
        <v>0.961905</v>
      </c>
      <c r="F40" s="9">
        <v>0.968254</v>
      </c>
      <c r="G40" s="9">
        <v>0.961905</v>
      </c>
      <c r="H40" s="9">
        <v>0.965079367</v>
      </c>
      <c r="I40" s="9">
        <v>0.965079367</v>
      </c>
      <c r="J40" s="9">
        <v>0.52381</v>
      </c>
      <c r="K40" s="9">
        <v>0.940317</v>
      </c>
      <c r="L40" s="9">
        <v>0.942857</v>
      </c>
      <c r="M40" s="9">
        <v>0.942857</v>
      </c>
      <c r="N40" s="9">
        <v>0.93650794</v>
      </c>
      <c r="O40" s="9">
        <v>0.936508</v>
      </c>
      <c r="P40" s="9">
        <v>0.942857</v>
      </c>
      <c r="Q40" s="9">
        <v>0.936508</v>
      </c>
      <c r="R40" s="9">
        <v>0.936508</v>
      </c>
      <c r="S40" s="9">
        <v>0.939683</v>
      </c>
      <c r="T40" s="9">
        <v>0.939047623</v>
      </c>
      <c r="U40" s="9">
        <v>0.936508</v>
      </c>
      <c r="V40" s="9">
        <v>0.933333</v>
      </c>
      <c r="W40" s="9">
        <v>0.934603</v>
      </c>
      <c r="X40" s="9">
        <v>0.936508</v>
      </c>
      <c r="Y40" s="9">
        <v>0.95873</v>
      </c>
      <c r="Z40" s="9">
        <v>0.931429</v>
      </c>
      <c r="AA40" s="9">
        <v>0.933333</v>
      </c>
      <c r="AB40" s="9">
        <v>0.942857</v>
      </c>
      <c r="AC40" s="9">
        <v>0.951746035</v>
      </c>
      <c r="AD40" s="9">
        <v>0.949206</v>
      </c>
      <c r="AE40" s="9">
        <v>0.952381</v>
      </c>
      <c r="AF40" s="9">
        <v>0.951746035</v>
      </c>
      <c r="AG40" s="9">
        <v>0.952381</v>
      </c>
      <c r="AH40" s="9">
        <v>0.949206</v>
      </c>
      <c r="AI40" s="9">
        <v>0.912381</v>
      </c>
      <c r="AJ40" s="9">
        <v>0.914286</v>
      </c>
      <c r="AK40" s="9">
        <v>0.911111</v>
      </c>
      <c r="AL40" s="9">
        <v>0.914921</v>
      </c>
      <c r="AM40" s="9">
        <v>0.91746</v>
      </c>
      <c r="AN40" s="9">
        <v>0.914286</v>
      </c>
      <c r="AO40" s="9">
        <v>0.953651</v>
      </c>
      <c r="AP40" s="9">
        <v>0.95873</v>
      </c>
      <c r="AQ40" s="9">
        <v>0.946032</v>
      </c>
      <c r="AR40" s="9">
        <v>0.947936511</v>
      </c>
      <c r="AS40" s="9">
        <v>0.946032</v>
      </c>
      <c r="AT40" s="9">
        <v>0.955556</v>
      </c>
      <c r="AU40" s="9">
        <v>0.905397</v>
      </c>
      <c r="AV40" s="9">
        <v>0.91746</v>
      </c>
      <c r="AW40" s="9">
        <v>0.91746</v>
      </c>
      <c r="AX40" s="9">
        <v>0.909206</v>
      </c>
      <c r="AY40" s="9">
        <v>0.911111</v>
      </c>
      <c r="AZ40" s="9">
        <v>0.920635</v>
      </c>
      <c r="BA40" s="9">
        <v>0.945397</v>
      </c>
      <c r="BB40" s="9">
        <v>0.946032</v>
      </c>
      <c r="BC40" s="9">
        <v>0.952381</v>
      </c>
      <c r="BD40" s="9">
        <v>0.913016</v>
      </c>
      <c r="BE40" s="9">
        <v>0.91746</v>
      </c>
      <c r="BF40" s="9">
        <v>0.911111</v>
      </c>
      <c r="BG40" s="9">
        <v>0.614603</v>
      </c>
      <c r="BH40" s="9">
        <v>0.52381</v>
      </c>
      <c r="BI40" s="9">
        <v>0.990476</v>
      </c>
      <c r="BJ40" s="6"/>
      <c r="BK40" s="6" t="str">
        <f t="shared" si="4"/>
        <v>De_One_Acc</v>
      </c>
      <c r="BL40" s="11">
        <f t="shared" si="5"/>
        <v>0.031776</v>
      </c>
      <c r="BM40" s="12" t="str">
        <f t="shared" si="6"/>
        <v>Group 3</v>
      </c>
      <c r="BN40" s="6" t="s">
        <v>83</v>
      </c>
      <c r="BO40" s="6" t="s">
        <v>77</v>
      </c>
      <c r="BP40" s="6"/>
      <c r="BQ40" s="6"/>
      <c r="BR40" s="6">
        <v>0.031776000000000026</v>
      </c>
      <c r="BS40" s="6"/>
      <c r="BT40" s="6"/>
      <c r="BU40" s="6"/>
      <c r="BV40" s="6"/>
      <c r="BW40" s="6"/>
      <c r="BX40" s="6"/>
      <c r="BY40" s="6"/>
      <c r="BZ40" s="6"/>
    </row>
    <row r="41" ht="15.75" customHeight="1">
      <c r="A41" s="1" t="s">
        <v>135</v>
      </c>
      <c r="B41" s="7">
        <v>0.7619</v>
      </c>
      <c r="C41" s="8"/>
      <c r="D41" s="8"/>
      <c r="E41" s="9">
        <v>0.548571</v>
      </c>
      <c r="F41" s="9">
        <v>0.542857</v>
      </c>
      <c r="G41" s="9">
        <v>0.504762</v>
      </c>
      <c r="H41" s="9">
        <v>0.466666675</v>
      </c>
      <c r="I41" s="9">
        <v>0.45714286</v>
      </c>
      <c r="J41" s="9">
        <v>0.52381</v>
      </c>
      <c r="K41" s="9">
        <v>0.502857</v>
      </c>
      <c r="L41" s="9">
        <v>0.514286</v>
      </c>
      <c r="M41" s="9">
        <v>0.52381</v>
      </c>
      <c r="N41" s="9">
        <v>0.500952393</v>
      </c>
      <c r="O41" s="9">
        <v>0.495238</v>
      </c>
      <c r="P41" s="9">
        <v>0.495238</v>
      </c>
      <c r="Q41" s="9">
        <v>0.550476</v>
      </c>
      <c r="R41" s="9">
        <v>0.561905</v>
      </c>
      <c r="S41" s="9">
        <v>0.552381</v>
      </c>
      <c r="T41" s="9">
        <v>0.529523832</v>
      </c>
      <c r="U41" s="9">
        <v>0.533333</v>
      </c>
      <c r="V41" s="9">
        <v>0.542857</v>
      </c>
      <c r="W41" s="9">
        <v>0.546667</v>
      </c>
      <c r="X41" s="9">
        <v>0.561905</v>
      </c>
      <c r="Y41" s="9">
        <v>0.561905</v>
      </c>
      <c r="Z41" s="9">
        <v>0.558095</v>
      </c>
      <c r="AA41" s="9">
        <v>0.561905</v>
      </c>
      <c r="AB41" s="9">
        <v>0.52381</v>
      </c>
      <c r="AC41" s="9">
        <v>0.580952406</v>
      </c>
      <c r="AD41" s="9">
        <v>0.571429</v>
      </c>
      <c r="AE41" s="9">
        <v>0.552381</v>
      </c>
      <c r="AF41" s="9">
        <v>0.567619073</v>
      </c>
      <c r="AG41" s="9">
        <v>0.571429</v>
      </c>
      <c r="AH41" s="9">
        <v>0.571429</v>
      </c>
      <c r="AI41" s="9">
        <v>0.622857</v>
      </c>
      <c r="AJ41" s="9">
        <v>0.628571</v>
      </c>
      <c r="AK41" s="9">
        <v>0.6</v>
      </c>
      <c r="AL41" s="9">
        <v>0.624762</v>
      </c>
      <c r="AM41" s="9">
        <v>0.647619</v>
      </c>
      <c r="AN41" s="9">
        <v>0.628571</v>
      </c>
      <c r="AO41" s="9">
        <v>0.552381</v>
      </c>
      <c r="AP41" s="9">
        <v>0.552381</v>
      </c>
      <c r="AQ41" s="9">
        <v>0.590476</v>
      </c>
      <c r="AR41" s="9">
        <v>0.556190503</v>
      </c>
      <c r="AS41" s="9">
        <v>0.561905</v>
      </c>
      <c r="AT41" s="9">
        <v>0.542857</v>
      </c>
      <c r="AU41" s="9">
        <v>0.598095</v>
      </c>
      <c r="AV41" s="9">
        <v>0.609524</v>
      </c>
      <c r="AW41" s="9">
        <v>0.638095</v>
      </c>
      <c r="AX41" s="9">
        <v>0.624762</v>
      </c>
      <c r="AY41" s="9">
        <v>0.628571</v>
      </c>
      <c r="AZ41" s="9">
        <v>0.619048</v>
      </c>
      <c r="BA41" s="9">
        <v>0.626667</v>
      </c>
      <c r="BB41" s="9">
        <v>0.619048</v>
      </c>
      <c r="BC41" s="9">
        <v>0.609524</v>
      </c>
      <c r="BD41" s="9">
        <v>0.605714</v>
      </c>
      <c r="BE41" s="9">
        <v>0.609524</v>
      </c>
      <c r="BF41" s="9">
        <v>0.6</v>
      </c>
      <c r="BG41" s="9">
        <v>0.754286</v>
      </c>
      <c r="BH41" s="9">
        <v>0.761905</v>
      </c>
      <c r="BI41" s="9">
        <v>0.714286</v>
      </c>
      <c r="BJ41" s="6"/>
      <c r="BK41" s="6" t="str">
        <f t="shared" si="4"/>
        <v>De_Fold_Median</v>
      </c>
      <c r="BL41" s="11">
        <f t="shared" si="5"/>
        <v>0.000005</v>
      </c>
      <c r="BM41" s="12" t="str">
        <f t="shared" si="6"/>
        <v>Group 3</v>
      </c>
      <c r="BN41" s="6" t="s">
        <v>83</v>
      </c>
      <c r="BO41" s="6" t="s">
        <v>76</v>
      </c>
      <c r="BP41" s="6"/>
      <c r="BQ41" s="6"/>
      <c r="BR41" s="6">
        <v>5.000000000032756E-6</v>
      </c>
      <c r="BS41" s="6"/>
      <c r="BT41" s="6"/>
      <c r="BU41" s="6"/>
      <c r="BV41" s="6"/>
      <c r="BW41" s="6"/>
      <c r="BX41" s="6"/>
      <c r="BY41" s="6"/>
      <c r="BZ41" s="6"/>
    </row>
    <row r="42" ht="15.75" customHeight="1">
      <c r="A42" s="1" t="s">
        <v>136</v>
      </c>
      <c r="B42" s="7">
        <v>0.513</v>
      </c>
      <c r="C42" s="8"/>
      <c r="D42" s="8"/>
      <c r="E42" s="9">
        <v>0.385065</v>
      </c>
      <c r="F42" s="9">
        <v>0.38961</v>
      </c>
      <c r="G42" s="9">
        <v>0.37013</v>
      </c>
      <c r="H42" s="9">
        <v>0.342207795</v>
      </c>
      <c r="I42" s="9">
        <v>0.344155848</v>
      </c>
      <c r="J42" s="9">
        <v>0.191558</v>
      </c>
      <c r="K42" s="9">
        <v>0.362338</v>
      </c>
      <c r="L42" s="9">
        <v>0.357143</v>
      </c>
      <c r="M42" s="9">
        <v>0.409091</v>
      </c>
      <c r="N42" s="9">
        <v>0.348701298</v>
      </c>
      <c r="O42" s="9">
        <v>0.337662</v>
      </c>
      <c r="P42" s="9">
        <v>0.246753</v>
      </c>
      <c r="Q42" s="9">
        <v>0.401948</v>
      </c>
      <c r="R42" s="9">
        <v>0.399351</v>
      </c>
      <c r="S42" s="9">
        <v>0.418831</v>
      </c>
      <c r="T42" s="9">
        <v>0.411038959</v>
      </c>
      <c r="U42" s="9">
        <v>0.409091</v>
      </c>
      <c r="V42" s="9">
        <v>0.405844</v>
      </c>
      <c r="W42" s="9">
        <v>0.414286</v>
      </c>
      <c r="X42" s="9">
        <v>0.405844</v>
      </c>
      <c r="Y42" s="9">
        <v>0.435065</v>
      </c>
      <c r="Z42" s="9">
        <v>0.382468</v>
      </c>
      <c r="AA42" s="9">
        <v>0.38961</v>
      </c>
      <c r="AB42" s="9">
        <v>0.425325</v>
      </c>
      <c r="AC42" s="9">
        <v>0.381818187</v>
      </c>
      <c r="AD42" s="9">
        <v>0.366883</v>
      </c>
      <c r="AE42" s="9">
        <v>0.402597</v>
      </c>
      <c r="AF42" s="9">
        <v>0.382467532</v>
      </c>
      <c r="AG42" s="9">
        <v>0.418831</v>
      </c>
      <c r="AH42" s="9">
        <v>0.422078</v>
      </c>
      <c r="AI42" s="9">
        <v>0.365584</v>
      </c>
      <c r="AJ42" s="9">
        <v>0.405844</v>
      </c>
      <c r="AK42" s="9">
        <v>0.461039</v>
      </c>
      <c r="AL42" s="9">
        <v>0.422727</v>
      </c>
      <c r="AM42" s="9">
        <v>0.422078</v>
      </c>
      <c r="AN42" s="9">
        <v>0.399351</v>
      </c>
      <c r="AO42" s="9">
        <v>0.406494</v>
      </c>
      <c r="AP42" s="9">
        <v>0.431818</v>
      </c>
      <c r="AQ42" s="9">
        <v>0.409091</v>
      </c>
      <c r="AR42" s="9">
        <v>0.41948052</v>
      </c>
      <c r="AS42" s="9">
        <v>0.422078</v>
      </c>
      <c r="AT42" s="9">
        <v>0.412338</v>
      </c>
      <c r="AU42" s="9">
        <v>0.390909</v>
      </c>
      <c r="AV42" s="9">
        <v>0.396104</v>
      </c>
      <c r="AW42" s="9">
        <v>0.467532</v>
      </c>
      <c r="AX42" s="9">
        <v>0.387662</v>
      </c>
      <c r="AY42" s="9">
        <v>0.405844</v>
      </c>
      <c r="AZ42" s="9">
        <v>0.337662</v>
      </c>
      <c r="BA42" s="9">
        <v>0.398701</v>
      </c>
      <c r="BB42" s="9">
        <v>0.409091</v>
      </c>
      <c r="BC42" s="9">
        <v>0.431818</v>
      </c>
      <c r="BD42" s="9">
        <v>0.423377</v>
      </c>
      <c r="BE42" s="9">
        <v>0.454545</v>
      </c>
      <c r="BF42" s="9">
        <v>0.438312</v>
      </c>
      <c r="BG42" s="9">
        <v>0.423377</v>
      </c>
      <c r="BH42" s="9">
        <v>0.415584</v>
      </c>
      <c r="BI42" s="9">
        <v>0.461039</v>
      </c>
      <c r="BJ42" s="6"/>
      <c r="BK42" s="6" t="str">
        <f t="shared" si="4"/>
        <v>PlottingTime</v>
      </c>
      <c r="BL42" s="11">
        <f t="shared" si="5"/>
        <v>-0.045468</v>
      </c>
      <c r="BM42" s="12" t="str">
        <f t="shared" si="6"/>
        <v>Group 3</v>
      </c>
      <c r="BN42" s="6" t="s">
        <v>83</v>
      </c>
      <c r="BO42" s="6" t="s">
        <v>1</v>
      </c>
      <c r="BP42" s="6"/>
      <c r="BQ42" s="6"/>
      <c r="BR42" s="6">
        <v>-0.04546800000000001</v>
      </c>
      <c r="BS42" s="6"/>
      <c r="BT42" s="6"/>
      <c r="BU42" s="6"/>
      <c r="BV42" s="6"/>
      <c r="BW42" s="6"/>
      <c r="BX42" s="6"/>
      <c r="BY42" s="6"/>
      <c r="BZ42" s="6"/>
    </row>
    <row r="43" ht="15.75" customHeight="1">
      <c r="A43" s="1" t="s">
        <v>137</v>
      </c>
      <c r="B43" s="7">
        <v>0.5938</v>
      </c>
      <c r="C43" s="8"/>
      <c r="D43" s="8"/>
      <c r="E43" s="9">
        <v>0.553125</v>
      </c>
      <c r="F43" s="9">
        <v>0.5625</v>
      </c>
      <c r="G43" s="9">
        <v>0.5625</v>
      </c>
      <c r="H43" s="9">
        <v>0.565625</v>
      </c>
      <c r="I43" s="9">
        <v>0.59375</v>
      </c>
      <c r="J43" s="9">
        <v>0.59375</v>
      </c>
      <c r="K43" s="9">
        <v>0.525</v>
      </c>
      <c r="L43" s="9">
        <v>0.53125</v>
      </c>
      <c r="M43" s="9">
        <v>0.484375</v>
      </c>
      <c r="N43" s="9">
        <v>0.575</v>
      </c>
      <c r="O43" s="9">
        <v>0.578125</v>
      </c>
      <c r="P43" s="9">
        <v>0.578125</v>
      </c>
      <c r="Q43" s="9">
        <v>0.546875</v>
      </c>
      <c r="R43" s="9">
        <v>0.546875</v>
      </c>
      <c r="S43" s="9">
        <v>0.484375</v>
      </c>
      <c r="T43" s="9">
        <v>0.5375</v>
      </c>
      <c r="U43" s="9">
        <v>0.53125</v>
      </c>
      <c r="V43" s="9">
        <v>0.4375</v>
      </c>
      <c r="W43" s="9">
        <v>0.565625</v>
      </c>
      <c r="X43" s="9">
        <v>0.5625</v>
      </c>
      <c r="Y43" s="9">
        <v>0.5625</v>
      </c>
      <c r="Z43" s="9">
        <v>0.584375</v>
      </c>
      <c r="AA43" s="9">
        <v>0.59375</v>
      </c>
      <c r="AB43" s="9">
        <v>0.484375</v>
      </c>
      <c r="AC43" s="9">
        <v>0.578125</v>
      </c>
      <c r="AD43" s="9">
        <v>0.578125</v>
      </c>
      <c r="AE43" s="9">
        <v>0.578125</v>
      </c>
      <c r="AF43" s="9">
        <v>0.5875</v>
      </c>
      <c r="AG43" s="9">
        <v>0.59375</v>
      </c>
      <c r="AH43" s="9">
        <v>0.5625</v>
      </c>
      <c r="AI43" s="9">
        <v>0.603125</v>
      </c>
      <c r="AJ43" s="9">
        <v>0.59375</v>
      </c>
      <c r="AK43" s="9">
        <v>0.5625</v>
      </c>
      <c r="AL43" s="9">
        <v>0.584375</v>
      </c>
      <c r="AM43" s="9">
        <v>0.59375</v>
      </c>
      <c r="AN43" s="9">
        <v>0.609375</v>
      </c>
      <c r="AO43" s="9">
        <v>0.578125</v>
      </c>
      <c r="AP43" s="9">
        <v>0.59375</v>
      </c>
      <c r="AQ43" s="9">
        <v>0.484375</v>
      </c>
      <c r="AR43" s="9">
        <v>0.559375</v>
      </c>
      <c r="AS43" s="9">
        <v>0.546875</v>
      </c>
      <c r="AT43" s="9">
        <v>0.484375</v>
      </c>
      <c r="AU43" s="9">
        <v>0.615625</v>
      </c>
      <c r="AV43" s="9">
        <v>0.609375</v>
      </c>
      <c r="AW43" s="9">
        <v>0.59375</v>
      </c>
      <c r="AX43" s="9">
        <v>0.61875</v>
      </c>
      <c r="AY43" s="9">
        <v>0.609375</v>
      </c>
      <c r="AZ43" s="9">
        <v>0.625</v>
      </c>
      <c r="BA43" s="9">
        <v>0.55625</v>
      </c>
      <c r="BB43" s="9">
        <v>0.59375</v>
      </c>
      <c r="BC43" s="9">
        <v>0.484375</v>
      </c>
      <c r="BD43" s="9">
        <v>0.565625</v>
      </c>
      <c r="BE43" s="9">
        <v>0.59375</v>
      </c>
      <c r="BF43" s="9">
        <v>0.59375</v>
      </c>
      <c r="BG43" s="9">
        <v>0.55625</v>
      </c>
      <c r="BH43" s="9">
        <v>0.59375</v>
      </c>
      <c r="BI43" s="9">
        <v>0.59375</v>
      </c>
      <c r="BJ43" s="6"/>
      <c r="BK43" s="6" t="str">
        <f t="shared" si="4"/>
        <v>12VB_One_Acc</v>
      </c>
      <c r="BL43" s="11">
        <f t="shared" si="5"/>
        <v>0.0312</v>
      </c>
      <c r="BM43" s="12" t="str">
        <f t="shared" si="6"/>
        <v>Group 3</v>
      </c>
      <c r="BN43" s="6" t="s">
        <v>83</v>
      </c>
      <c r="BO43" s="6" t="s">
        <v>68</v>
      </c>
      <c r="BP43" s="6"/>
      <c r="BQ43" s="6"/>
      <c r="BR43" s="6">
        <v>0.031200000000000006</v>
      </c>
      <c r="BS43" s="6"/>
      <c r="BT43" s="6"/>
      <c r="BU43" s="6"/>
      <c r="BV43" s="6"/>
      <c r="BW43" s="6"/>
      <c r="BX43" s="6"/>
      <c r="BY43" s="6"/>
      <c r="BZ43" s="6"/>
    </row>
    <row r="44" ht="15.75" customHeight="1">
      <c r="A44" s="1" t="s">
        <v>138</v>
      </c>
      <c r="B44" s="7">
        <v>0.9412</v>
      </c>
      <c r="C44" s="8"/>
      <c r="D44" s="8"/>
      <c r="E44" s="9">
        <v>0.754622</v>
      </c>
      <c r="F44" s="9">
        <v>0.798319</v>
      </c>
      <c r="G44" s="9">
        <v>0.798319</v>
      </c>
      <c r="H44" s="9">
        <v>0.768067241</v>
      </c>
      <c r="I44" s="9">
        <v>0.773109257</v>
      </c>
      <c r="J44" s="9">
        <v>0.428571</v>
      </c>
      <c r="K44" s="9">
        <v>0.715966</v>
      </c>
      <c r="L44" s="9">
        <v>0.722689</v>
      </c>
      <c r="M44" s="9">
        <v>0.731092</v>
      </c>
      <c r="N44" s="9">
        <v>0.668907583</v>
      </c>
      <c r="O44" s="9">
        <v>0.697479</v>
      </c>
      <c r="P44" s="9">
        <v>0.773109</v>
      </c>
      <c r="Q44" s="9">
        <v>0.756303</v>
      </c>
      <c r="R44" s="9">
        <v>0.806723</v>
      </c>
      <c r="S44" s="9">
        <v>0.84874</v>
      </c>
      <c r="T44" s="9">
        <v>0.806722701</v>
      </c>
      <c r="U44" s="9">
        <v>0.831933</v>
      </c>
      <c r="V44" s="9">
        <v>0.831933</v>
      </c>
      <c r="W44" s="9">
        <v>0.731092</v>
      </c>
      <c r="X44" s="9">
        <v>0.731092</v>
      </c>
      <c r="Y44" s="9">
        <v>0.747899</v>
      </c>
      <c r="Z44" s="9">
        <v>0.752941</v>
      </c>
      <c r="AA44" s="9">
        <v>0.756303</v>
      </c>
      <c r="AB44" s="9">
        <v>0.756303</v>
      </c>
      <c r="AC44" s="9">
        <v>0.831932783</v>
      </c>
      <c r="AD44" s="9">
        <v>0.831933</v>
      </c>
      <c r="AE44" s="9">
        <v>0.84874</v>
      </c>
      <c r="AF44" s="9">
        <v>0.831932783</v>
      </c>
      <c r="AG44" s="9">
        <v>0.840336</v>
      </c>
      <c r="AH44" s="9">
        <v>0.865546</v>
      </c>
      <c r="AI44" s="9">
        <v>0.660504</v>
      </c>
      <c r="AJ44" s="9">
        <v>0.689076</v>
      </c>
      <c r="AK44" s="9">
        <v>0.697479</v>
      </c>
      <c r="AL44" s="9">
        <v>0.712605</v>
      </c>
      <c r="AM44" s="9">
        <v>0.714286</v>
      </c>
      <c r="AN44" s="9">
        <v>0.731092</v>
      </c>
      <c r="AO44" s="9">
        <v>0.87563</v>
      </c>
      <c r="AP44" s="9">
        <v>0.865546</v>
      </c>
      <c r="AQ44" s="9">
        <v>0.89916</v>
      </c>
      <c r="AR44" s="9">
        <v>0.853781521</v>
      </c>
      <c r="AS44" s="9">
        <v>0.857143</v>
      </c>
      <c r="AT44" s="9">
        <v>0.890756</v>
      </c>
      <c r="AU44" s="9">
        <v>0.710924</v>
      </c>
      <c r="AV44" s="9">
        <v>0.705882</v>
      </c>
      <c r="AW44" s="9">
        <v>0.705882</v>
      </c>
      <c r="AX44" s="9">
        <v>0.769748</v>
      </c>
      <c r="AY44" s="9">
        <v>0.773109</v>
      </c>
      <c r="AZ44" s="9">
        <v>0.781513</v>
      </c>
      <c r="BA44" s="9">
        <v>0.862185</v>
      </c>
      <c r="BB44" s="9">
        <v>0.865546</v>
      </c>
      <c r="BC44" s="9">
        <v>0.882353</v>
      </c>
      <c r="BD44" s="9">
        <v>0.773109</v>
      </c>
      <c r="BE44" s="9">
        <v>0.773109</v>
      </c>
      <c r="BF44" s="9">
        <v>0.781513</v>
      </c>
      <c r="BG44" s="9">
        <v>0.463866</v>
      </c>
      <c r="BH44" s="9">
        <v>0.420168</v>
      </c>
      <c r="BI44" s="9">
        <v>0.579832</v>
      </c>
      <c r="BJ44" s="6"/>
      <c r="BK44" s="6" t="str">
        <f t="shared" si="4"/>
        <v>PlottingTime</v>
      </c>
      <c r="BL44" s="11">
        <f t="shared" si="5"/>
        <v>-0.04204</v>
      </c>
      <c r="BM44" s="12" t="str">
        <f t="shared" si="6"/>
        <v>Group 3</v>
      </c>
      <c r="BN44" s="6" t="s">
        <v>83</v>
      </c>
      <c r="BO44" s="6" t="s">
        <v>1</v>
      </c>
      <c r="BP44" s="6"/>
      <c r="BQ44" s="6"/>
      <c r="BR44" s="6">
        <v>-0.04204000000000008</v>
      </c>
      <c r="BS44" s="6"/>
      <c r="BT44" s="6"/>
      <c r="BU44" s="6"/>
      <c r="BV44" s="6"/>
      <c r="BW44" s="6"/>
      <c r="BX44" s="6"/>
      <c r="BY44" s="6"/>
      <c r="BZ44" s="6"/>
    </row>
    <row r="45" ht="15.75" customHeight="1">
      <c r="A45" s="1" t="s">
        <v>139</v>
      </c>
      <c r="B45" s="7">
        <v>0.3836</v>
      </c>
      <c r="C45" s="8"/>
      <c r="D45" s="8"/>
      <c r="E45" s="9">
        <v>0.289818</v>
      </c>
      <c r="F45" s="9">
        <v>0.303636</v>
      </c>
      <c r="G45" s="9">
        <v>0.325455</v>
      </c>
      <c r="H45" s="9">
        <v>0.272727275</v>
      </c>
      <c r="I45" s="9">
        <v>0.298181832</v>
      </c>
      <c r="J45" s="9">
        <v>0.183636</v>
      </c>
      <c r="K45" s="9">
        <v>0.251636</v>
      </c>
      <c r="L45" s="9">
        <v>0.247273</v>
      </c>
      <c r="M45" s="9">
        <v>0.261818</v>
      </c>
      <c r="N45" s="9">
        <v>0.259272721</v>
      </c>
      <c r="O45" s="9">
        <v>0.287273</v>
      </c>
      <c r="P45" s="9">
        <v>0.321818</v>
      </c>
      <c r="Q45" s="9">
        <v>0.294545</v>
      </c>
      <c r="R45" s="9">
        <v>0.289091</v>
      </c>
      <c r="S45" s="9">
        <v>0.321818</v>
      </c>
      <c r="T45" s="9">
        <v>0.282545456</v>
      </c>
      <c r="U45" s="9">
        <v>0.289091</v>
      </c>
      <c r="V45" s="9">
        <v>0.318182</v>
      </c>
      <c r="W45" s="9">
        <v>0.199636</v>
      </c>
      <c r="X45" s="9">
        <v>0.203636</v>
      </c>
      <c r="Y45" s="9">
        <v>0.24</v>
      </c>
      <c r="Z45" s="9">
        <v>0.228</v>
      </c>
      <c r="AA45" s="9">
        <v>0.223636</v>
      </c>
      <c r="AB45" s="9">
        <v>0.3</v>
      </c>
      <c r="AC45" s="9">
        <v>0.275636357</v>
      </c>
      <c r="AD45" s="9">
        <v>0.283636</v>
      </c>
      <c r="AE45" s="9">
        <v>0.272727</v>
      </c>
      <c r="AF45" s="9">
        <v>0.260000002</v>
      </c>
      <c r="AG45" s="9">
        <v>0.269091</v>
      </c>
      <c r="AH45" s="9">
        <v>0.272727</v>
      </c>
      <c r="AI45" s="9">
        <v>0.218909</v>
      </c>
      <c r="AJ45" s="9">
        <v>0.210909</v>
      </c>
      <c r="AK45" s="9">
        <v>0.258182</v>
      </c>
      <c r="AL45" s="9">
        <v>0.225091</v>
      </c>
      <c r="AM45" s="9">
        <v>0.227273</v>
      </c>
      <c r="AN45" s="9">
        <v>0.232727</v>
      </c>
      <c r="AO45" s="9">
        <v>0.263636</v>
      </c>
      <c r="AP45" s="9">
        <v>0.267273</v>
      </c>
      <c r="AQ45" s="9">
        <v>0.327273</v>
      </c>
      <c r="AR45" s="9">
        <v>0.286909091</v>
      </c>
      <c r="AS45" s="9">
        <v>0.292727</v>
      </c>
      <c r="AT45" s="9">
        <v>0.3</v>
      </c>
      <c r="AU45" s="9">
        <v>0.258909</v>
      </c>
      <c r="AV45" s="9">
        <v>0.243636</v>
      </c>
      <c r="AW45" s="9">
        <v>0.249091</v>
      </c>
      <c r="AX45" s="9">
        <v>0.240364</v>
      </c>
      <c r="AY45" s="9">
        <v>0.236364</v>
      </c>
      <c r="AZ45" s="9">
        <v>0.263636</v>
      </c>
      <c r="BA45" s="9">
        <v>0.276727</v>
      </c>
      <c r="BB45" s="9">
        <v>0.290909</v>
      </c>
      <c r="BC45" s="9">
        <v>0.314545</v>
      </c>
      <c r="BD45" s="9">
        <v>0.243273</v>
      </c>
      <c r="BE45" s="9">
        <v>0.243636</v>
      </c>
      <c r="BF45" s="9">
        <v>0.296364</v>
      </c>
      <c r="BG45" s="9">
        <v>0.182545</v>
      </c>
      <c r="BH45" s="9">
        <v>0.183636</v>
      </c>
      <c r="BI45" s="9">
        <v>0.187273</v>
      </c>
      <c r="BJ45" s="6"/>
      <c r="BK45" s="6" t="str">
        <f t="shared" si="4"/>
        <v>PlottingTime</v>
      </c>
      <c r="BL45" s="11">
        <f t="shared" si="5"/>
        <v>-0.056327</v>
      </c>
      <c r="BM45" s="12" t="str">
        <f t="shared" si="6"/>
        <v>Group 3</v>
      </c>
      <c r="BN45" s="6" t="s">
        <v>83</v>
      </c>
      <c r="BO45" s="6" t="s">
        <v>1</v>
      </c>
      <c r="BP45" s="6"/>
      <c r="BQ45" s="6"/>
      <c r="BR45" s="6">
        <v>-0.056327000000000016</v>
      </c>
      <c r="BS45" s="6"/>
      <c r="BT45" s="6"/>
      <c r="BU45" s="6"/>
      <c r="BV45" s="6"/>
      <c r="BW45" s="6"/>
      <c r="BX45" s="6"/>
      <c r="BY45" s="6"/>
      <c r="BZ45" s="6"/>
    </row>
    <row r="46" ht="15.75" customHeight="1">
      <c r="A46" s="1" t="s">
        <v>140</v>
      </c>
      <c r="B46" s="7">
        <v>0.9518</v>
      </c>
      <c r="C46" s="8"/>
      <c r="D46" s="8"/>
      <c r="E46" s="9">
        <v>0.798394</v>
      </c>
      <c r="F46" s="9">
        <v>0.803213</v>
      </c>
      <c r="G46" s="9">
        <v>0.823293</v>
      </c>
      <c r="H46" s="9">
        <v>0.798393583</v>
      </c>
      <c r="I46" s="9">
        <v>0.795180738</v>
      </c>
      <c r="J46" s="9">
        <v>0.473896</v>
      </c>
      <c r="K46" s="9">
        <v>0.791165</v>
      </c>
      <c r="L46" s="9">
        <v>0.787149</v>
      </c>
      <c r="M46" s="9">
        <v>0.807229</v>
      </c>
      <c r="N46" s="9">
        <v>0.804819298</v>
      </c>
      <c r="O46" s="9">
        <v>0.803213</v>
      </c>
      <c r="P46" s="9">
        <v>0.791165</v>
      </c>
      <c r="Q46" s="9">
        <v>0.803213</v>
      </c>
      <c r="R46" s="9">
        <v>0.803213</v>
      </c>
      <c r="S46" s="9">
        <v>0.815261</v>
      </c>
      <c r="T46" s="9">
        <v>0.809638572</v>
      </c>
      <c r="U46" s="9">
        <v>0.803213</v>
      </c>
      <c r="V46" s="9">
        <v>0.839357</v>
      </c>
      <c r="W46" s="9">
        <v>0.801606</v>
      </c>
      <c r="X46" s="9">
        <v>0.799197</v>
      </c>
      <c r="Y46" s="9">
        <v>0.823293</v>
      </c>
      <c r="Z46" s="9">
        <v>0.800803</v>
      </c>
      <c r="AA46" s="9">
        <v>0.795181</v>
      </c>
      <c r="AB46" s="9">
        <v>0.823293</v>
      </c>
      <c r="AC46" s="9">
        <v>0.803212857</v>
      </c>
      <c r="AD46" s="9">
        <v>0.799197</v>
      </c>
      <c r="AE46" s="9">
        <v>0.819277</v>
      </c>
      <c r="AF46" s="9">
        <v>0.803212857</v>
      </c>
      <c r="AG46" s="9">
        <v>0.811245</v>
      </c>
      <c r="AH46" s="9">
        <v>0.807229</v>
      </c>
      <c r="AI46" s="9">
        <v>0.798394</v>
      </c>
      <c r="AJ46" s="9">
        <v>0.799197</v>
      </c>
      <c r="AK46" s="9">
        <v>0.807229</v>
      </c>
      <c r="AL46" s="9">
        <v>0.798394</v>
      </c>
      <c r="AM46" s="9">
        <v>0.799197</v>
      </c>
      <c r="AN46" s="9">
        <v>0.819277</v>
      </c>
      <c r="AO46" s="9">
        <v>0.804016</v>
      </c>
      <c r="AP46" s="9">
        <v>0.807229</v>
      </c>
      <c r="AQ46" s="9">
        <v>0.827309</v>
      </c>
      <c r="AR46" s="9">
        <v>0.811244988</v>
      </c>
      <c r="AS46" s="9">
        <v>0.807229</v>
      </c>
      <c r="AT46" s="9">
        <v>0.827309</v>
      </c>
      <c r="AU46" s="9">
        <v>0.808835</v>
      </c>
      <c r="AV46" s="9">
        <v>0.811245</v>
      </c>
      <c r="AW46" s="9">
        <v>0.815261</v>
      </c>
      <c r="AX46" s="9">
        <v>0.812048</v>
      </c>
      <c r="AY46" s="9">
        <v>0.811245</v>
      </c>
      <c r="AZ46" s="9">
        <v>0.811245</v>
      </c>
      <c r="BA46" s="9">
        <v>0.810442</v>
      </c>
      <c r="BB46" s="9">
        <v>0.815261</v>
      </c>
      <c r="BC46" s="9">
        <v>0.819277</v>
      </c>
      <c r="BD46" s="9">
        <v>0.8249</v>
      </c>
      <c r="BE46" s="9">
        <v>0.839357</v>
      </c>
      <c r="BF46" s="9">
        <v>0.843373</v>
      </c>
      <c r="BG46" s="9">
        <v>1.0</v>
      </c>
      <c r="BH46" s="9">
        <v>1.0</v>
      </c>
      <c r="BI46" s="9">
        <v>1.0</v>
      </c>
      <c r="BJ46" s="6"/>
      <c r="BK46" s="6" t="str">
        <f t="shared" si="4"/>
        <v>De_Fold_Mean</v>
      </c>
      <c r="BL46" s="11">
        <f t="shared" si="5"/>
        <v>0.0482</v>
      </c>
      <c r="BM46" s="12" t="str">
        <f t="shared" si="6"/>
        <v>Group 3</v>
      </c>
      <c r="BN46" s="6" t="s">
        <v>83</v>
      </c>
      <c r="BO46" s="6" t="s">
        <v>75</v>
      </c>
      <c r="BP46" s="6"/>
      <c r="BQ46" s="6"/>
      <c r="BR46" s="6">
        <v>0.04820000000000002</v>
      </c>
      <c r="BS46" s="6"/>
      <c r="BT46" s="6"/>
      <c r="BU46" s="6"/>
      <c r="BV46" s="6"/>
      <c r="BW46" s="6"/>
      <c r="BX46" s="6"/>
      <c r="BY46" s="6"/>
      <c r="BZ46" s="6"/>
    </row>
    <row r="47" ht="15.75" customHeight="1">
      <c r="A47" s="1" t="s">
        <v>141</v>
      </c>
      <c r="B47" s="7">
        <v>0.872</v>
      </c>
      <c r="C47" s="8"/>
      <c r="D47" s="8"/>
      <c r="E47" s="9">
        <v>0.646586</v>
      </c>
      <c r="F47" s="9">
        <v>0.73494</v>
      </c>
      <c r="G47" s="9">
        <v>0.807229</v>
      </c>
      <c r="H47" s="9">
        <v>0.578313255</v>
      </c>
      <c r="I47" s="9">
        <v>0.710843384</v>
      </c>
      <c r="J47" s="9">
        <v>0.35743</v>
      </c>
      <c r="K47" s="9">
        <v>0.669076</v>
      </c>
      <c r="L47" s="9">
        <v>0.751004</v>
      </c>
      <c r="M47" s="9">
        <v>0.767068</v>
      </c>
      <c r="N47" s="9">
        <v>0.704417664</v>
      </c>
      <c r="O47" s="9">
        <v>0.75502</v>
      </c>
      <c r="P47" s="9">
        <v>0.779116</v>
      </c>
      <c r="Q47" s="9">
        <v>0.734137</v>
      </c>
      <c r="R47" s="9">
        <v>0.75502</v>
      </c>
      <c r="S47" s="9">
        <v>0.803213</v>
      </c>
      <c r="T47" s="9">
        <v>0.707630521</v>
      </c>
      <c r="U47" s="9">
        <v>0.767068</v>
      </c>
      <c r="V47" s="9">
        <v>0.795181</v>
      </c>
      <c r="W47" s="9">
        <v>0.630522</v>
      </c>
      <c r="X47" s="9">
        <v>0.751004</v>
      </c>
      <c r="Y47" s="9">
        <v>0.787149</v>
      </c>
      <c r="Z47" s="9">
        <v>0.711647</v>
      </c>
      <c r="AA47" s="9">
        <v>0.767068</v>
      </c>
      <c r="AB47" s="9">
        <v>0.783133</v>
      </c>
      <c r="AC47" s="9">
        <v>0.70441767</v>
      </c>
      <c r="AD47" s="9">
        <v>0.759036</v>
      </c>
      <c r="AE47" s="9">
        <v>0.795181</v>
      </c>
      <c r="AF47" s="9">
        <v>0.716465861</v>
      </c>
      <c r="AG47" s="9">
        <v>0.767068</v>
      </c>
      <c r="AH47" s="9">
        <v>0.799197</v>
      </c>
      <c r="AI47" s="9">
        <v>0.71004</v>
      </c>
      <c r="AJ47" s="9">
        <v>0.75502</v>
      </c>
      <c r="AK47" s="9">
        <v>0.783133</v>
      </c>
      <c r="AL47" s="9">
        <v>0.731727</v>
      </c>
      <c r="AM47" s="9">
        <v>0.742972</v>
      </c>
      <c r="AN47" s="9">
        <v>0.783133</v>
      </c>
      <c r="AO47" s="9">
        <v>0.735743</v>
      </c>
      <c r="AP47" s="9">
        <v>0.7751</v>
      </c>
      <c r="AQ47" s="9">
        <v>0.803213</v>
      </c>
      <c r="AR47" s="9">
        <v>0.657028115</v>
      </c>
      <c r="AS47" s="9">
        <v>0.759036</v>
      </c>
      <c r="AT47" s="9">
        <v>0.795181</v>
      </c>
      <c r="AU47" s="9">
        <v>0.743775</v>
      </c>
      <c r="AV47" s="9">
        <v>0.73494</v>
      </c>
      <c r="AW47" s="9">
        <v>0.759036</v>
      </c>
      <c r="AX47" s="9">
        <v>0.698795</v>
      </c>
      <c r="AY47" s="9">
        <v>0.73494</v>
      </c>
      <c r="AZ47" s="9">
        <v>0.7751</v>
      </c>
      <c r="BA47" s="9">
        <v>0.553414</v>
      </c>
      <c r="BB47" s="9">
        <v>0.481928</v>
      </c>
      <c r="BC47" s="9">
        <v>0.795181</v>
      </c>
      <c r="BD47" s="9">
        <v>0.707631</v>
      </c>
      <c r="BE47" s="9">
        <v>0.759036</v>
      </c>
      <c r="BF47" s="9">
        <v>0.783133</v>
      </c>
      <c r="BG47" s="9">
        <v>1.0</v>
      </c>
      <c r="BH47" s="9">
        <v>1.0</v>
      </c>
      <c r="BI47" s="9">
        <v>1.0</v>
      </c>
      <c r="BJ47" s="6"/>
      <c r="BK47" s="6" t="str">
        <f t="shared" si="4"/>
        <v>De_Fold_Mean</v>
      </c>
      <c r="BL47" s="11">
        <f t="shared" si="5"/>
        <v>0.128</v>
      </c>
      <c r="BM47" s="12" t="str">
        <f t="shared" si="6"/>
        <v>Group 2</v>
      </c>
      <c r="BN47" s="6" t="s">
        <v>82</v>
      </c>
      <c r="BO47" s="6" t="s">
        <v>75</v>
      </c>
      <c r="BP47" s="6"/>
      <c r="BQ47" s="6">
        <v>0.128</v>
      </c>
      <c r="BR47" s="6"/>
      <c r="BS47" s="6"/>
      <c r="BT47" s="6"/>
      <c r="BU47" s="6"/>
      <c r="BV47" s="6"/>
      <c r="BW47" s="6"/>
      <c r="BX47" s="6"/>
      <c r="BY47" s="6"/>
      <c r="BZ47" s="6"/>
    </row>
    <row r="48" ht="15.75" customHeight="1">
      <c r="A48" s="1" t="s">
        <v>142</v>
      </c>
      <c r="B48" s="7">
        <v>0.9708</v>
      </c>
      <c r="C48" s="8"/>
      <c r="D48" s="8"/>
      <c r="E48" s="9">
        <v>0.922449</v>
      </c>
      <c r="F48" s="9">
        <v>0.921283</v>
      </c>
      <c r="G48" s="9">
        <v>0.924198</v>
      </c>
      <c r="H48" s="9">
        <v>0.917006791</v>
      </c>
      <c r="I48" s="9">
        <v>0.922254622</v>
      </c>
      <c r="J48" s="9">
        <v>0.498542</v>
      </c>
      <c r="K48" s="9">
        <v>0.844898</v>
      </c>
      <c r="L48" s="9">
        <v>0.83965</v>
      </c>
      <c r="M48" s="9">
        <v>0.849368</v>
      </c>
      <c r="N48" s="9">
        <v>0.83712343</v>
      </c>
      <c r="O48" s="9">
        <v>0.836735</v>
      </c>
      <c r="P48" s="9">
        <v>0.852284</v>
      </c>
      <c r="Q48" s="9">
        <v>0.911953</v>
      </c>
      <c r="R48" s="9">
        <v>0.909621</v>
      </c>
      <c r="S48" s="9">
        <v>0.923226</v>
      </c>
      <c r="T48" s="9">
        <v>0.91292516</v>
      </c>
      <c r="U48" s="9">
        <v>0.912536</v>
      </c>
      <c r="V48" s="9">
        <v>0.924198</v>
      </c>
      <c r="W48" s="9">
        <v>0.93275</v>
      </c>
      <c r="X48" s="9">
        <v>0.93586</v>
      </c>
      <c r="Y48" s="9">
        <v>0.940719</v>
      </c>
      <c r="Z48" s="9">
        <v>0.933916</v>
      </c>
      <c r="AA48" s="9">
        <v>0.936832</v>
      </c>
      <c r="AB48" s="9">
        <v>0.949466</v>
      </c>
      <c r="AC48" s="9">
        <v>0.922060251</v>
      </c>
      <c r="AD48" s="9">
        <v>0.922255</v>
      </c>
      <c r="AE48" s="9">
        <v>0.924198</v>
      </c>
      <c r="AF48" s="9">
        <v>0.920894086</v>
      </c>
      <c r="AG48" s="9">
        <v>0.924198</v>
      </c>
      <c r="AH48" s="9">
        <v>0.926142</v>
      </c>
      <c r="AI48" s="9">
        <v>0.886103</v>
      </c>
      <c r="AJ48" s="9">
        <v>0.886297</v>
      </c>
      <c r="AK48" s="9">
        <v>0.891156</v>
      </c>
      <c r="AL48" s="9">
        <v>0.899903</v>
      </c>
      <c r="AM48" s="9">
        <v>0.901846</v>
      </c>
      <c r="AN48" s="9">
        <v>0.909621</v>
      </c>
      <c r="AO48" s="9">
        <v>0.921672</v>
      </c>
      <c r="AP48" s="9">
        <v>0.921283</v>
      </c>
      <c r="AQ48" s="9">
        <v>0.931973</v>
      </c>
      <c r="AR48" s="9">
        <v>0.923615158</v>
      </c>
      <c r="AS48" s="9">
        <v>0.922255</v>
      </c>
      <c r="AT48" s="9">
        <v>0.927114</v>
      </c>
      <c r="AU48" s="9">
        <v>0.888241</v>
      </c>
      <c r="AV48" s="9">
        <v>0.8931</v>
      </c>
      <c r="AW48" s="9">
        <v>0.8931</v>
      </c>
      <c r="AX48" s="9">
        <v>0.898542</v>
      </c>
      <c r="AY48" s="9">
        <v>0.896987</v>
      </c>
      <c r="AZ48" s="9">
        <v>0.90379</v>
      </c>
      <c r="BA48" s="9">
        <v>0.879689</v>
      </c>
      <c r="BB48" s="9">
        <v>0.880466</v>
      </c>
      <c r="BC48" s="9">
        <v>0.889213</v>
      </c>
      <c r="BD48" s="9">
        <v>0.903401</v>
      </c>
      <c r="BE48" s="9">
        <v>0.90379</v>
      </c>
      <c r="BF48" s="9">
        <v>0.918367</v>
      </c>
      <c r="BG48" s="9">
        <v>0.966375</v>
      </c>
      <c r="BH48" s="9">
        <v>0.970845</v>
      </c>
      <c r="BI48" s="9">
        <v>0.969874</v>
      </c>
      <c r="BJ48" s="6"/>
      <c r="BK48" s="6" t="str">
        <f t="shared" si="4"/>
        <v>De_Fold_Median</v>
      </c>
      <c r="BL48" s="11">
        <f t="shared" si="5"/>
        <v>0.000045</v>
      </c>
      <c r="BM48" s="12" t="str">
        <f t="shared" si="6"/>
        <v>Group 3</v>
      </c>
      <c r="BN48" s="6" t="s">
        <v>83</v>
      </c>
      <c r="BO48" s="6" t="s">
        <v>76</v>
      </c>
      <c r="BP48" s="6"/>
      <c r="BQ48" s="6"/>
      <c r="BR48" s="6">
        <v>4.499999999996174E-5</v>
      </c>
      <c r="BS48" s="6"/>
      <c r="BT48" s="6"/>
      <c r="BU48" s="6"/>
      <c r="BV48" s="6"/>
      <c r="BW48" s="6"/>
      <c r="BX48" s="6"/>
      <c r="BY48" s="6"/>
      <c r="BZ48" s="6"/>
    </row>
    <row r="49" ht="15.75" customHeight="1">
      <c r="A49" s="1" t="s">
        <v>143</v>
      </c>
      <c r="B49" s="7">
        <v>0.72</v>
      </c>
      <c r="C49" s="8"/>
      <c r="D49" s="8"/>
      <c r="E49" s="9">
        <v>0.645333</v>
      </c>
      <c r="F49" s="9">
        <v>0.674667</v>
      </c>
      <c r="G49" s="9">
        <v>0.709333</v>
      </c>
      <c r="H49" s="9">
        <v>0.47146666</v>
      </c>
      <c r="I49" s="9">
        <v>0.472000003</v>
      </c>
      <c r="J49" s="9">
        <v>0.333333</v>
      </c>
      <c r="K49" s="9">
        <v>0.5952</v>
      </c>
      <c r="L49" s="9">
        <v>0.6</v>
      </c>
      <c r="M49" s="9">
        <v>0.592</v>
      </c>
      <c r="N49" s="9">
        <v>0.593600011</v>
      </c>
      <c r="O49" s="9">
        <v>0.6</v>
      </c>
      <c r="P49" s="9">
        <v>0.6</v>
      </c>
      <c r="Q49" s="9">
        <v>0.6704</v>
      </c>
      <c r="R49" s="9">
        <v>0.672</v>
      </c>
      <c r="S49" s="9">
        <v>0.674667</v>
      </c>
      <c r="T49" s="9">
        <v>0.658133328</v>
      </c>
      <c r="U49" s="9">
        <v>0.664</v>
      </c>
      <c r="V49" s="9">
        <v>0.677333</v>
      </c>
      <c r="W49" s="9">
        <v>0.576533</v>
      </c>
      <c r="X49" s="9">
        <v>0.578667</v>
      </c>
      <c r="Y49" s="9">
        <v>0.592</v>
      </c>
      <c r="Z49" s="9">
        <v>0.5696</v>
      </c>
      <c r="AA49" s="9">
        <v>0.568</v>
      </c>
      <c r="AB49" s="9">
        <v>0.613333</v>
      </c>
      <c r="AC49" s="9">
        <v>0.648000002</v>
      </c>
      <c r="AD49" s="9">
        <v>0.642667</v>
      </c>
      <c r="AE49" s="9">
        <v>0.650667</v>
      </c>
      <c r="AF49" s="9">
        <v>0.645866656</v>
      </c>
      <c r="AG49" s="9">
        <v>0.653333</v>
      </c>
      <c r="AH49" s="9">
        <v>0.666667</v>
      </c>
      <c r="AI49" s="9">
        <v>0.576533</v>
      </c>
      <c r="AJ49" s="9">
        <v>0.576</v>
      </c>
      <c r="AK49" s="9">
        <v>0.616</v>
      </c>
      <c r="AL49" s="9">
        <v>0.580267</v>
      </c>
      <c r="AM49" s="9">
        <v>0.573333</v>
      </c>
      <c r="AN49" s="9">
        <v>0.616</v>
      </c>
      <c r="AO49" s="9">
        <v>0.656533</v>
      </c>
      <c r="AP49" s="9">
        <v>0.648</v>
      </c>
      <c r="AQ49" s="9">
        <v>0.685333</v>
      </c>
      <c r="AR49" s="9">
        <v>0.669866669</v>
      </c>
      <c r="AS49" s="9">
        <v>0.677333</v>
      </c>
      <c r="AT49" s="9">
        <v>0.685333</v>
      </c>
      <c r="AU49" s="9">
        <v>0.577067</v>
      </c>
      <c r="AV49" s="9">
        <v>0.578667</v>
      </c>
      <c r="AW49" s="9">
        <v>0.6</v>
      </c>
      <c r="AX49" s="9">
        <v>0.5984</v>
      </c>
      <c r="AY49" s="9">
        <v>0.594667</v>
      </c>
      <c r="AZ49" s="9">
        <v>0.637333</v>
      </c>
      <c r="BA49" s="9">
        <v>0.6368</v>
      </c>
      <c r="BB49" s="9">
        <v>0.634667</v>
      </c>
      <c r="BC49" s="9">
        <v>0.634667</v>
      </c>
      <c r="BD49" s="9">
        <v>0.602133</v>
      </c>
      <c r="BE49" s="9">
        <v>0.597333</v>
      </c>
      <c r="BF49" s="9">
        <v>0.642667</v>
      </c>
      <c r="BG49" s="9">
        <v>0.503467</v>
      </c>
      <c r="BH49" s="9">
        <v>0.509333</v>
      </c>
      <c r="BI49" s="9">
        <v>0.522667</v>
      </c>
      <c r="BJ49" s="6"/>
      <c r="BK49" s="6" t="str">
        <f t="shared" si="4"/>
        <v>PlottingTime</v>
      </c>
      <c r="BL49" s="11">
        <f t="shared" si="5"/>
        <v>-0.010667</v>
      </c>
      <c r="BM49" s="12" t="str">
        <f t="shared" si="6"/>
        <v>Group 3</v>
      </c>
      <c r="BN49" s="6" t="s">
        <v>83</v>
      </c>
      <c r="BO49" s="6" t="s">
        <v>1</v>
      </c>
      <c r="BP49" s="6"/>
      <c r="BQ49" s="6"/>
      <c r="BR49" s="6">
        <v>-0.010666999999999982</v>
      </c>
      <c r="BS49" s="6"/>
      <c r="BT49" s="6"/>
      <c r="BU49" s="6"/>
      <c r="BV49" s="6"/>
      <c r="BW49" s="6"/>
      <c r="BX49" s="6"/>
      <c r="BY49" s="6"/>
      <c r="BZ49" s="6"/>
    </row>
    <row r="50" ht="15.75" customHeight="1">
      <c r="A50" s="1" t="s">
        <v>144</v>
      </c>
      <c r="B50" s="7">
        <v>0.7813</v>
      </c>
      <c r="C50" s="8"/>
      <c r="D50" s="8"/>
      <c r="E50" s="9">
        <v>0.540984</v>
      </c>
      <c r="F50" s="9">
        <v>0.540984</v>
      </c>
      <c r="G50" s="9">
        <v>0.540984</v>
      </c>
      <c r="H50" s="9">
        <v>0.540983617</v>
      </c>
      <c r="I50" s="9">
        <v>0.540983617</v>
      </c>
      <c r="J50" s="9">
        <v>0.540984</v>
      </c>
      <c r="K50" s="9">
        <v>0.540984</v>
      </c>
      <c r="L50" s="9">
        <v>0.540984</v>
      </c>
      <c r="M50" s="9">
        <v>0.540984</v>
      </c>
      <c r="N50" s="9">
        <v>0.540983617</v>
      </c>
      <c r="O50" s="9">
        <v>0.540984</v>
      </c>
      <c r="P50" s="9">
        <v>0.540984</v>
      </c>
      <c r="Q50" s="9">
        <v>0.540984</v>
      </c>
      <c r="R50" s="9">
        <v>0.540984</v>
      </c>
      <c r="S50" s="9">
        <v>0.540984</v>
      </c>
      <c r="T50" s="9">
        <v>0.540983617</v>
      </c>
      <c r="U50" s="9">
        <v>0.540984</v>
      </c>
      <c r="V50" s="9">
        <v>0.540984</v>
      </c>
      <c r="W50" s="9">
        <v>0.540984</v>
      </c>
      <c r="X50" s="9">
        <v>0.540984</v>
      </c>
      <c r="Y50" s="9">
        <v>0.540984</v>
      </c>
      <c r="Z50" s="9">
        <v>0.540984</v>
      </c>
      <c r="AA50" s="9">
        <v>0.540984</v>
      </c>
      <c r="AB50" s="9">
        <v>0.540984</v>
      </c>
      <c r="AC50" s="9">
        <v>0.540983617</v>
      </c>
      <c r="AD50" s="9">
        <v>0.540984</v>
      </c>
      <c r="AE50" s="9">
        <v>0.540984</v>
      </c>
      <c r="AF50" s="9">
        <v>0.540983617</v>
      </c>
      <c r="AG50" s="9">
        <v>0.540984</v>
      </c>
      <c r="AH50" s="9">
        <v>0.540984</v>
      </c>
      <c r="AI50" s="9">
        <v>0.540984</v>
      </c>
      <c r="AJ50" s="9">
        <v>0.540984</v>
      </c>
      <c r="AK50" s="9">
        <v>0.540984</v>
      </c>
      <c r="AL50" s="9">
        <v>0.540984</v>
      </c>
      <c r="AM50" s="9">
        <v>0.540984</v>
      </c>
      <c r="AN50" s="9">
        <v>0.540984</v>
      </c>
      <c r="AO50" s="9">
        <v>0.540984</v>
      </c>
      <c r="AP50" s="9">
        <v>0.540984</v>
      </c>
      <c r="AQ50" s="9">
        <v>0.540984</v>
      </c>
      <c r="AR50" s="9">
        <v>0.540983617</v>
      </c>
      <c r="AS50" s="9">
        <v>0.540984</v>
      </c>
      <c r="AT50" s="9">
        <v>0.540984</v>
      </c>
      <c r="AU50" s="9">
        <v>0.540984</v>
      </c>
      <c r="AV50" s="9">
        <v>0.540984</v>
      </c>
      <c r="AW50" s="9">
        <v>0.540984</v>
      </c>
      <c r="AX50" s="9">
        <v>0.540984</v>
      </c>
      <c r="AY50" s="9">
        <v>0.540984</v>
      </c>
      <c r="AZ50" s="9">
        <v>0.540984</v>
      </c>
      <c r="BA50" s="9">
        <v>0.540984</v>
      </c>
      <c r="BB50" s="9">
        <v>0.540984</v>
      </c>
      <c r="BC50" s="9">
        <v>0.540984</v>
      </c>
      <c r="BD50" s="9">
        <v>0.540984</v>
      </c>
      <c r="BE50" s="9">
        <v>0.540984</v>
      </c>
      <c r="BF50" s="9">
        <v>0.540984</v>
      </c>
      <c r="BG50" s="9">
        <v>0.540984</v>
      </c>
      <c r="BH50" s="9">
        <v>0.540984</v>
      </c>
      <c r="BI50" s="9">
        <v>0.540984</v>
      </c>
      <c r="BJ50" s="6"/>
      <c r="BK50" s="6" t="str">
        <f t="shared" si="4"/>
        <v>PlottingTime</v>
      </c>
      <c r="BL50" s="11">
        <f t="shared" si="5"/>
        <v>-0.240316</v>
      </c>
      <c r="BM50" s="12" t="str">
        <f t="shared" si="6"/>
        <v>Group 1</v>
      </c>
      <c r="BN50" s="6" t="s">
        <v>81</v>
      </c>
      <c r="BO50" s="6" t="s">
        <v>1</v>
      </c>
      <c r="BP50" s="6">
        <v>-0.24031599999999997</v>
      </c>
      <c r="BQ50" s="6"/>
      <c r="BR50" s="6"/>
      <c r="BS50" s="6"/>
      <c r="BT50" s="6"/>
      <c r="BU50" s="6"/>
      <c r="BV50" s="6"/>
      <c r="BW50" s="6"/>
      <c r="BX50" s="6"/>
      <c r="BY50" s="6"/>
      <c r="BZ50" s="6"/>
    </row>
    <row r="51" ht="15.75" customHeight="1">
      <c r="A51" s="1" t="s">
        <v>145</v>
      </c>
      <c r="B51" s="7">
        <v>0.7123</v>
      </c>
      <c r="C51" s="8"/>
      <c r="D51" s="8"/>
      <c r="E51" s="9">
        <v>0.578082</v>
      </c>
      <c r="F51" s="9">
        <v>0.575342</v>
      </c>
      <c r="G51" s="9">
        <v>0.60274</v>
      </c>
      <c r="H51" s="9">
        <v>0.542465734</v>
      </c>
      <c r="I51" s="9">
        <v>0.520547926</v>
      </c>
      <c r="J51" s="9">
        <v>0.260274</v>
      </c>
      <c r="K51" s="9">
        <v>0.589041</v>
      </c>
      <c r="L51" s="9">
        <v>0.60274</v>
      </c>
      <c r="M51" s="9">
        <v>0.589041</v>
      </c>
      <c r="N51" s="9">
        <v>0.580821931</v>
      </c>
      <c r="O51" s="9">
        <v>0.589041</v>
      </c>
      <c r="P51" s="9">
        <v>0.630137</v>
      </c>
      <c r="Q51" s="9">
        <v>0.578082</v>
      </c>
      <c r="R51" s="9">
        <v>0.575342</v>
      </c>
      <c r="S51" s="9">
        <v>0.630137</v>
      </c>
      <c r="T51" s="9">
        <v>0.578082192</v>
      </c>
      <c r="U51" s="9">
        <v>0.575342</v>
      </c>
      <c r="V51" s="9">
        <v>0.643836</v>
      </c>
      <c r="W51" s="9">
        <v>0.641096</v>
      </c>
      <c r="X51" s="9">
        <v>0.657534</v>
      </c>
      <c r="Y51" s="9">
        <v>0.69863</v>
      </c>
      <c r="Z51" s="9">
        <v>0.616438</v>
      </c>
      <c r="AA51" s="9">
        <v>0.643836</v>
      </c>
      <c r="AB51" s="9">
        <v>0.589041</v>
      </c>
      <c r="AC51" s="9">
        <v>0.586301374</v>
      </c>
      <c r="AD51" s="9">
        <v>0.575342</v>
      </c>
      <c r="AE51" s="9">
        <v>0.589041</v>
      </c>
      <c r="AF51" s="9">
        <v>0.556164378</v>
      </c>
      <c r="AG51" s="9">
        <v>0.561644</v>
      </c>
      <c r="AH51" s="9">
        <v>0.60274</v>
      </c>
      <c r="AI51" s="9">
        <v>0.575342</v>
      </c>
      <c r="AJ51" s="9">
        <v>0.589041</v>
      </c>
      <c r="AK51" s="9">
        <v>0.643836</v>
      </c>
      <c r="AL51" s="9">
        <v>0.586301</v>
      </c>
      <c r="AM51" s="9">
        <v>0.575342</v>
      </c>
      <c r="AN51" s="9">
        <v>0.630137</v>
      </c>
      <c r="AO51" s="9">
        <v>0.591781</v>
      </c>
      <c r="AP51" s="9">
        <v>0.589041</v>
      </c>
      <c r="AQ51" s="9">
        <v>0.630137</v>
      </c>
      <c r="AR51" s="9">
        <v>0.580821919</v>
      </c>
      <c r="AS51" s="9">
        <v>0.60274</v>
      </c>
      <c r="AT51" s="9">
        <v>0.589041</v>
      </c>
      <c r="AU51" s="9">
        <v>0.572603</v>
      </c>
      <c r="AV51" s="9">
        <v>0.561644</v>
      </c>
      <c r="AW51" s="9">
        <v>0.657534</v>
      </c>
      <c r="AX51" s="9">
        <v>0.632877</v>
      </c>
      <c r="AY51" s="9">
        <v>0.630137</v>
      </c>
      <c r="AZ51" s="9">
        <v>0.616438</v>
      </c>
      <c r="BA51" s="9">
        <v>0.589041</v>
      </c>
      <c r="BB51" s="9">
        <v>0.589041</v>
      </c>
      <c r="BC51" s="9">
        <v>0.589041</v>
      </c>
      <c r="BD51" s="9">
        <v>0.59726</v>
      </c>
      <c r="BE51" s="9">
        <v>0.60274</v>
      </c>
      <c r="BF51" s="9">
        <v>0.630137</v>
      </c>
      <c r="BG51" s="9">
        <v>0.610959</v>
      </c>
      <c r="BH51" s="9">
        <v>0.616438</v>
      </c>
      <c r="BI51" s="9">
        <v>0.616438</v>
      </c>
      <c r="BJ51" s="6"/>
      <c r="BK51" s="6" t="str">
        <f t="shared" si="4"/>
        <v>PlottingTime</v>
      </c>
      <c r="BL51" s="11">
        <f t="shared" si="5"/>
        <v>-0.01367</v>
      </c>
      <c r="BM51" s="12" t="str">
        <f t="shared" si="6"/>
        <v>Group 3</v>
      </c>
      <c r="BN51" s="6" t="s">
        <v>83</v>
      </c>
      <c r="BO51" s="6" t="s">
        <v>1</v>
      </c>
      <c r="BP51" s="6"/>
      <c r="BQ51" s="6"/>
      <c r="BR51" s="6">
        <v>-0.013670000000000071</v>
      </c>
      <c r="BS51" s="6"/>
      <c r="BT51" s="6"/>
      <c r="BU51" s="6"/>
      <c r="BV51" s="6"/>
      <c r="BW51" s="6"/>
      <c r="BX51" s="6"/>
      <c r="BY51" s="6"/>
      <c r="BZ51" s="6"/>
    </row>
    <row r="52" ht="15.75" customHeight="1">
      <c r="A52" s="1" t="s">
        <v>146</v>
      </c>
      <c r="B52" s="7">
        <v>0.9501</v>
      </c>
      <c r="C52" s="8"/>
      <c r="D52" s="8"/>
      <c r="E52" s="9">
        <v>0.591642</v>
      </c>
      <c r="F52" s="9">
        <v>0.591471</v>
      </c>
      <c r="G52" s="9">
        <v>0.672921</v>
      </c>
      <c r="H52" s="9">
        <v>0.585756922</v>
      </c>
      <c r="I52" s="9">
        <v>0.573134303</v>
      </c>
      <c r="J52" s="9">
        <v>0.123241</v>
      </c>
      <c r="K52" s="9">
        <v>0.675309</v>
      </c>
      <c r="L52" s="9">
        <v>0.686141</v>
      </c>
      <c r="M52" s="9">
        <v>0.742004</v>
      </c>
      <c r="N52" s="9">
        <v>0.567761207</v>
      </c>
      <c r="O52" s="9">
        <v>0.58209</v>
      </c>
      <c r="P52" s="9">
        <v>0.673774</v>
      </c>
      <c r="Q52" s="9">
        <v>0.657996</v>
      </c>
      <c r="R52" s="9">
        <v>0.663966</v>
      </c>
      <c r="S52" s="9">
        <v>0.61791</v>
      </c>
      <c r="T52" s="9">
        <v>0.689040506</v>
      </c>
      <c r="U52" s="9">
        <v>0.672495</v>
      </c>
      <c r="V52" s="9">
        <v>0.732623</v>
      </c>
      <c r="W52" s="9">
        <v>0.483923</v>
      </c>
      <c r="X52" s="9">
        <v>0.4742</v>
      </c>
      <c r="Y52" s="9">
        <v>0.502772</v>
      </c>
      <c r="Z52" s="9">
        <v>0.504819</v>
      </c>
      <c r="AA52" s="9">
        <v>0.564606</v>
      </c>
      <c r="AB52" s="9">
        <v>0.438806</v>
      </c>
      <c r="AC52" s="9">
        <v>0.681279325</v>
      </c>
      <c r="AD52" s="9">
        <v>0.697655</v>
      </c>
      <c r="AE52" s="9">
        <v>0.710021</v>
      </c>
      <c r="AF52" s="9">
        <v>0.638891268</v>
      </c>
      <c r="AG52" s="9">
        <v>0.634542</v>
      </c>
      <c r="AH52" s="9">
        <v>0.696802</v>
      </c>
      <c r="AI52" s="9">
        <v>0.607335</v>
      </c>
      <c r="AJ52" s="9">
        <v>0.596588</v>
      </c>
      <c r="AK52" s="9">
        <v>0.580384</v>
      </c>
      <c r="AL52" s="9">
        <v>0.49629</v>
      </c>
      <c r="AM52" s="9">
        <v>0.4742</v>
      </c>
      <c r="AN52" s="9">
        <v>0.486567</v>
      </c>
      <c r="AO52" s="9">
        <v>0.676503</v>
      </c>
      <c r="AP52" s="9">
        <v>0.701493</v>
      </c>
      <c r="AQ52" s="9">
        <v>0.696802</v>
      </c>
      <c r="AR52" s="9">
        <v>0.649978685</v>
      </c>
      <c r="AS52" s="9">
        <v>0.690832</v>
      </c>
      <c r="AT52" s="9">
        <v>0.731343</v>
      </c>
      <c r="AU52" s="9">
        <v>0.533049</v>
      </c>
      <c r="AV52" s="9">
        <v>0.575267</v>
      </c>
      <c r="AW52" s="9">
        <v>0.55565</v>
      </c>
      <c r="AX52" s="9">
        <v>0.550362</v>
      </c>
      <c r="AY52" s="9">
        <v>0.553518</v>
      </c>
      <c r="AZ52" s="9">
        <v>0.373987</v>
      </c>
      <c r="BA52" s="9">
        <v>0.688273</v>
      </c>
      <c r="BB52" s="9">
        <v>0.694669</v>
      </c>
      <c r="BC52" s="9">
        <v>0.736034</v>
      </c>
      <c r="BD52" s="9">
        <v>0.548316</v>
      </c>
      <c r="BE52" s="9">
        <v>0.551386</v>
      </c>
      <c r="BF52" s="9">
        <v>0.499787</v>
      </c>
      <c r="BG52" s="9">
        <v>0.401791</v>
      </c>
      <c r="BH52" s="9">
        <v>0.373134</v>
      </c>
      <c r="BI52" s="9">
        <v>0.448188</v>
      </c>
      <c r="BJ52" s="6"/>
      <c r="BK52" s="6" t="str">
        <f t="shared" si="4"/>
        <v>PlottingTime</v>
      </c>
      <c r="BL52" s="11">
        <f t="shared" si="5"/>
        <v>-0.208096</v>
      </c>
      <c r="BM52" s="12" t="str">
        <f t="shared" si="6"/>
        <v>Group 1</v>
      </c>
      <c r="BN52" s="6" t="s">
        <v>81</v>
      </c>
      <c r="BO52" s="6" t="s">
        <v>1</v>
      </c>
      <c r="BP52" s="6">
        <v>-0.20809599999999995</v>
      </c>
      <c r="BQ52" s="6"/>
      <c r="BR52" s="6"/>
      <c r="BS52" s="6"/>
      <c r="BT52" s="6"/>
      <c r="BU52" s="6"/>
      <c r="BV52" s="6"/>
      <c r="BW52" s="6"/>
      <c r="BX52" s="6"/>
      <c r="BY52" s="6"/>
      <c r="BZ52" s="6"/>
    </row>
    <row r="53" ht="15.75" customHeight="1">
      <c r="A53" s="1" t="s">
        <v>147</v>
      </c>
      <c r="B53" s="7">
        <v>0.9667</v>
      </c>
      <c r="C53" s="8"/>
      <c r="D53" s="8"/>
      <c r="E53" s="9">
        <v>0.903333</v>
      </c>
      <c r="F53" s="9">
        <v>0.916667</v>
      </c>
      <c r="G53" s="9">
        <v>0.95</v>
      </c>
      <c r="H53" s="9">
        <v>0.910000002</v>
      </c>
      <c r="I53" s="9">
        <v>0.916666687</v>
      </c>
      <c r="J53" s="9">
        <v>0.316667</v>
      </c>
      <c r="K53" s="9">
        <v>0.616667</v>
      </c>
      <c r="L53" s="9">
        <v>0.633333</v>
      </c>
      <c r="M53" s="9">
        <v>0.566667</v>
      </c>
      <c r="N53" s="9">
        <v>0.473333347</v>
      </c>
      <c r="O53" s="9">
        <v>0.533333</v>
      </c>
      <c r="P53" s="9">
        <v>0.633333</v>
      </c>
      <c r="Q53" s="9">
        <v>0.91</v>
      </c>
      <c r="R53" s="9">
        <v>0.916667</v>
      </c>
      <c r="S53" s="9">
        <v>0.916667</v>
      </c>
      <c r="T53" s="9">
        <v>0.879999995</v>
      </c>
      <c r="U53" s="9">
        <v>0.883333</v>
      </c>
      <c r="V53" s="9">
        <v>0.916667</v>
      </c>
      <c r="W53" s="9">
        <v>0.546667</v>
      </c>
      <c r="X53" s="9">
        <v>0.55</v>
      </c>
      <c r="Y53" s="9">
        <v>0.6</v>
      </c>
      <c r="Z53" s="9">
        <v>0.48</v>
      </c>
      <c r="AA53" s="9">
        <v>0.5</v>
      </c>
      <c r="AB53" s="9">
        <v>0.566667</v>
      </c>
      <c r="AC53" s="9">
        <v>0.89333334</v>
      </c>
      <c r="AD53" s="9">
        <v>0.916667</v>
      </c>
      <c r="AE53" s="9">
        <v>0.95</v>
      </c>
      <c r="AF53" s="9">
        <v>0.933333325</v>
      </c>
      <c r="AG53" s="9">
        <v>0.933333</v>
      </c>
      <c r="AH53" s="9">
        <v>0.9</v>
      </c>
      <c r="AI53" s="9">
        <v>0.71</v>
      </c>
      <c r="AJ53" s="9">
        <v>0.666667</v>
      </c>
      <c r="AK53" s="9">
        <v>0.75</v>
      </c>
      <c r="AL53" s="9">
        <v>0.743333</v>
      </c>
      <c r="AM53" s="9">
        <v>0.733333</v>
      </c>
      <c r="AN53" s="9">
        <v>0.883333</v>
      </c>
      <c r="AO53" s="9">
        <v>0.856667</v>
      </c>
      <c r="AP53" s="9">
        <v>0.883333</v>
      </c>
      <c r="AQ53" s="9">
        <v>0.933333</v>
      </c>
      <c r="AR53" s="9">
        <v>0.829999983</v>
      </c>
      <c r="AS53" s="9">
        <v>0.9</v>
      </c>
      <c r="AT53" s="9">
        <v>0.65</v>
      </c>
      <c r="AU53" s="9">
        <v>0.666667</v>
      </c>
      <c r="AV53" s="9">
        <v>0.616667</v>
      </c>
      <c r="AW53" s="9">
        <v>0.55</v>
      </c>
      <c r="AX53" s="9">
        <v>0.696667</v>
      </c>
      <c r="AY53" s="9">
        <v>0.65</v>
      </c>
      <c r="AZ53" s="9">
        <v>0.416667</v>
      </c>
      <c r="BA53" s="9">
        <v>0.843333</v>
      </c>
      <c r="BB53" s="9">
        <v>0.883333</v>
      </c>
      <c r="BC53" s="9">
        <v>0.933333</v>
      </c>
      <c r="BD53" s="9">
        <v>0.54</v>
      </c>
      <c r="BE53" s="9">
        <v>0.616667</v>
      </c>
      <c r="BF53" s="9">
        <v>0.55</v>
      </c>
      <c r="BG53" s="9">
        <v>0.626667</v>
      </c>
      <c r="BH53" s="9">
        <v>0.633333</v>
      </c>
      <c r="BI53" s="9">
        <v>0.666667</v>
      </c>
      <c r="BJ53" s="6"/>
      <c r="BK53" s="6" t="str">
        <f t="shared" si="4"/>
        <v>PlottingTime</v>
      </c>
      <c r="BL53" s="11">
        <f t="shared" si="5"/>
        <v>-0.0167</v>
      </c>
      <c r="BM53" s="12" t="str">
        <f t="shared" si="6"/>
        <v>Group 3</v>
      </c>
      <c r="BN53" s="6" t="s">
        <v>83</v>
      </c>
      <c r="BO53" s="6" t="s">
        <v>1</v>
      </c>
      <c r="BP53" s="6"/>
      <c r="BQ53" s="6"/>
      <c r="BR53" s="6">
        <v>-0.016700000000000048</v>
      </c>
      <c r="BS53" s="6"/>
      <c r="BT53" s="6"/>
      <c r="BU53" s="6"/>
      <c r="BV53" s="6"/>
      <c r="BW53" s="6"/>
      <c r="BX53" s="6"/>
      <c r="BY53" s="6"/>
      <c r="BZ53" s="6"/>
    </row>
    <row r="54" ht="15.75" customHeight="1">
      <c r="A54" s="1" t="s">
        <v>148</v>
      </c>
      <c r="B54" s="7">
        <v>0.7421</v>
      </c>
      <c r="C54" s="8"/>
      <c r="D54" s="8"/>
      <c r="E54" s="9">
        <v>0.523684</v>
      </c>
      <c r="F54" s="9">
        <v>0.521053</v>
      </c>
      <c r="G54" s="9">
        <v>0.526316</v>
      </c>
      <c r="H54" s="9">
        <v>0.514999998</v>
      </c>
      <c r="I54" s="9">
        <v>0.514473677</v>
      </c>
      <c r="J54" s="9">
        <v>0.514474</v>
      </c>
      <c r="K54" s="9">
        <v>0.541579</v>
      </c>
      <c r="L54" s="9">
        <v>0.544737</v>
      </c>
      <c r="M54" s="9">
        <v>0.572368</v>
      </c>
      <c r="N54" s="9">
        <v>0.542894733</v>
      </c>
      <c r="O54" s="9">
        <v>0.528947</v>
      </c>
      <c r="P54" s="9">
        <v>0.610526</v>
      </c>
      <c r="Q54" s="9">
        <v>0.537368</v>
      </c>
      <c r="R54" s="9">
        <v>0.527632</v>
      </c>
      <c r="S54" s="9">
        <v>0.596053</v>
      </c>
      <c r="T54" s="9">
        <v>0.529473686</v>
      </c>
      <c r="U54" s="9">
        <v>0.526316</v>
      </c>
      <c r="V54" s="9">
        <v>0.546053</v>
      </c>
      <c r="W54" s="9">
        <v>0.559474</v>
      </c>
      <c r="X54" s="9">
        <v>0.551316</v>
      </c>
      <c r="Y54" s="9">
        <v>0.586842</v>
      </c>
      <c r="Z54" s="9">
        <v>0.581316</v>
      </c>
      <c r="AA54" s="9">
        <v>0.596053</v>
      </c>
      <c r="AB54" s="9">
        <v>0.586842</v>
      </c>
      <c r="AC54" s="9">
        <v>0.538684213</v>
      </c>
      <c r="AD54" s="9">
        <v>0.542105</v>
      </c>
      <c r="AE54" s="9">
        <v>0.573684</v>
      </c>
      <c r="AF54" s="9">
        <v>0.546052635</v>
      </c>
      <c r="AG54" s="9">
        <v>0.531579</v>
      </c>
      <c r="AH54" s="9">
        <v>0.586842</v>
      </c>
      <c r="AI54" s="9">
        <v>0.524737</v>
      </c>
      <c r="AJ54" s="9">
        <v>0.517105</v>
      </c>
      <c r="AK54" s="9">
        <v>0.564474</v>
      </c>
      <c r="AL54" s="9">
        <v>0.530526</v>
      </c>
      <c r="AM54" s="9">
        <v>0.530263</v>
      </c>
      <c r="AN54" s="9">
        <v>0.555263</v>
      </c>
      <c r="AO54" s="9">
        <v>0.538421</v>
      </c>
      <c r="AP54" s="9">
        <v>0.536842</v>
      </c>
      <c r="AQ54" s="9">
        <v>0.584211</v>
      </c>
      <c r="AR54" s="9">
        <v>0.548684204</v>
      </c>
      <c r="AS54" s="9">
        <v>0.553947</v>
      </c>
      <c r="AT54" s="9">
        <v>0.610526</v>
      </c>
      <c r="AU54" s="9">
        <v>0.541579</v>
      </c>
      <c r="AV54" s="9">
        <v>0.536842</v>
      </c>
      <c r="AW54" s="9">
        <v>0.607895</v>
      </c>
      <c r="AX54" s="9">
        <v>0.533684</v>
      </c>
      <c r="AY54" s="9">
        <v>0.542105</v>
      </c>
      <c r="AZ54" s="9">
        <v>0.617105</v>
      </c>
      <c r="BA54" s="9">
        <v>0.543947</v>
      </c>
      <c r="BB54" s="9">
        <v>0.525</v>
      </c>
      <c r="BC54" s="9">
        <v>0.607895</v>
      </c>
      <c r="BD54" s="9">
        <v>0.548947</v>
      </c>
      <c r="BE54" s="9">
        <v>0.551316</v>
      </c>
      <c r="BF54" s="9">
        <v>0.597368</v>
      </c>
      <c r="BG54" s="9">
        <v>0.521579</v>
      </c>
      <c r="BH54" s="9">
        <v>0.514474</v>
      </c>
      <c r="BI54" s="9">
        <v>0.560526</v>
      </c>
      <c r="BJ54" s="6"/>
      <c r="BK54" s="6" t="str">
        <f t="shared" si="4"/>
        <v>PlottingTime</v>
      </c>
      <c r="BL54" s="11">
        <f t="shared" si="5"/>
        <v>-0.124995</v>
      </c>
      <c r="BM54" s="12" t="str">
        <f t="shared" si="6"/>
        <v>Group 1</v>
      </c>
      <c r="BN54" s="6" t="s">
        <v>81</v>
      </c>
      <c r="BO54" s="6" t="s">
        <v>1</v>
      </c>
      <c r="BP54" s="6">
        <v>-0.12499499999999997</v>
      </c>
      <c r="BQ54" s="6"/>
      <c r="BR54" s="6"/>
      <c r="BS54" s="6"/>
      <c r="BT54" s="6"/>
      <c r="BU54" s="6"/>
      <c r="BV54" s="6"/>
      <c r="BW54" s="6"/>
      <c r="BX54" s="6"/>
      <c r="BY54" s="6"/>
      <c r="BZ54" s="6"/>
    </row>
    <row r="55" ht="15.75" customHeight="1">
      <c r="A55" s="1" t="s">
        <v>149</v>
      </c>
      <c r="B55" s="7">
        <v>0.6104</v>
      </c>
      <c r="C55" s="8"/>
      <c r="D55" s="8"/>
      <c r="E55" s="9">
        <v>0.557143</v>
      </c>
      <c r="F55" s="9">
        <v>0.564935</v>
      </c>
      <c r="G55" s="9">
        <v>0.519481</v>
      </c>
      <c r="H55" s="9">
        <v>0.551948047</v>
      </c>
      <c r="I55" s="9">
        <v>0.558441579</v>
      </c>
      <c r="J55" s="9">
        <v>0.188312</v>
      </c>
      <c r="K55" s="9">
        <v>0.585714</v>
      </c>
      <c r="L55" s="9">
        <v>0.577922</v>
      </c>
      <c r="M55" s="9">
        <v>0.506494</v>
      </c>
      <c r="N55" s="9">
        <v>0.572727263</v>
      </c>
      <c r="O55" s="9">
        <v>0.584416</v>
      </c>
      <c r="P55" s="9">
        <v>0.506494</v>
      </c>
      <c r="Q55" s="9">
        <v>0.588312</v>
      </c>
      <c r="R55" s="9">
        <v>0.584416</v>
      </c>
      <c r="S55" s="9">
        <v>0.571429</v>
      </c>
      <c r="T55" s="9">
        <v>0.585714269</v>
      </c>
      <c r="U55" s="9">
        <v>0.584416</v>
      </c>
      <c r="V55" s="9">
        <v>0.512987</v>
      </c>
      <c r="W55" s="9">
        <v>0.575325</v>
      </c>
      <c r="X55" s="9">
        <v>0.577922</v>
      </c>
      <c r="Y55" s="9">
        <v>0.564935</v>
      </c>
      <c r="Z55" s="9">
        <v>0.549351</v>
      </c>
      <c r="AA55" s="9">
        <v>0.571429</v>
      </c>
      <c r="AB55" s="9">
        <v>0.577922</v>
      </c>
      <c r="AC55" s="9">
        <v>0.567532456</v>
      </c>
      <c r="AD55" s="9">
        <v>0.584416</v>
      </c>
      <c r="AE55" s="9">
        <v>0.597403</v>
      </c>
      <c r="AF55" s="9">
        <v>0.581818175</v>
      </c>
      <c r="AG55" s="9">
        <v>0.584416</v>
      </c>
      <c r="AH55" s="9">
        <v>0.564935</v>
      </c>
      <c r="AI55" s="9">
        <v>0.576623</v>
      </c>
      <c r="AJ55" s="9">
        <v>0.571429</v>
      </c>
      <c r="AK55" s="9">
        <v>0.564935</v>
      </c>
      <c r="AL55" s="9">
        <v>0.55974</v>
      </c>
      <c r="AM55" s="9">
        <v>0.564935</v>
      </c>
      <c r="AN55" s="9">
        <v>0.558442</v>
      </c>
      <c r="AO55" s="9">
        <v>0.575325</v>
      </c>
      <c r="AP55" s="9">
        <v>0.584416</v>
      </c>
      <c r="AQ55" s="9">
        <v>0.616883</v>
      </c>
      <c r="AR55" s="9">
        <v>0.584415591</v>
      </c>
      <c r="AS55" s="9">
        <v>0.577922</v>
      </c>
      <c r="AT55" s="9">
        <v>0.603896</v>
      </c>
      <c r="AU55" s="9">
        <v>0.577922</v>
      </c>
      <c r="AV55" s="9">
        <v>0.577922</v>
      </c>
      <c r="AW55" s="9">
        <v>0.577922</v>
      </c>
      <c r="AX55" s="9">
        <v>0.579221</v>
      </c>
      <c r="AY55" s="9">
        <v>0.584416</v>
      </c>
      <c r="AZ55" s="9">
        <v>0.577922</v>
      </c>
      <c r="BA55" s="9">
        <v>0.575325</v>
      </c>
      <c r="BB55" s="9">
        <v>0.571429</v>
      </c>
      <c r="BC55" s="9">
        <v>0.62987</v>
      </c>
      <c r="BD55" s="9">
        <v>0.57013</v>
      </c>
      <c r="BE55" s="9">
        <v>0.584416</v>
      </c>
      <c r="BF55" s="9">
        <v>0.564935</v>
      </c>
      <c r="BG55" s="9">
        <v>0.615584</v>
      </c>
      <c r="BH55" s="9">
        <v>0.616883</v>
      </c>
      <c r="BI55" s="9">
        <v>0.616883</v>
      </c>
      <c r="BJ55" s="6"/>
      <c r="BK55" s="6" t="str">
        <f t="shared" si="4"/>
        <v>20B_One_Acc</v>
      </c>
      <c r="BL55" s="11">
        <f t="shared" si="5"/>
        <v>0.01947</v>
      </c>
      <c r="BM55" s="12" t="str">
        <f t="shared" si="6"/>
        <v>Group 3</v>
      </c>
      <c r="BN55" s="6" t="s">
        <v>83</v>
      </c>
      <c r="BO55" s="6" t="s">
        <v>71</v>
      </c>
      <c r="BP55" s="6"/>
      <c r="BQ55" s="6"/>
      <c r="BR55" s="6">
        <v>0.019469999999999987</v>
      </c>
      <c r="BS55" s="6"/>
      <c r="BT55" s="6"/>
      <c r="BU55" s="6"/>
      <c r="BV55" s="6"/>
      <c r="BW55" s="6"/>
      <c r="BX55" s="6"/>
      <c r="BY55" s="6"/>
      <c r="BZ55" s="6"/>
    </row>
    <row r="56" ht="15.75" customHeight="1">
      <c r="A56" s="1" t="s">
        <v>150</v>
      </c>
      <c r="B56" s="7">
        <v>0.8247</v>
      </c>
      <c r="C56" s="8"/>
      <c r="D56" s="8"/>
      <c r="E56" s="9">
        <v>0.685911</v>
      </c>
      <c r="F56" s="9">
        <v>0.714777</v>
      </c>
      <c r="G56" s="9">
        <v>0.666667</v>
      </c>
      <c r="H56" s="9">
        <v>0.66391753</v>
      </c>
      <c r="I56" s="9">
        <v>0.676975965</v>
      </c>
      <c r="J56" s="9">
        <v>0.570447</v>
      </c>
      <c r="K56" s="9">
        <v>0.778694</v>
      </c>
      <c r="L56" s="9">
        <v>0.790378</v>
      </c>
      <c r="M56" s="9">
        <v>0.790378</v>
      </c>
      <c r="N56" s="9">
        <v>0.77182132</v>
      </c>
      <c r="O56" s="9">
        <v>0.780069</v>
      </c>
      <c r="P56" s="9">
        <v>0.75945</v>
      </c>
      <c r="Q56" s="9">
        <v>0.668041</v>
      </c>
      <c r="R56" s="9">
        <v>0.701031</v>
      </c>
      <c r="S56" s="9">
        <v>0.762887</v>
      </c>
      <c r="T56" s="9">
        <v>0.722336781</v>
      </c>
      <c r="U56" s="9">
        <v>0.752577</v>
      </c>
      <c r="V56" s="9">
        <v>0.718213</v>
      </c>
      <c r="W56" s="9">
        <v>0.773883</v>
      </c>
      <c r="X56" s="9">
        <v>0.766323</v>
      </c>
      <c r="Y56" s="9">
        <v>0.766323</v>
      </c>
      <c r="Z56" s="9">
        <v>0.771821</v>
      </c>
      <c r="AA56" s="9">
        <v>0.769759</v>
      </c>
      <c r="AB56" s="9">
        <v>0.766323</v>
      </c>
      <c r="AC56" s="9">
        <v>0.740893471</v>
      </c>
      <c r="AD56" s="9">
        <v>0.749141</v>
      </c>
      <c r="AE56" s="9">
        <v>0.725086</v>
      </c>
      <c r="AF56" s="9">
        <v>0.714089346</v>
      </c>
      <c r="AG56" s="9">
        <v>0.742268</v>
      </c>
      <c r="AH56" s="9">
        <v>0.728522</v>
      </c>
      <c r="AI56" s="9">
        <v>0.730584</v>
      </c>
      <c r="AJ56" s="9">
        <v>0.756014</v>
      </c>
      <c r="AK56" s="9">
        <v>0.800687</v>
      </c>
      <c r="AL56" s="9">
        <v>0.778007</v>
      </c>
      <c r="AM56" s="9">
        <v>0.776632</v>
      </c>
      <c r="AN56" s="9">
        <v>0.570447</v>
      </c>
      <c r="AO56" s="9">
        <v>0.7189</v>
      </c>
      <c r="AP56" s="9">
        <v>0.738832</v>
      </c>
      <c r="AQ56" s="9">
        <v>0.71134</v>
      </c>
      <c r="AR56" s="9">
        <v>0.697594488</v>
      </c>
      <c r="AS56" s="9">
        <v>0.742268</v>
      </c>
      <c r="AT56" s="9">
        <v>0.728522</v>
      </c>
      <c r="AU56" s="9">
        <v>0.783505</v>
      </c>
      <c r="AV56" s="9">
        <v>0.790378</v>
      </c>
      <c r="AW56" s="9">
        <v>0.800687</v>
      </c>
      <c r="AX56" s="9">
        <v>0.784192</v>
      </c>
      <c r="AY56" s="9">
        <v>0.783505</v>
      </c>
      <c r="AZ56" s="9">
        <v>0.790378</v>
      </c>
      <c r="BA56" s="9">
        <v>0.685911</v>
      </c>
      <c r="BB56" s="9">
        <v>0.718213</v>
      </c>
      <c r="BC56" s="9">
        <v>0.683849</v>
      </c>
      <c r="BD56" s="9">
        <v>0.756014</v>
      </c>
      <c r="BE56" s="9">
        <v>0.804124</v>
      </c>
      <c r="BF56" s="9">
        <v>0.817869</v>
      </c>
      <c r="BG56" s="9">
        <v>0.679038</v>
      </c>
      <c r="BH56" s="9">
        <v>0.704467</v>
      </c>
      <c r="BI56" s="9">
        <v>0.790378</v>
      </c>
      <c r="BJ56" s="6"/>
      <c r="BK56" s="6" t="str">
        <f t="shared" si="4"/>
        <v>PlottingTime</v>
      </c>
      <c r="BL56" s="11">
        <f t="shared" si="5"/>
        <v>-0.006831</v>
      </c>
      <c r="BM56" s="12" t="str">
        <f t="shared" si="6"/>
        <v>Group 3</v>
      </c>
      <c r="BN56" s="6" t="s">
        <v>83</v>
      </c>
      <c r="BO56" s="6" t="s">
        <v>1</v>
      </c>
      <c r="BP56" s="6"/>
      <c r="BQ56" s="6"/>
      <c r="BR56" s="6">
        <v>-0.0068310000000000315</v>
      </c>
      <c r="BS56" s="6"/>
      <c r="BT56" s="6"/>
      <c r="BU56" s="6"/>
      <c r="BV56" s="6"/>
      <c r="BW56" s="6"/>
      <c r="BX56" s="6"/>
      <c r="BY56" s="6"/>
      <c r="BZ56" s="6"/>
    </row>
    <row r="57" ht="15.75" customHeight="1">
      <c r="A57" s="1" t="s">
        <v>151</v>
      </c>
      <c r="B57" s="7">
        <v>0.6169</v>
      </c>
      <c r="C57" s="8"/>
      <c r="D57" s="8"/>
      <c r="E57" s="9">
        <v>0.549351</v>
      </c>
      <c r="F57" s="9">
        <v>0.558442</v>
      </c>
      <c r="G57" s="9">
        <v>0.525974</v>
      </c>
      <c r="H57" s="9">
        <v>0.554545474</v>
      </c>
      <c r="I57" s="9">
        <v>0.558441579</v>
      </c>
      <c r="J57" s="9">
        <v>0.272727</v>
      </c>
      <c r="K57" s="9">
        <v>0.572727</v>
      </c>
      <c r="L57" s="9">
        <v>0.577922</v>
      </c>
      <c r="M57" s="9">
        <v>0.590909</v>
      </c>
      <c r="N57" s="9">
        <v>0.566233766</v>
      </c>
      <c r="O57" s="9">
        <v>0.558442</v>
      </c>
      <c r="P57" s="9">
        <v>0.558442</v>
      </c>
      <c r="Q57" s="9">
        <v>0.542857</v>
      </c>
      <c r="R57" s="9">
        <v>0.551948</v>
      </c>
      <c r="S57" s="9">
        <v>0.545455</v>
      </c>
      <c r="T57" s="9">
        <v>0.553246772</v>
      </c>
      <c r="U57" s="9">
        <v>0.558442</v>
      </c>
      <c r="V57" s="9">
        <v>0.474026</v>
      </c>
      <c r="W57" s="9">
        <v>0.564935</v>
      </c>
      <c r="X57" s="9">
        <v>0.558442</v>
      </c>
      <c r="Y57" s="9">
        <v>0.558442</v>
      </c>
      <c r="Z57" s="9">
        <v>0.557143</v>
      </c>
      <c r="AA57" s="9">
        <v>0.558442</v>
      </c>
      <c r="AB57" s="9">
        <v>0.558442</v>
      </c>
      <c r="AC57" s="9">
        <v>0.561038983</v>
      </c>
      <c r="AD57" s="9">
        <v>0.558442</v>
      </c>
      <c r="AE57" s="9">
        <v>0.506494</v>
      </c>
      <c r="AF57" s="9">
        <v>0.533766252</v>
      </c>
      <c r="AG57" s="9">
        <v>0.558442</v>
      </c>
      <c r="AH57" s="9">
        <v>0.519481</v>
      </c>
      <c r="AI57" s="9">
        <v>0.566234</v>
      </c>
      <c r="AJ57" s="9">
        <v>0.558442</v>
      </c>
      <c r="AK57" s="9">
        <v>0.571429</v>
      </c>
      <c r="AL57" s="9">
        <v>0.558442</v>
      </c>
      <c r="AM57" s="9">
        <v>0.558442</v>
      </c>
      <c r="AN57" s="9">
        <v>0.558442</v>
      </c>
      <c r="AO57" s="9">
        <v>0.563636</v>
      </c>
      <c r="AP57" s="9">
        <v>0.558442</v>
      </c>
      <c r="AQ57" s="9">
        <v>0.506494</v>
      </c>
      <c r="AR57" s="9">
        <v>0.563636374</v>
      </c>
      <c r="AS57" s="9">
        <v>0.558442</v>
      </c>
      <c r="AT57" s="9">
        <v>0.590909</v>
      </c>
      <c r="AU57" s="9">
        <v>0.558442</v>
      </c>
      <c r="AV57" s="9">
        <v>0.558442</v>
      </c>
      <c r="AW57" s="9">
        <v>0.558442</v>
      </c>
      <c r="AX57" s="9">
        <v>0.557143</v>
      </c>
      <c r="AY57" s="9">
        <v>0.558442</v>
      </c>
      <c r="AZ57" s="9">
        <v>0.558442</v>
      </c>
      <c r="BA57" s="9">
        <v>0.542857</v>
      </c>
      <c r="BB57" s="9">
        <v>0.558442</v>
      </c>
      <c r="BC57" s="9">
        <v>0.538961</v>
      </c>
      <c r="BD57" s="9">
        <v>0.567532</v>
      </c>
      <c r="BE57" s="9">
        <v>0.558442</v>
      </c>
      <c r="BF57" s="9">
        <v>0.558442</v>
      </c>
      <c r="BG57" s="9">
        <v>0.572727</v>
      </c>
      <c r="BH57" s="9">
        <v>0.558442</v>
      </c>
      <c r="BI57" s="9">
        <v>0.558442</v>
      </c>
      <c r="BJ57" s="6"/>
      <c r="BK57" s="6" t="str">
        <f t="shared" si="4"/>
        <v>PlottingTime</v>
      </c>
      <c r="BL57" s="11">
        <f t="shared" si="5"/>
        <v>-0.025991</v>
      </c>
      <c r="BM57" s="12" t="str">
        <f t="shared" si="6"/>
        <v>Group 3</v>
      </c>
      <c r="BN57" s="6" t="s">
        <v>83</v>
      </c>
      <c r="BO57" s="6" t="s">
        <v>1</v>
      </c>
      <c r="BP57" s="6"/>
      <c r="BQ57" s="6"/>
      <c r="BR57" s="6">
        <v>-0.025990999999999986</v>
      </c>
      <c r="BS57" s="6"/>
      <c r="BT57" s="6"/>
      <c r="BU57" s="6"/>
      <c r="BV57" s="6"/>
      <c r="BW57" s="6"/>
      <c r="BX57" s="6"/>
      <c r="BY57" s="6"/>
      <c r="BZ57" s="6"/>
    </row>
    <row r="58" ht="15.75" customHeight="1">
      <c r="A58" s="1" t="s">
        <v>152</v>
      </c>
      <c r="B58" s="7">
        <v>0.9118</v>
      </c>
      <c r="C58" s="8"/>
      <c r="D58" s="8"/>
      <c r="E58" s="9">
        <v>0.813361</v>
      </c>
      <c r="F58" s="9">
        <v>0.822268</v>
      </c>
      <c r="G58" s="9">
        <v>0.822268</v>
      </c>
      <c r="H58" s="9">
        <v>0.81962887</v>
      </c>
      <c r="I58" s="9">
        <v>0.824742258</v>
      </c>
      <c r="J58" s="9">
        <v>0.188866</v>
      </c>
      <c r="K58" s="9">
        <v>0.850639</v>
      </c>
      <c r="L58" s="9">
        <v>0.851134</v>
      </c>
      <c r="M58" s="9">
        <v>0.858969</v>
      </c>
      <c r="N58" s="9">
        <v>0.849814427</v>
      </c>
      <c r="O58" s="9">
        <v>0.856082</v>
      </c>
      <c r="P58" s="9">
        <v>0.854021</v>
      </c>
      <c r="Q58" s="9">
        <v>0.854268</v>
      </c>
      <c r="R58" s="9">
        <v>0.856082</v>
      </c>
      <c r="S58" s="9">
        <v>0.863505</v>
      </c>
      <c r="T58" s="9">
        <v>0.85839175</v>
      </c>
      <c r="U58" s="9">
        <v>0.859381</v>
      </c>
      <c r="V58" s="9">
        <v>0.85732</v>
      </c>
      <c r="W58" s="9">
        <v>0.865567</v>
      </c>
      <c r="X58" s="9">
        <v>0.866804</v>
      </c>
      <c r="Y58" s="9">
        <v>0.875052</v>
      </c>
      <c r="Z58" s="9">
        <v>0.871835</v>
      </c>
      <c r="AA58" s="9">
        <v>0.875052</v>
      </c>
      <c r="AB58" s="9">
        <v>0.86268</v>
      </c>
      <c r="AC58" s="9">
        <v>0.852206182</v>
      </c>
      <c r="AD58" s="9">
        <v>0.854433</v>
      </c>
      <c r="AE58" s="9">
        <v>0.863505</v>
      </c>
      <c r="AF58" s="9">
        <v>0.854597938</v>
      </c>
      <c r="AG58" s="9">
        <v>0.852784</v>
      </c>
      <c r="AH58" s="9">
        <v>0.861031</v>
      </c>
      <c r="AI58" s="9">
        <v>0.864</v>
      </c>
      <c r="AJ58" s="9">
        <v>0.863505</v>
      </c>
      <c r="AK58" s="9">
        <v>0.852371</v>
      </c>
      <c r="AL58" s="9">
        <v>0.867216</v>
      </c>
      <c r="AM58" s="9">
        <v>0.867629</v>
      </c>
      <c r="AN58" s="9">
        <v>0.870103</v>
      </c>
      <c r="AO58" s="9">
        <v>0.851464</v>
      </c>
      <c r="AP58" s="9">
        <v>0.852784</v>
      </c>
      <c r="AQ58" s="9">
        <v>0.863093</v>
      </c>
      <c r="AR58" s="9">
        <v>0.855835044</v>
      </c>
      <c r="AS58" s="9">
        <v>0.856495</v>
      </c>
      <c r="AT58" s="9">
        <v>0.862268</v>
      </c>
      <c r="AU58" s="9">
        <v>0.851794</v>
      </c>
      <c r="AV58" s="9">
        <v>0.863918</v>
      </c>
      <c r="AW58" s="9">
        <v>0.863918</v>
      </c>
      <c r="AX58" s="9">
        <v>0.86268</v>
      </c>
      <c r="AY58" s="9">
        <v>0.861443</v>
      </c>
      <c r="AZ58" s="9">
        <v>0.872577</v>
      </c>
      <c r="BA58" s="9">
        <v>0.858392</v>
      </c>
      <c r="BB58" s="9">
        <v>0.858969</v>
      </c>
      <c r="BC58" s="9">
        <v>0.819381</v>
      </c>
      <c r="BD58" s="9">
        <v>0.846845</v>
      </c>
      <c r="BE58" s="9">
        <v>0.874227</v>
      </c>
      <c r="BF58" s="9">
        <v>0.890722</v>
      </c>
      <c r="BG58" s="9">
        <v>0.77633</v>
      </c>
      <c r="BH58" s="9">
        <v>0.779794</v>
      </c>
      <c r="BI58" s="9">
        <v>0.814021</v>
      </c>
      <c r="BJ58" s="6"/>
      <c r="BK58" s="6" t="str">
        <f t="shared" si="4"/>
        <v>PlottingTime</v>
      </c>
      <c r="BL58" s="11">
        <f t="shared" si="5"/>
        <v>-0.021078</v>
      </c>
      <c r="BM58" s="12" t="str">
        <f t="shared" si="6"/>
        <v>Group 3</v>
      </c>
      <c r="BN58" s="6" t="s">
        <v>83</v>
      </c>
      <c r="BO58" s="6" t="s">
        <v>1</v>
      </c>
      <c r="BP58" s="6"/>
      <c r="BQ58" s="6"/>
      <c r="BR58" s="6">
        <v>-0.02107800000000004</v>
      </c>
      <c r="BS58" s="6"/>
      <c r="BT58" s="6"/>
      <c r="BU58" s="6"/>
      <c r="BV58" s="6"/>
      <c r="BW58" s="6"/>
      <c r="BX58" s="6"/>
      <c r="BY58" s="6"/>
      <c r="BZ58" s="6"/>
    </row>
    <row r="59" ht="15.75" customHeight="1">
      <c r="A59" s="1" t="s">
        <v>153</v>
      </c>
      <c r="B59" s="7">
        <v>0.8557</v>
      </c>
      <c r="C59" s="8"/>
      <c r="D59" s="8"/>
      <c r="E59" s="9">
        <v>0.760082</v>
      </c>
      <c r="F59" s="9">
        <v>0.764948</v>
      </c>
      <c r="G59" s="9">
        <v>0.766186</v>
      </c>
      <c r="H59" s="9">
        <v>0.749443305</v>
      </c>
      <c r="I59" s="9">
        <v>0.748865962</v>
      </c>
      <c r="J59" s="9">
        <v>0.172371</v>
      </c>
      <c r="K59" s="9">
        <v>0.788948</v>
      </c>
      <c r="L59" s="9">
        <v>0.789278</v>
      </c>
      <c r="M59" s="9">
        <v>0.794227</v>
      </c>
      <c r="N59" s="9">
        <v>0.79562887</v>
      </c>
      <c r="O59" s="9">
        <v>0.798763</v>
      </c>
      <c r="P59" s="9">
        <v>0.797938</v>
      </c>
      <c r="Q59" s="9">
        <v>0.777567</v>
      </c>
      <c r="R59" s="9">
        <v>0.783918</v>
      </c>
      <c r="S59" s="9">
        <v>0.814433</v>
      </c>
      <c r="T59" s="9">
        <v>0.788041246</v>
      </c>
      <c r="U59" s="9">
        <v>0.796289</v>
      </c>
      <c r="V59" s="9">
        <v>0.803299</v>
      </c>
      <c r="W59" s="9">
        <v>0.795876</v>
      </c>
      <c r="X59" s="9">
        <v>0.793402</v>
      </c>
      <c r="Y59" s="9">
        <v>0.814845</v>
      </c>
      <c r="Z59" s="9">
        <v>0.809402</v>
      </c>
      <c r="AA59" s="9">
        <v>0.816495</v>
      </c>
      <c r="AB59" s="9">
        <v>0.795876</v>
      </c>
      <c r="AC59" s="9">
        <v>0.788041246</v>
      </c>
      <c r="AD59" s="9">
        <v>0.794639</v>
      </c>
      <c r="AE59" s="9">
        <v>0.785567</v>
      </c>
      <c r="AF59" s="9">
        <v>0.799010313</v>
      </c>
      <c r="AG59" s="9">
        <v>0.802887</v>
      </c>
      <c r="AH59" s="9">
        <v>0.806186</v>
      </c>
      <c r="AI59" s="9">
        <v>0.812041</v>
      </c>
      <c r="AJ59" s="9">
        <v>0.803299</v>
      </c>
      <c r="AK59" s="9">
        <v>0.732371</v>
      </c>
      <c r="AL59" s="9">
        <v>0.820948</v>
      </c>
      <c r="AM59" s="9">
        <v>0.82268</v>
      </c>
      <c r="AN59" s="9">
        <v>0.849897</v>
      </c>
      <c r="AO59" s="9">
        <v>0.786887</v>
      </c>
      <c r="AP59" s="9">
        <v>0.782268</v>
      </c>
      <c r="AQ59" s="9">
        <v>0.804948</v>
      </c>
      <c r="AR59" s="9">
        <v>0.78523711</v>
      </c>
      <c r="AS59" s="9">
        <v>0.782268</v>
      </c>
      <c r="AT59" s="9">
        <v>0.813608</v>
      </c>
      <c r="AU59" s="9">
        <v>0.806433</v>
      </c>
      <c r="AV59" s="9">
        <v>0.812783</v>
      </c>
      <c r="AW59" s="9">
        <v>0.798351</v>
      </c>
      <c r="AX59" s="9">
        <v>0.805361</v>
      </c>
      <c r="AY59" s="9">
        <v>0.807835</v>
      </c>
      <c r="AZ59" s="9">
        <v>0.835052</v>
      </c>
      <c r="BA59" s="9">
        <v>0.810557</v>
      </c>
      <c r="BB59" s="9">
        <v>0.80701</v>
      </c>
      <c r="BC59" s="9">
        <v>0.816082</v>
      </c>
      <c r="BD59" s="9">
        <v>0.819464</v>
      </c>
      <c r="BE59" s="9">
        <v>0.81732</v>
      </c>
      <c r="BF59" s="9">
        <v>0.840825</v>
      </c>
      <c r="BG59" s="9">
        <v>0.714144</v>
      </c>
      <c r="BH59" s="9">
        <v>0.723711</v>
      </c>
      <c r="BI59" s="9">
        <v>0.719175</v>
      </c>
      <c r="BJ59" s="6"/>
      <c r="BK59" s="6" t="str">
        <f t="shared" si="4"/>
        <v>PlottingTime</v>
      </c>
      <c r="BL59" s="11">
        <f t="shared" si="5"/>
        <v>-0.005803</v>
      </c>
      <c r="BM59" s="12" t="str">
        <f t="shared" si="6"/>
        <v>Group 3</v>
      </c>
      <c r="BN59" s="6" t="s">
        <v>83</v>
      </c>
      <c r="BO59" s="6" t="s">
        <v>1</v>
      </c>
      <c r="BP59" s="6"/>
      <c r="BQ59" s="6"/>
      <c r="BR59" s="6">
        <v>-0.005803000000000003</v>
      </c>
      <c r="BS59" s="6"/>
      <c r="BT59" s="6"/>
      <c r="BU59" s="6"/>
      <c r="BV59" s="6"/>
      <c r="BW59" s="6"/>
      <c r="BX59" s="6"/>
      <c r="BY59" s="6"/>
      <c r="BZ59" s="6"/>
    </row>
    <row r="60" ht="15.75" customHeight="1">
      <c r="A60" s="1" t="s">
        <v>154</v>
      </c>
      <c r="B60" s="7">
        <v>0.8259</v>
      </c>
      <c r="C60" s="8"/>
      <c r="D60" s="8"/>
      <c r="E60" s="9">
        <v>0.673642</v>
      </c>
      <c r="F60" s="9">
        <v>0.722045</v>
      </c>
      <c r="G60" s="9">
        <v>0.789936</v>
      </c>
      <c r="H60" s="9">
        <v>0.823162937</v>
      </c>
      <c r="I60" s="9">
        <v>0.809105456</v>
      </c>
      <c r="J60" s="9">
        <v>0.539137</v>
      </c>
      <c r="K60" s="9">
        <v>0.810064</v>
      </c>
      <c r="L60" s="9">
        <v>0.826677</v>
      </c>
      <c r="M60" s="9">
        <v>0.841054</v>
      </c>
      <c r="N60" s="9">
        <v>0.75303514</v>
      </c>
      <c r="O60" s="9">
        <v>0.8123</v>
      </c>
      <c r="P60" s="9">
        <v>0.828275</v>
      </c>
      <c r="Q60" s="9">
        <v>0.739776</v>
      </c>
      <c r="R60" s="9">
        <v>0.748403</v>
      </c>
      <c r="S60" s="9">
        <v>0.698083</v>
      </c>
      <c r="T60" s="9">
        <v>0.772683704</v>
      </c>
      <c r="U60" s="9">
        <v>0.780351</v>
      </c>
      <c r="V60" s="9">
        <v>0.770767</v>
      </c>
      <c r="W60" s="9">
        <v>0.755112</v>
      </c>
      <c r="X60" s="9">
        <v>0.82508</v>
      </c>
      <c r="Y60" s="9">
        <v>0.833067</v>
      </c>
      <c r="Z60" s="9">
        <v>0.74984</v>
      </c>
      <c r="AA60" s="9">
        <v>0.802716</v>
      </c>
      <c r="AB60" s="9">
        <v>0.802716</v>
      </c>
      <c r="AC60" s="9">
        <v>0.710862625</v>
      </c>
      <c r="AD60" s="9">
        <v>0.735623</v>
      </c>
      <c r="AE60" s="9">
        <v>0.759585</v>
      </c>
      <c r="AF60" s="9">
        <v>0.754952073</v>
      </c>
      <c r="AG60" s="9">
        <v>0.783546</v>
      </c>
      <c r="AH60" s="9">
        <v>0.741214</v>
      </c>
      <c r="AI60" s="9">
        <v>0.816933</v>
      </c>
      <c r="AJ60" s="9">
        <v>0.820288</v>
      </c>
      <c r="AK60" s="9">
        <v>0.829872</v>
      </c>
      <c r="AL60" s="9">
        <v>0.82524</v>
      </c>
      <c r="AM60" s="9">
        <v>0.83147</v>
      </c>
      <c r="AN60" s="9">
        <v>0.83147</v>
      </c>
      <c r="AO60" s="9">
        <v>0.697604</v>
      </c>
      <c r="AP60" s="9">
        <v>0.753195</v>
      </c>
      <c r="AQ60" s="9">
        <v>0.798722</v>
      </c>
      <c r="AR60" s="9">
        <v>0.710383391</v>
      </c>
      <c r="AS60" s="9">
        <v>0.739617</v>
      </c>
      <c r="AT60" s="9">
        <v>0.783546</v>
      </c>
      <c r="AU60" s="9">
        <v>0.8123</v>
      </c>
      <c r="AV60" s="9">
        <v>0.82508</v>
      </c>
      <c r="AW60" s="9">
        <v>0.826677</v>
      </c>
      <c r="AX60" s="9">
        <v>0.813738</v>
      </c>
      <c r="AY60" s="9">
        <v>0.81869</v>
      </c>
      <c r="AZ60" s="9">
        <v>0.826677</v>
      </c>
      <c r="BA60" s="9">
        <v>0.71278</v>
      </c>
      <c r="BB60" s="9">
        <v>0.759585</v>
      </c>
      <c r="BC60" s="9">
        <v>0.724441</v>
      </c>
      <c r="BD60" s="9">
        <v>0.789137</v>
      </c>
      <c r="BE60" s="9">
        <v>0.791534</v>
      </c>
      <c r="BF60" s="9">
        <v>0.807508</v>
      </c>
      <c r="BG60" s="9">
        <v>0.733227</v>
      </c>
      <c r="BH60" s="9">
        <v>0.852236</v>
      </c>
      <c r="BI60" s="9">
        <v>0.859425</v>
      </c>
      <c r="BJ60" s="6"/>
      <c r="BK60" s="6" t="str">
        <f t="shared" si="4"/>
        <v>De_One_Acc</v>
      </c>
      <c r="BL60" s="11">
        <f t="shared" si="5"/>
        <v>0.033525</v>
      </c>
      <c r="BM60" s="12" t="str">
        <f t="shared" si="6"/>
        <v>Group 3</v>
      </c>
      <c r="BN60" s="6" t="s">
        <v>83</v>
      </c>
      <c r="BO60" s="6" t="s">
        <v>77</v>
      </c>
      <c r="BP60" s="6"/>
      <c r="BQ60" s="6"/>
      <c r="BR60" s="6">
        <v>0.03352500000000003</v>
      </c>
      <c r="BS60" s="6"/>
      <c r="BT60" s="6"/>
      <c r="BU60" s="6"/>
      <c r="BV60" s="6"/>
      <c r="BW60" s="6"/>
      <c r="BX60" s="6"/>
      <c r="BY60" s="6"/>
      <c r="BZ60" s="6"/>
    </row>
    <row r="61" ht="15.75" customHeight="1">
      <c r="A61" s="1" t="s">
        <v>155</v>
      </c>
      <c r="B61" s="7">
        <v>0.9333</v>
      </c>
      <c r="C61" s="8"/>
      <c r="D61" s="8"/>
      <c r="E61" s="9">
        <v>0.513333</v>
      </c>
      <c r="F61" s="9">
        <v>0.533333</v>
      </c>
      <c r="G61" s="9">
        <v>0.4</v>
      </c>
      <c r="H61" s="9">
        <v>0.406666672</v>
      </c>
      <c r="I61" s="9">
        <v>0.400000006</v>
      </c>
      <c r="J61" s="9">
        <v>0.4</v>
      </c>
      <c r="K61" s="9">
        <v>0.4</v>
      </c>
      <c r="L61" s="9">
        <v>0.4</v>
      </c>
      <c r="M61" s="9">
        <v>0.4</v>
      </c>
      <c r="N61" s="9">
        <v>0.380000007</v>
      </c>
      <c r="O61" s="9">
        <v>0.4</v>
      </c>
      <c r="P61" s="9">
        <v>0.4</v>
      </c>
      <c r="Q61" s="9">
        <v>0.486667</v>
      </c>
      <c r="R61" s="9">
        <v>0.466667</v>
      </c>
      <c r="S61" s="9">
        <v>0.4</v>
      </c>
      <c r="T61" s="9">
        <v>0.400000006</v>
      </c>
      <c r="U61" s="9">
        <v>0.4</v>
      </c>
      <c r="V61" s="9">
        <v>0.4</v>
      </c>
      <c r="W61" s="9">
        <v>0.406667</v>
      </c>
      <c r="X61" s="9">
        <v>0.4</v>
      </c>
      <c r="Y61" s="9">
        <v>0.4</v>
      </c>
      <c r="Z61" s="9">
        <v>0.38</v>
      </c>
      <c r="AA61" s="9">
        <v>0.4</v>
      </c>
      <c r="AB61" s="9">
        <v>0.4</v>
      </c>
      <c r="AC61" s="9">
        <v>0.400000006</v>
      </c>
      <c r="AD61" s="9">
        <v>0.4</v>
      </c>
      <c r="AE61" s="9">
        <v>0.4</v>
      </c>
      <c r="AF61" s="9">
        <v>0.433333337</v>
      </c>
      <c r="AG61" s="9">
        <v>0.4</v>
      </c>
      <c r="AH61" s="9">
        <v>0.4</v>
      </c>
      <c r="AI61" s="9">
        <v>0.4</v>
      </c>
      <c r="AJ61" s="9">
        <v>0.4</v>
      </c>
      <c r="AK61" s="9">
        <v>0.4</v>
      </c>
      <c r="AL61" s="9">
        <v>0.4</v>
      </c>
      <c r="AM61" s="9">
        <v>0.4</v>
      </c>
      <c r="AN61" s="9">
        <v>0.4</v>
      </c>
      <c r="AO61" s="9">
        <v>0.4</v>
      </c>
      <c r="AP61" s="9">
        <v>0.4</v>
      </c>
      <c r="AQ61" s="9">
        <v>0.4</v>
      </c>
      <c r="AR61" s="9">
        <v>0.400000006</v>
      </c>
      <c r="AS61" s="9">
        <v>0.4</v>
      </c>
      <c r="AT61" s="9">
        <v>0.5</v>
      </c>
      <c r="AU61" s="9">
        <v>0.4</v>
      </c>
      <c r="AV61" s="9">
        <v>0.4</v>
      </c>
      <c r="AW61" s="9">
        <v>0.3</v>
      </c>
      <c r="AX61" s="9">
        <v>0.366667</v>
      </c>
      <c r="AY61" s="9">
        <v>0.4</v>
      </c>
      <c r="AZ61" s="9">
        <v>0.4</v>
      </c>
      <c r="BA61" s="9">
        <v>0.44</v>
      </c>
      <c r="BB61" s="9">
        <v>0.4</v>
      </c>
      <c r="BC61" s="9">
        <v>0.4</v>
      </c>
      <c r="BD61" s="9">
        <v>0.4</v>
      </c>
      <c r="BE61" s="9">
        <v>0.4</v>
      </c>
      <c r="BF61" s="9">
        <v>0.4</v>
      </c>
      <c r="BG61" s="9">
        <v>0.4</v>
      </c>
      <c r="BH61" s="9">
        <v>0.4</v>
      </c>
      <c r="BI61" s="9">
        <v>0.4</v>
      </c>
      <c r="BJ61" s="6"/>
      <c r="BK61" s="6" t="str">
        <f t="shared" si="4"/>
        <v>PlottingTime</v>
      </c>
      <c r="BL61" s="11">
        <f t="shared" si="5"/>
        <v>-0.399967</v>
      </c>
      <c r="BM61" s="12" t="str">
        <f t="shared" si="6"/>
        <v>Group 1</v>
      </c>
      <c r="BN61" s="6" t="s">
        <v>81</v>
      </c>
      <c r="BO61" s="6" t="s">
        <v>1</v>
      </c>
      <c r="BP61" s="6">
        <v>-0.3999670000000001</v>
      </c>
      <c r="BQ61" s="6"/>
      <c r="BR61" s="6"/>
      <c r="BS61" s="6"/>
      <c r="BT61" s="6"/>
      <c r="BU61" s="6"/>
      <c r="BV61" s="6"/>
      <c r="BW61" s="6"/>
      <c r="BX61" s="6"/>
      <c r="BY61" s="6"/>
      <c r="BZ61" s="6"/>
    </row>
    <row r="62" ht="15.75" customHeight="1">
      <c r="A62" s="1" t="s">
        <v>156</v>
      </c>
      <c r="B62" s="7">
        <v>0.5785</v>
      </c>
      <c r="C62" s="8"/>
      <c r="D62" s="8"/>
      <c r="E62" s="9">
        <v>0.41157</v>
      </c>
      <c r="F62" s="9">
        <v>0.413223</v>
      </c>
      <c r="G62" s="9">
        <v>0.421488</v>
      </c>
      <c r="H62" s="9">
        <v>0.444628102</v>
      </c>
      <c r="I62" s="9">
        <v>0.446280986</v>
      </c>
      <c r="J62" s="9">
        <v>0.181818</v>
      </c>
      <c r="K62" s="9">
        <v>0.455372</v>
      </c>
      <c r="L62" s="9">
        <v>0.450413</v>
      </c>
      <c r="M62" s="9">
        <v>0.450413</v>
      </c>
      <c r="N62" s="9">
        <v>0.41404959</v>
      </c>
      <c r="O62" s="9">
        <v>0.400826</v>
      </c>
      <c r="P62" s="9">
        <v>0.409091</v>
      </c>
      <c r="Q62" s="9">
        <v>0.384298</v>
      </c>
      <c r="R62" s="9">
        <v>0.38843</v>
      </c>
      <c r="S62" s="9">
        <v>0.404959</v>
      </c>
      <c r="T62" s="9">
        <v>0.416528928</v>
      </c>
      <c r="U62" s="9">
        <v>0.413223</v>
      </c>
      <c r="V62" s="9">
        <v>0.404959</v>
      </c>
      <c r="W62" s="9">
        <v>0.435537</v>
      </c>
      <c r="X62" s="9">
        <v>0.446281</v>
      </c>
      <c r="Y62" s="9">
        <v>0.46281</v>
      </c>
      <c r="Z62" s="9">
        <v>0.430579</v>
      </c>
      <c r="AA62" s="9">
        <v>0.429752</v>
      </c>
      <c r="AB62" s="9">
        <v>0.454545</v>
      </c>
      <c r="AC62" s="9">
        <v>0.459504133</v>
      </c>
      <c r="AD62" s="9">
        <v>0.46281</v>
      </c>
      <c r="AE62" s="9">
        <v>0.495868</v>
      </c>
      <c r="AF62" s="9">
        <v>0.457024795</v>
      </c>
      <c r="AG62" s="9">
        <v>0.458678</v>
      </c>
      <c r="AH62" s="9">
        <v>0.487603</v>
      </c>
      <c r="AI62" s="9">
        <v>0.431405</v>
      </c>
      <c r="AJ62" s="9">
        <v>0.417355</v>
      </c>
      <c r="AK62" s="9">
        <v>0.5</v>
      </c>
      <c r="AL62" s="9">
        <v>0.433884</v>
      </c>
      <c r="AM62" s="9">
        <v>0.429752</v>
      </c>
      <c r="AN62" s="9">
        <v>0.454545</v>
      </c>
      <c r="AO62" s="9">
        <v>0.461983</v>
      </c>
      <c r="AP62" s="9">
        <v>0.454545</v>
      </c>
      <c r="AQ62" s="9">
        <v>0.508264</v>
      </c>
      <c r="AR62" s="9">
        <v>0.466115707</v>
      </c>
      <c r="AS62" s="9">
        <v>0.466942</v>
      </c>
      <c r="AT62" s="9">
        <v>0.5</v>
      </c>
      <c r="AU62" s="9">
        <v>0.506612</v>
      </c>
      <c r="AV62" s="9">
        <v>0.487603</v>
      </c>
      <c r="AW62" s="9">
        <v>0.479339</v>
      </c>
      <c r="AX62" s="9">
        <v>0.480992</v>
      </c>
      <c r="AY62" s="9">
        <v>0.495868</v>
      </c>
      <c r="AZ62" s="9">
        <v>0.479339</v>
      </c>
      <c r="BA62" s="9">
        <v>0.458678</v>
      </c>
      <c r="BB62" s="9">
        <v>0.458678</v>
      </c>
      <c r="BC62" s="9">
        <v>0.479339</v>
      </c>
      <c r="BD62" s="9">
        <v>0.449587</v>
      </c>
      <c r="BE62" s="9">
        <v>0.471074</v>
      </c>
      <c r="BF62" s="9">
        <v>0.495868</v>
      </c>
      <c r="BG62" s="9">
        <v>0.32562</v>
      </c>
      <c r="BH62" s="9">
        <v>0.322314</v>
      </c>
      <c r="BI62" s="9">
        <v>0.347107</v>
      </c>
      <c r="BJ62" s="6"/>
      <c r="BK62" s="6" t="str">
        <f t="shared" si="4"/>
        <v>PlottingTime</v>
      </c>
      <c r="BL62" s="11">
        <f t="shared" si="5"/>
        <v>-0.070236</v>
      </c>
      <c r="BM62" s="12" t="str">
        <f t="shared" si="6"/>
        <v>Group 3</v>
      </c>
      <c r="BN62" s="6" t="s">
        <v>83</v>
      </c>
      <c r="BO62" s="6" t="s">
        <v>1</v>
      </c>
      <c r="BP62" s="6"/>
      <c r="BQ62" s="6"/>
      <c r="BR62" s="6">
        <v>-0.07023599999999997</v>
      </c>
      <c r="BS62" s="6"/>
      <c r="BT62" s="6"/>
      <c r="BU62" s="6"/>
      <c r="BV62" s="6"/>
      <c r="BW62" s="6"/>
      <c r="BX62" s="6"/>
      <c r="BY62" s="6"/>
      <c r="BZ62" s="6"/>
    </row>
    <row r="63" ht="15.75" customHeight="1">
      <c r="A63" s="1" t="s">
        <v>157</v>
      </c>
      <c r="B63" s="7">
        <v>0.8159</v>
      </c>
      <c r="C63" s="8"/>
      <c r="D63" s="8"/>
      <c r="E63" s="9">
        <v>0.660606</v>
      </c>
      <c r="F63" s="9">
        <v>0.613054</v>
      </c>
      <c r="G63" s="9">
        <v>0.744755</v>
      </c>
      <c r="H63" s="9">
        <v>0.677855492</v>
      </c>
      <c r="I63" s="9">
        <v>0.692307711</v>
      </c>
      <c r="J63" s="9">
        <v>0.613054</v>
      </c>
      <c r="K63" s="9">
        <v>0.731702</v>
      </c>
      <c r="L63" s="9">
        <v>0.731935</v>
      </c>
      <c r="M63" s="9">
        <v>0.791375</v>
      </c>
      <c r="N63" s="9">
        <v>0.721445227</v>
      </c>
      <c r="O63" s="9">
        <v>0.748252</v>
      </c>
      <c r="P63" s="9">
        <v>0.749417</v>
      </c>
      <c r="Q63" s="9">
        <v>0.697902</v>
      </c>
      <c r="R63" s="9">
        <v>0.715618</v>
      </c>
      <c r="S63" s="9">
        <v>0.731935</v>
      </c>
      <c r="T63" s="9">
        <v>0.697202802</v>
      </c>
      <c r="U63" s="9">
        <v>0.713287</v>
      </c>
      <c r="V63" s="9">
        <v>0.713287</v>
      </c>
      <c r="W63" s="9">
        <v>0.773193</v>
      </c>
      <c r="X63" s="9">
        <v>0.772727</v>
      </c>
      <c r="Y63" s="9">
        <v>0.763403</v>
      </c>
      <c r="Z63" s="9">
        <v>0.758974</v>
      </c>
      <c r="AA63" s="9">
        <v>0.758741</v>
      </c>
      <c r="AB63" s="9">
        <v>0.758741</v>
      </c>
      <c r="AC63" s="9">
        <v>0.703962719</v>
      </c>
      <c r="AD63" s="9">
        <v>0.722611</v>
      </c>
      <c r="AE63" s="9">
        <v>0.740093</v>
      </c>
      <c r="AF63" s="9">
        <v>0.693473184</v>
      </c>
      <c r="AG63" s="9">
        <v>0.740093</v>
      </c>
      <c r="AH63" s="9">
        <v>0.761072</v>
      </c>
      <c r="AI63" s="9">
        <v>0.762471</v>
      </c>
      <c r="AJ63" s="9">
        <v>0.762238</v>
      </c>
      <c r="AK63" s="9">
        <v>0.754079</v>
      </c>
      <c r="AL63" s="9">
        <v>0.734732</v>
      </c>
      <c r="AM63" s="9">
        <v>0.764569</v>
      </c>
      <c r="AN63" s="9">
        <v>0.772727</v>
      </c>
      <c r="AO63" s="9">
        <v>0.72634</v>
      </c>
      <c r="AP63" s="9">
        <v>0.75641</v>
      </c>
      <c r="AQ63" s="9">
        <v>0.750583</v>
      </c>
      <c r="AR63" s="9">
        <v>0.756643355</v>
      </c>
      <c r="AS63" s="9">
        <v>0.757576</v>
      </c>
      <c r="AT63" s="9">
        <v>0.729604</v>
      </c>
      <c r="AU63" s="9">
        <v>0.782284</v>
      </c>
      <c r="AV63" s="9">
        <v>0.784382</v>
      </c>
      <c r="AW63" s="9">
        <v>0.789044</v>
      </c>
      <c r="AX63" s="9">
        <v>0.784615</v>
      </c>
      <c r="AY63" s="9">
        <v>0.780886</v>
      </c>
      <c r="AZ63" s="9">
        <v>0.765734</v>
      </c>
      <c r="BA63" s="9">
        <v>0.741492</v>
      </c>
      <c r="BB63" s="9">
        <v>0.745921</v>
      </c>
      <c r="BC63" s="9">
        <v>0.75641</v>
      </c>
      <c r="BD63" s="9">
        <v>0.662704</v>
      </c>
      <c r="BE63" s="9">
        <v>0.613054</v>
      </c>
      <c r="BF63" s="9">
        <v>0.763403</v>
      </c>
      <c r="BG63" s="9">
        <v>0.665501</v>
      </c>
      <c r="BH63" s="9">
        <v>0.664336</v>
      </c>
      <c r="BI63" s="9">
        <v>0.666667</v>
      </c>
      <c r="BJ63" s="6"/>
      <c r="BK63" s="6" t="str">
        <f t="shared" si="4"/>
        <v>PlottingTime</v>
      </c>
      <c r="BL63" s="11">
        <f t="shared" si="5"/>
        <v>-0.024525</v>
      </c>
      <c r="BM63" s="12" t="str">
        <f t="shared" si="6"/>
        <v>Group 3</v>
      </c>
      <c r="BN63" s="6" t="s">
        <v>83</v>
      </c>
      <c r="BO63" s="6" t="s">
        <v>1</v>
      </c>
      <c r="BP63" s="6"/>
      <c r="BQ63" s="6"/>
      <c r="BR63" s="6">
        <v>-0.024524999999999908</v>
      </c>
      <c r="BS63" s="6"/>
      <c r="BT63" s="6"/>
      <c r="BU63" s="6"/>
      <c r="BV63" s="6"/>
      <c r="BW63" s="6"/>
      <c r="BX63" s="6"/>
      <c r="BY63" s="6"/>
      <c r="BZ63" s="6"/>
    </row>
    <row r="64" ht="15.75" customHeight="1">
      <c r="A64" s="1" t="s">
        <v>158</v>
      </c>
      <c r="B64" s="7">
        <v>0.1973</v>
      </c>
      <c r="C64" s="8"/>
      <c r="D64" s="8"/>
      <c r="E64" s="9">
        <v>0.145042</v>
      </c>
      <c r="F64" s="9">
        <v>0.141878</v>
      </c>
      <c r="G64" s="9">
        <v>0.141878</v>
      </c>
      <c r="H64" s="9">
        <v>0.143565401</v>
      </c>
      <c r="I64" s="9">
        <v>0.145569623</v>
      </c>
      <c r="J64" s="9">
        <v>0.068565</v>
      </c>
      <c r="K64" s="9">
        <v>0.154958</v>
      </c>
      <c r="L64" s="9">
        <v>0.1577</v>
      </c>
      <c r="M64" s="9">
        <v>0.160338</v>
      </c>
      <c r="N64" s="9">
        <v>0.153797466</v>
      </c>
      <c r="O64" s="9">
        <v>0.156118</v>
      </c>
      <c r="P64" s="9">
        <v>0.1577</v>
      </c>
      <c r="Q64" s="9">
        <v>0.152426</v>
      </c>
      <c r="R64" s="9">
        <v>0.151899</v>
      </c>
      <c r="S64" s="9">
        <v>0.144515</v>
      </c>
      <c r="T64" s="9">
        <v>0.15179325</v>
      </c>
      <c r="U64" s="9">
        <v>0.149789</v>
      </c>
      <c r="V64" s="9">
        <v>0.159283</v>
      </c>
      <c r="W64" s="9">
        <v>0.143038</v>
      </c>
      <c r="X64" s="9">
        <v>0.152426</v>
      </c>
      <c r="Y64" s="9">
        <v>0.165084</v>
      </c>
      <c r="Z64" s="9">
        <v>0.151899</v>
      </c>
      <c r="AA64" s="9">
        <v>0.153481</v>
      </c>
      <c r="AB64" s="9">
        <v>0.145042</v>
      </c>
      <c r="AC64" s="9">
        <v>0.147257385</v>
      </c>
      <c r="AD64" s="9">
        <v>0.149789</v>
      </c>
      <c r="AE64" s="9">
        <v>0.144515</v>
      </c>
      <c r="AF64" s="9">
        <v>0.153375527</v>
      </c>
      <c r="AG64" s="9">
        <v>0.152426</v>
      </c>
      <c r="AH64" s="9">
        <v>0.142405</v>
      </c>
      <c r="AI64" s="9">
        <v>0.151582</v>
      </c>
      <c r="AJ64" s="9">
        <v>0.149262</v>
      </c>
      <c r="AK64" s="9">
        <v>0.159283</v>
      </c>
      <c r="AL64" s="9">
        <v>0.150527</v>
      </c>
      <c r="AM64" s="9">
        <v>0.150844</v>
      </c>
      <c r="AN64" s="9">
        <v>0.112869</v>
      </c>
      <c r="AO64" s="9">
        <v>0.165823</v>
      </c>
      <c r="AP64" s="9">
        <v>0.167194</v>
      </c>
      <c r="AQ64" s="9">
        <v>0.151899</v>
      </c>
      <c r="AR64" s="9">
        <v>0.155801687</v>
      </c>
      <c r="AS64" s="9">
        <v>0.156646</v>
      </c>
      <c r="AT64" s="9">
        <v>0.158755</v>
      </c>
      <c r="AU64" s="9">
        <v>0.144198</v>
      </c>
      <c r="AV64" s="9">
        <v>0.149262</v>
      </c>
      <c r="AW64" s="9">
        <v>0.150844</v>
      </c>
      <c r="AX64" s="9">
        <v>0.145464</v>
      </c>
      <c r="AY64" s="9">
        <v>0.149262</v>
      </c>
      <c r="AZ64" s="9">
        <v>0.162447</v>
      </c>
      <c r="BA64" s="9">
        <v>0.148207</v>
      </c>
      <c r="BB64" s="9">
        <v>0.150844</v>
      </c>
      <c r="BC64" s="9">
        <v>0.112869</v>
      </c>
      <c r="BD64" s="9">
        <v>0.127426</v>
      </c>
      <c r="BE64" s="9">
        <v>0.120781</v>
      </c>
      <c r="BF64" s="9">
        <v>0.112869</v>
      </c>
      <c r="BG64" s="9">
        <v>0.112869</v>
      </c>
      <c r="BH64" s="9">
        <v>0.112869</v>
      </c>
      <c r="BI64" s="9">
        <v>0.112869</v>
      </c>
      <c r="BJ64" s="6"/>
      <c r="BK64" s="6" t="str">
        <f t="shared" si="4"/>
        <v>PlottingTime</v>
      </c>
      <c r="BL64" s="11">
        <f t="shared" si="5"/>
        <v>-0.030106</v>
      </c>
      <c r="BM64" s="12" t="str">
        <f t="shared" si="6"/>
        <v>Group 3</v>
      </c>
      <c r="BN64" s="6" t="s">
        <v>83</v>
      </c>
      <c r="BO64" s="6" t="s">
        <v>1</v>
      </c>
      <c r="BP64" s="6"/>
      <c r="BQ64" s="6"/>
      <c r="BR64" s="6">
        <v>-0.030105999999999994</v>
      </c>
      <c r="BS64" s="6"/>
      <c r="BT64" s="6"/>
      <c r="BU64" s="6"/>
      <c r="BV64" s="6"/>
      <c r="BW64" s="6"/>
      <c r="BX64" s="6"/>
      <c r="BY64" s="6"/>
      <c r="BZ64" s="6"/>
    </row>
    <row r="65" ht="15.75" customHeight="1">
      <c r="A65" s="1" t="s">
        <v>159</v>
      </c>
      <c r="B65" s="7">
        <v>0.0913</v>
      </c>
      <c r="C65" s="8"/>
      <c r="D65" s="8"/>
      <c r="E65" s="9">
        <v>0.032692</v>
      </c>
      <c r="F65" s="9">
        <v>0.028846</v>
      </c>
      <c r="G65" s="9">
        <v>0.125</v>
      </c>
      <c r="H65" s="9">
        <v>0.039423078</v>
      </c>
      <c r="I65" s="9">
        <v>0.033653848</v>
      </c>
      <c r="J65" s="9">
        <v>0.019231</v>
      </c>
      <c r="K65" s="9">
        <v>0.047115</v>
      </c>
      <c r="L65" s="9">
        <v>0.052885</v>
      </c>
      <c r="M65" s="9">
        <v>0.115385</v>
      </c>
      <c r="N65" s="9">
        <v>0.025</v>
      </c>
      <c r="O65" s="9">
        <v>0.024038</v>
      </c>
      <c r="P65" s="9">
        <v>0.081731</v>
      </c>
      <c r="Q65" s="9">
        <v>0.032692</v>
      </c>
      <c r="R65" s="9">
        <v>0.019231</v>
      </c>
      <c r="S65" s="9">
        <v>0.100962</v>
      </c>
      <c r="T65" s="9">
        <v>0.032692308</v>
      </c>
      <c r="U65" s="9">
        <v>0.024038</v>
      </c>
      <c r="V65" s="9">
        <v>0.067308</v>
      </c>
      <c r="W65" s="9">
        <v>0.033654</v>
      </c>
      <c r="X65" s="9">
        <v>0.028846</v>
      </c>
      <c r="Y65" s="9">
        <v>0.0625</v>
      </c>
      <c r="Z65" s="9">
        <v>0.023077</v>
      </c>
      <c r="AA65" s="9">
        <v>0.019231</v>
      </c>
      <c r="AB65" s="9">
        <v>0.0625</v>
      </c>
      <c r="AC65" s="9">
        <v>0.035576924</v>
      </c>
      <c r="AD65" s="9">
        <v>0.033654</v>
      </c>
      <c r="AE65" s="9">
        <v>0.081731</v>
      </c>
      <c r="AF65" s="9">
        <v>0.032692308</v>
      </c>
      <c r="AG65" s="9">
        <v>0.028846</v>
      </c>
      <c r="AH65" s="9">
        <v>0.072115</v>
      </c>
      <c r="AI65" s="9">
        <v>0.035577</v>
      </c>
      <c r="AJ65" s="9">
        <v>0.038462</v>
      </c>
      <c r="AK65" s="9">
        <v>0.096154</v>
      </c>
      <c r="AL65" s="9">
        <v>0.019231</v>
      </c>
      <c r="AM65" s="9">
        <v>0.014423</v>
      </c>
      <c r="AN65" s="9">
        <v>0.057692</v>
      </c>
      <c r="AO65" s="9">
        <v>0.025</v>
      </c>
      <c r="AP65" s="9">
        <v>0.024038</v>
      </c>
      <c r="AQ65" s="9">
        <v>0.072115</v>
      </c>
      <c r="AR65" s="9">
        <v>0.026923077</v>
      </c>
      <c r="AS65" s="9">
        <v>0.024038</v>
      </c>
      <c r="AT65" s="9">
        <v>0.076923</v>
      </c>
      <c r="AU65" s="9">
        <v>0.028846</v>
      </c>
      <c r="AV65" s="9">
        <v>0.033654</v>
      </c>
      <c r="AW65" s="9">
        <v>0.043269</v>
      </c>
      <c r="AX65" s="9">
        <v>0.033654</v>
      </c>
      <c r="AY65" s="9">
        <v>0.033654</v>
      </c>
      <c r="AZ65" s="9">
        <v>0.043269</v>
      </c>
      <c r="BA65" s="9">
        <v>0.024038</v>
      </c>
      <c r="BB65" s="9">
        <v>0.019231</v>
      </c>
      <c r="BC65" s="9">
        <v>0.076923</v>
      </c>
      <c r="BD65" s="9">
        <v>0.036538</v>
      </c>
      <c r="BE65" s="9">
        <v>0.038462</v>
      </c>
      <c r="BF65" s="9">
        <v>0.057692</v>
      </c>
      <c r="BG65" s="9">
        <v>0.023077</v>
      </c>
      <c r="BH65" s="9">
        <v>0.019231</v>
      </c>
      <c r="BI65" s="9">
        <v>0.038462</v>
      </c>
      <c r="BJ65" s="6"/>
      <c r="BK65" s="6" t="str">
        <f t="shared" si="4"/>
        <v>5B_One_Acc</v>
      </c>
      <c r="BL65" s="11">
        <f t="shared" si="5"/>
        <v>0.0337</v>
      </c>
      <c r="BM65" s="12" t="str">
        <f t="shared" si="6"/>
        <v>Group 3</v>
      </c>
      <c r="BN65" s="6" t="s">
        <v>83</v>
      </c>
      <c r="BO65" s="6" t="s">
        <v>23</v>
      </c>
      <c r="BP65" s="6"/>
      <c r="BQ65" s="6"/>
      <c r="BR65" s="6">
        <v>0.033699999999999994</v>
      </c>
      <c r="BS65" s="6"/>
      <c r="BT65" s="6"/>
      <c r="BU65" s="6"/>
      <c r="BV65" s="6"/>
      <c r="BW65" s="6"/>
      <c r="BX65" s="6"/>
      <c r="BY65" s="6"/>
      <c r="BZ65" s="6"/>
    </row>
    <row r="66" ht="15.75" customHeight="1">
      <c r="A66" s="1" t="s">
        <v>160</v>
      </c>
      <c r="B66" s="7">
        <v>0.2215</v>
      </c>
      <c r="C66" s="8"/>
      <c r="D66" s="8"/>
      <c r="E66" s="9">
        <v>0.031731</v>
      </c>
      <c r="F66" s="9">
        <v>0.019231</v>
      </c>
      <c r="G66" s="9">
        <v>0.072115</v>
      </c>
      <c r="H66" s="9">
        <v>0.027884616</v>
      </c>
      <c r="I66" s="9">
        <v>0.024038462</v>
      </c>
      <c r="J66" s="9">
        <v>0.019231</v>
      </c>
      <c r="K66" s="9">
        <v>0.035577</v>
      </c>
      <c r="L66" s="9">
        <v>0.033654</v>
      </c>
      <c r="M66" s="9">
        <v>0.149038</v>
      </c>
      <c r="N66" s="9">
        <v>0.039423077</v>
      </c>
      <c r="O66" s="9">
        <v>0.028846</v>
      </c>
      <c r="P66" s="9">
        <v>0.173077</v>
      </c>
      <c r="Q66" s="9">
        <v>0.019231</v>
      </c>
      <c r="R66" s="9">
        <v>0.019231</v>
      </c>
      <c r="S66" s="9">
        <v>0.043269</v>
      </c>
      <c r="T66" s="9">
        <v>0.022115385</v>
      </c>
      <c r="U66" s="9">
        <v>0.019231</v>
      </c>
      <c r="V66" s="9">
        <v>0.072115</v>
      </c>
      <c r="W66" s="9">
        <v>0.025</v>
      </c>
      <c r="X66" s="9">
        <v>0.019231</v>
      </c>
      <c r="Y66" s="9">
        <v>0.125</v>
      </c>
      <c r="Z66" s="9">
        <v>0.016346</v>
      </c>
      <c r="AA66" s="9">
        <v>0.019231</v>
      </c>
      <c r="AB66" s="9">
        <v>0.043269</v>
      </c>
      <c r="AC66" s="9">
        <v>0.030769232</v>
      </c>
      <c r="AD66" s="9">
        <v>0.028846</v>
      </c>
      <c r="AE66" s="9">
        <v>0.038462</v>
      </c>
      <c r="AF66" s="9">
        <v>0.023076924</v>
      </c>
      <c r="AG66" s="9">
        <v>0.019231</v>
      </c>
      <c r="AH66" s="9">
        <v>0.072115</v>
      </c>
      <c r="AI66" s="9">
        <v>0.027885</v>
      </c>
      <c r="AJ66" s="9">
        <v>0.033654</v>
      </c>
      <c r="AK66" s="9">
        <v>0.096154</v>
      </c>
      <c r="AL66" s="9">
        <v>0.018269</v>
      </c>
      <c r="AM66" s="9">
        <v>0.019231</v>
      </c>
      <c r="AN66" s="9">
        <v>0.019231</v>
      </c>
      <c r="AO66" s="9">
        <v>0.025</v>
      </c>
      <c r="AP66" s="9">
        <v>0.019231</v>
      </c>
      <c r="AQ66" s="9">
        <v>0.052885</v>
      </c>
      <c r="AR66" s="9">
        <v>0.022115385</v>
      </c>
      <c r="AS66" s="9">
        <v>0.024038</v>
      </c>
      <c r="AT66" s="9">
        <v>0.057692</v>
      </c>
      <c r="AU66" s="9">
        <v>0.017308</v>
      </c>
      <c r="AV66" s="9">
        <v>0.019231</v>
      </c>
      <c r="AW66" s="9">
        <v>0.043269</v>
      </c>
      <c r="AX66" s="9">
        <v>0.021154</v>
      </c>
      <c r="AY66" s="9">
        <v>0.019231</v>
      </c>
      <c r="AZ66" s="9">
        <v>0.019231</v>
      </c>
      <c r="BA66" s="9">
        <v>0.021154</v>
      </c>
      <c r="BB66" s="9">
        <v>0.019231</v>
      </c>
      <c r="BC66" s="9">
        <v>0.072115</v>
      </c>
      <c r="BD66" s="9">
        <v>0.021154</v>
      </c>
      <c r="BE66" s="9">
        <v>0.019231</v>
      </c>
      <c r="BF66" s="9">
        <v>0.024038</v>
      </c>
      <c r="BG66" s="9">
        <v>0.018269</v>
      </c>
      <c r="BH66" s="9">
        <v>0.019231</v>
      </c>
      <c r="BI66" s="9">
        <v>0.028846</v>
      </c>
      <c r="BJ66" s="6"/>
      <c r="BK66" s="6" t="str">
        <f t="shared" si="4"/>
        <v>PlottingTime</v>
      </c>
      <c r="BL66" s="11">
        <f t="shared" si="5"/>
        <v>-0.048423</v>
      </c>
      <c r="BM66" s="12" t="str">
        <f t="shared" si="6"/>
        <v>Group 3</v>
      </c>
      <c r="BN66" s="6" t="s">
        <v>83</v>
      </c>
      <c r="BO66" s="6" t="s">
        <v>1</v>
      </c>
      <c r="BP66" s="6"/>
      <c r="BQ66" s="6"/>
      <c r="BR66" s="6">
        <v>-0.048422999999999994</v>
      </c>
      <c r="BS66" s="6"/>
      <c r="BT66" s="6"/>
      <c r="BU66" s="6"/>
      <c r="BV66" s="6"/>
      <c r="BW66" s="6"/>
      <c r="BX66" s="6"/>
      <c r="BY66" s="6"/>
      <c r="BZ66" s="6"/>
    </row>
    <row r="67" ht="15.75" customHeight="1">
      <c r="A67" s="1" t="s">
        <v>161</v>
      </c>
      <c r="B67" s="7">
        <v>0.0769</v>
      </c>
      <c r="C67" s="8"/>
      <c r="D67" s="8"/>
      <c r="E67" s="9">
        <v>0.021154</v>
      </c>
      <c r="F67" s="9">
        <v>0.019231</v>
      </c>
      <c r="G67" s="9">
        <v>0.100962</v>
      </c>
      <c r="H67" s="9">
        <v>0.01923077</v>
      </c>
      <c r="I67" s="9">
        <v>0.01923077</v>
      </c>
      <c r="J67" s="9">
        <v>0.019231</v>
      </c>
      <c r="K67" s="9">
        <v>0.021154</v>
      </c>
      <c r="L67" s="9">
        <v>0.019231</v>
      </c>
      <c r="M67" s="9">
        <v>0.067308</v>
      </c>
      <c r="N67" s="9">
        <v>0.023076924</v>
      </c>
      <c r="O67" s="9">
        <v>0.019231</v>
      </c>
      <c r="P67" s="9">
        <v>0.0625</v>
      </c>
      <c r="Q67" s="9">
        <v>0.026923</v>
      </c>
      <c r="R67" s="9">
        <v>0.024038</v>
      </c>
      <c r="S67" s="9">
        <v>0.057692</v>
      </c>
      <c r="T67" s="9">
        <v>0.027884616</v>
      </c>
      <c r="U67" s="9">
        <v>0.028846</v>
      </c>
      <c r="V67" s="9">
        <v>0.028846</v>
      </c>
      <c r="W67" s="9">
        <v>0.027885</v>
      </c>
      <c r="X67" s="9">
        <v>0.028846</v>
      </c>
      <c r="Y67" s="9">
        <v>0.067308</v>
      </c>
      <c r="Z67" s="9">
        <v>0.023077</v>
      </c>
      <c r="AA67" s="9">
        <v>0.024038</v>
      </c>
      <c r="AB67" s="9">
        <v>0.043269</v>
      </c>
      <c r="AC67" s="9">
        <v>0.018269231</v>
      </c>
      <c r="AD67" s="9">
        <v>0.019231</v>
      </c>
      <c r="AE67" s="9">
        <v>0.038462</v>
      </c>
      <c r="AF67" s="9">
        <v>0.025961539</v>
      </c>
      <c r="AG67" s="9">
        <v>0.024038</v>
      </c>
      <c r="AH67" s="9">
        <v>0.052885</v>
      </c>
      <c r="AI67" s="9">
        <v>0.016346</v>
      </c>
      <c r="AJ67" s="9">
        <v>0.019231</v>
      </c>
      <c r="AK67" s="9">
        <v>0.057692</v>
      </c>
      <c r="AL67" s="9">
        <v>0.027885</v>
      </c>
      <c r="AM67" s="9">
        <v>0.028846</v>
      </c>
      <c r="AN67" s="9">
        <v>0.028846</v>
      </c>
      <c r="AO67" s="9">
        <v>0.023077</v>
      </c>
      <c r="AP67" s="9">
        <v>0.024038</v>
      </c>
      <c r="AQ67" s="9">
        <v>0.038462</v>
      </c>
      <c r="AR67" s="9">
        <v>0.025000001</v>
      </c>
      <c r="AS67" s="9">
        <v>0.019231</v>
      </c>
      <c r="AT67" s="9">
        <v>0.057692</v>
      </c>
      <c r="AU67" s="9">
        <v>0.024038</v>
      </c>
      <c r="AV67" s="9">
        <v>0.024038</v>
      </c>
      <c r="AW67" s="9">
        <v>0.043269</v>
      </c>
      <c r="AX67" s="9">
        <v>0.015385</v>
      </c>
      <c r="AY67" s="9">
        <v>0.019231</v>
      </c>
      <c r="AZ67" s="9">
        <v>0.028846</v>
      </c>
      <c r="BA67" s="9">
        <v>0.024038</v>
      </c>
      <c r="BB67" s="9">
        <v>0.019231</v>
      </c>
      <c r="BC67" s="9">
        <v>0.076923</v>
      </c>
      <c r="BD67" s="9">
        <v>0.019231</v>
      </c>
      <c r="BE67" s="9">
        <v>0.019231</v>
      </c>
      <c r="BF67" s="9">
        <v>0.019231</v>
      </c>
      <c r="BG67" s="9">
        <v>0.018269</v>
      </c>
      <c r="BH67" s="9">
        <v>0.019231</v>
      </c>
      <c r="BI67" s="9">
        <v>0.033654</v>
      </c>
      <c r="BJ67" s="6"/>
      <c r="BK67" s="6" t="str">
        <f t="shared" si="4"/>
        <v>5B_One_Acc</v>
      </c>
      <c r="BL67" s="11">
        <f t="shared" si="5"/>
        <v>0.024062</v>
      </c>
      <c r="BM67" s="12" t="str">
        <f t="shared" si="6"/>
        <v>Group 3</v>
      </c>
      <c r="BN67" s="6" t="s">
        <v>83</v>
      </c>
      <c r="BO67" s="6" t="s">
        <v>23</v>
      </c>
      <c r="BP67" s="6"/>
      <c r="BQ67" s="6"/>
      <c r="BR67" s="6">
        <v>0.024062</v>
      </c>
      <c r="BS67" s="6"/>
      <c r="BT67" s="6"/>
      <c r="BU67" s="6"/>
      <c r="BV67" s="6"/>
      <c r="BW67" s="6"/>
      <c r="BX67" s="6"/>
      <c r="BY67" s="6"/>
      <c r="BZ67" s="6"/>
    </row>
    <row r="68" ht="15.75" customHeight="1">
      <c r="A68" s="1" t="s">
        <v>162</v>
      </c>
      <c r="B68" s="7">
        <v>1.0</v>
      </c>
      <c r="C68" s="8"/>
      <c r="D68" s="8"/>
      <c r="E68" s="9">
        <v>0.942857</v>
      </c>
      <c r="F68" s="9">
        <v>0.942857</v>
      </c>
      <c r="G68" s="9">
        <v>0.971429</v>
      </c>
      <c r="H68" s="9">
        <v>0.939047623</v>
      </c>
      <c r="I68" s="9">
        <v>0.942857146</v>
      </c>
      <c r="J68" s="9">
        <v>0.095238</v>
      </c>
      <c r="K68" s="9">
        <v>0.990476</v>
      </c>
      <c r="L68" s="9">
        <v>0.990476</v>
      </c>
      <c r="M68" s="9">
        <v>0.990476</v>
      </c>
      <c r="N68" s="9">
        <v>0.940952384</v>
      </c>
      <c r="O68" s="9">
        <v>0.990476</v>
      </c>
      <c r="P68" s="9">
        <v>0.990476</v>
      </c>
      <c r="Q68" s="9">
        <v>0.994286</v>
      </c>
      <c r="R68" s="9">
        <v>0.990476</v>
      </c>
      <c r="S68" s="9">
        <v>1.0</v>
      </c>
      <c r="T68" s="9">
        <v>0.994285715</v>
      </c>
      <c r="U68" s="9">
        <v>1.0</v>
      </c>
      <c r="V68" s="9">
        <v>1.0</v>
      </c>
      <c r="W68" s="9">
        <v>0.971429</v>
      </c>
      <c r="X68" s="9">
        <v>0.971429</v>
      </c>
      <c r="Y68" s="9">
        <v>0.990476</v>
      </c>
      <c r="Z68" s="9">
        <v>0.986667</v>
      </c>
      <c r="AA68" s="9">
        <v>0.980952</v>
      </c>
      <c r="AB68" s="9">
        <v>0.971429</v>
      </c>
      <c r="AC68" s="9">
        <v>0.960000002</v>
      </c>
      <c r="AD68" s="9">
        <v>0.990476</v>
      </c>
      <c r="AE68" s="9">
        <v>1.0</v>
      </c>
      <c r="AF68" s="9">
        <v>0.990476191</v>
      </c>
      <c r="AG68" s="9">
        <v>0.990476</v>
      </c>
      <c r="AH68" s="9">
        <v>0.990476</v>
      </c>
      <c r="AI68" s="9">
        <v>0.986667</v>
      </c>
      <c r="AJ68" s="9">
        <v>0.990476</v>
      </c>
      <c r="AK68" s="9">
        <v>0.990476</v>
      </c>
      <c r="AL68" s="9">
        <v>0.948571</v>
      </c>
      <c r="AM68" s="9">
        <v>0.961905</v>
      </c>
      <c r="AN68" s="9">
        <v>0.961905</v>
      </c>
      <c r="AO68" s="9">
        <v>0.954286</v>
      </c>
      <c r="AP68" s="9">
        <v>1.0</v>
      </c>
      <c r="AQ68" s="9">
        <v>0.933333</v>
      </c>
      <c r="AR68" s="9">
        <v>0.994285715</v>
      </c>
      <c r="AS68" s="9">
        <v>1.0</v>
      </c>
      <c r="AT68" s="9">
        <v>1.0</v>
      </c>
      <c r="AU68" s="9">
        <v>0.937143</v>
      </c>
      <c r="AV68" s="9">
        <v>0.980952</v>
      </c>
      <c r="AW68" s="9">
        <v>0.990476</v>
      </c>
      <c r="AX68" s="9">
        <v>0.980952</v>
      </c>
      <c r="AY68" s="9">
        <v>0.980952</v>
      </c>
      <c r="AZ68" s="9">
        <v>0.980952</v>
      </c>
      <c r="BA68" s="9">
        <v>0.99619</v>
      </c>
      <c r="BB68" s="9">
        <v>1.0</v>
      </c>
      <c r="BC68" s="9">
        <v>1.0</v>
      </c>
      <c r="BD68" s="9">
        <v>0.954286</v>
      </c>
      <c r="BE68" s="9">
        <v>0.980952</v>
      </c>
      <c r="BF68" s="9">
        <v>0.990476</v>
      </c>
      <c r="BG68" s="9">
        <v>0.965714</v>
      </c>
      <c r="BH68" s="9">
        <v>0.971429</v>
      </c>
      <c r="BI68" s="9">
        <v>0.971429</v>
      </c>
      <c r="BJ68" s="6"/>
      <c r="BK68" s="6" t="str">
        <f t="shared" si="4"/>
        <v>PlottingTime</v>
      </c>
      <c r="BL68" s="11">
        <f t="shared" si="5"/>
        <v>0</v>
      </c>
      <c r="BM68" s="12" t="str">
        <f t="shared" si="6"/>
        <v>Group 3</v>
      </c>
      <c r="BN68" s="6" t="s">
        <v>83</v>
      </c>
      <c r="BO68" s="6" t="s">
        <v>1</v>
      </c>
      <c r="BP68" s="6"/>
      <c r="BQ68" s="6"/>
      <c r="BR68" s="6">
        <v>0.0</v>
      </c>
      <c r="BS68" s="6"/>
      <c r="BT68" s="6"/>
      <c r="BU68" s="6"/>
      <c r="BV68" s="6"/>
      <c r="BW68" s="6"/>
      <c r="BX68" s="6"/>
      <c r="BY68" s="6"/>
      <c r="BZ68" s="6"/>
    </row>
    <row r="69" ht="15.75" customHeight="1">
      <c r="A69" s="1" t="s">
        <v>163</v>
      </c>
      <c r="B69" s="7">
        <v>0.8878</v>
      </c>
      <c r="C69" s="8"/>
      <c r="D69" s="8"/>
      <c r="E69" s="9">
        <v>0.846829</v>
      </c>
      <c r="F69" s="9">
        <v>0.848781</v>
      </c>
      <c r="G69" s="9">
        <v>0.834146</v>
      </c>
      <c r="H69" s="9">
        <v>0.836097562</v>
      </c>
      <c r="I69" s="9">
        <v>0.829268277</v>
      </c>
      <c r="J69" s="9">
        <v>0.487805</v>
      </c>
      <c r="K69" s="9">
        <v>0.849756</v>
      </c>
      <c r="L69" s="9">
        <v>0.848781</v>
      </c>
      <c r="M69" s="9">
        <v>0.868293</v>
      </c>
      <c r="N69" s="9">
        <v>0.850731719</v>
      </c>
      <c r="O69" s="9">
        <v>0.848781</v>
      </c>
      <c r="P69" s="9">
        <v>0.839024</v>
      </c>
      <c r="Q69" s="9">
        <v>0.834146</v>
      </c>
      <c r="R69" s="9">
        <v>0.843902</v>
      </c>
      <c r="S69" s="9">
        <v>0.809756</v>
      </c>
      <c r="T69" s="9">
        <v>0.846829271</v>
      </c>
      <c r="U69" s="9">
        <v>0.848781</v>
      </c>
      <c r="V69" s="9">
        <v>0.809756</v>
      </c>
      <c r="W69" s="9">
        <v>0.829268</v>
      </c>
      <c r="X69" s="9">
        <v>0.829268</v>
      </c>
      <c r="Y69" s="9">
        <v>0.848781</v>
      </c>
      <c r="Z69" s="9">
        <v>0.846829</v>
      </c>
      <c r="AA69" s="9">
        <v>0.848781</v>
      </c>
      <c r="AB69" s="9">
        <v>0.848781</v>
      </c>
      <c r="AC69" s="9">
        <v>0.845853651</v>
      </c>
      <c r="AD69" s="9">
        <v>0.834146</v>
      </c>
      <c r="AE69" s="9">
        <v>0.829268</v>
      </c>
      <c r="AF69" s="9">
        <v>0.84000001</v>
      </c>
      <c r="AG69" s="9">
        <v>0.843902</v>
      </c>
      <c r="AH69" s="9">
        <v>0.82439</v>
      </c>
      <c r="AI69" s="9">
        <v>0.839024</v>
      </c>
      <c r="AJ69" s="9">
        <v>0.839024</v>
      </c>
      <c r="AK69" s="9">
        <v>0.843902</v>
      </c>
      <c r="AL69" s="9">
        <v>0.845854</v>
      </c>
      <c r="AM69" s="9">
        <v>0.848781</v>
      </c>
      <c r="AN69" s="9">
        <v>0.843902</v>
      </c>
      <c r="AO69" s="9">
        <v>0.835122</v>
      </c>
      <c r="AP69" s="9">
        <v>0.829268</v>
      </c>
      <c r="AQ69" s="9">
        <v>0.848781</v>
      </c>
      <c r="AR69" s="9">
        <v>0.846829283</v>
      </c>
      <c r="AS69" s="9">
        <v>0.848781</v>
      </c>
      <c r="AT69" s="9">
        <v>0.82439</v>
      </c>
      <c r="AU69" s="9">
        <v>0.84878</v>
      </c>
      <c r="AV69" s="9">
        <v>0.863415</v>
      </c>
      <c r="AW69" s="9">
        <v>0.834146</v>
      </c>
      <c r="AX69" s="9">
        <v>0.837073</v>
      </c>
      <c r="AY69" s="9">
        <v>0.848781</v>
      </c>
      <c r="AZ69" s="9">
        <v>0.848781</v>
      </c>
      <c r="BA69" s="9">
        <v>0.843902</v>
      </c>
      <c r="BB69" s="9">
        <v>0.843902</v>
      </c>
      <c r="BC69" s="9">
        <v>0.839024</v>
      </c>
      <c r="BD69" s="9">
        <v>0.850732</v>
      </c>
      <c r="BE69" s="9">
        <v>0.848781</v>
      </c>
      <c r="BF69" s="9">
        <v>0.843902</v>
      </c>
      <c r="BG69" s="9">
        <v>0.845854</v>
      </c>
      <c r="BH69" s="9">
        <v>0.843902</v>
      </c>
      <c r="BI69" s="9">
        <v>0.839024</v>
      </c>
      <c r="BJ69" s="6"/>
      <c r="BK69" s="6" t="str">
        <f t="shared" si="4"/>
        <v>PlottingTime</v>
      </c>
      <c r="BL69" s="11">
        <f t="shared" si="5"/>
        <v>-0.019507</v>
      </c>
      <c r="BM69" s="12" t="str">
        <f t="shared" si="6"/>
        <v>Group 3</v>
      </c>
      <c r="BN69" s="6" t="s">
        <v>83</v>
      </c>
      <c r="BO69" s="6" t="s">
        <v>1</v>
      </c>
      <c r="BP69" s="6"/>
      <c r="BQ69" s="6"/>
      <c r="BR69" s="6">
        <v>-0.019507000000000052</v>
      </c>
      <c r="BS69" s="6"/>
      <c r="BT69" s="6"/>
      <c r="BU69" s="6"/>
      <c r="BV69" s="6"/>
      <c r="BW69" s="6"/>
      <c r="BX69" s="6"/>
      <c r="BY69" s="6"/>
      <c r="BZ69" s="6"/>
    </row>
    <row r="70" ht="15.75" customHeight="1">
      <c r="A70" s="1" t="s">
        <v>164</v>
      </c>
      <c r="B70" s="7">
        <v>0.8763</v>
      </c>
      <c r="C70" s="8"/>
      <c r="D70" s="8"/>
      <c r="E70" s="9">
        <v>0.799313</v>
      </c>
      <c r="F70" s="9">
        <v>0.800687</v>
      </c>
      <c r="G70" s="9">
        <v>0.797251</v>
      </c>
      <c r="H70" s="9">
        <v>0.77594502</v>
      </c>
      <c r="I70" s="9">
        <v>0.786941588</v>
      </c>
      <c r="J70" s="9">
        <v>0.683849</v>
      </c>
      <c r="K70" s="9">
        <v>0.815808</v>
      </c>
      <c r="L70" s="9">
        <v>0.814433</v>
      </c>
      <c r="M70" s="9">
        <v>0.862543</v>
      </c>
      <c r="N70" s="9">
        <v>0.82474227</v>
      </c>
      <c r="O70" s="9">
        <v>0.831615</v>
      </c>
      <c r="P70" s="9">
        <v>0.848797</v>
      </c>
      <c r="Q70" s="9">
        <v>0.778007</v>
      </c>
      <c r="R70" s="9">
        <v>0.800687</v>
      </c>
      <c r="S70" s="9">
        <v>0.821306</v>
      </c>
      <c r="T70" s="9">
        <v>0.782130587</v>
      </c>
      <c r="U70" s="9">
        <v>0.800687</v>
      </c>
      <c r="V70" s="9">
        <v>0.814433</v>
      </c>
      <c r="W70" s="9">
        <v>0.828179</v>
      </c>
      <c r="X70" s="9">
        <v>0.828179</v>
      </c>
      <c r="Y70" s="9">
        <v>0.828179</v>
      </c>
      <c r="Z70" s="9">
        <v>0.821306</v>
      </c>
      <c r="AA70" s="9">
        <v>0.821306</v>
      </c>
      <c r="AB70" s="9">
        <v>0.821306</v>
      </c>
      <c r="AC70" s="9">
        <v>0.811683857</v>
      </c>
      <c r="AD70" s="9">
        <v>0.817869</v>
      </c>
      <c r="AE70" s="9">
        <v>0.793814</v>
      </c>
      <c r="AF70" s="9">
        <v>0.812371147</v>
      </c>
      <c r="AG70" s="9">
        <v>0.810997</v>
      </c>
      <c r="AH70" s="9">
        <v>0.793814</v>
      </c>
      <c r="AI70" s="9">
        <v>0.80756</v>
      </c>
      <c r="AJ70" s="9">
        <v>0.835052</v>
      </c>
      <c r="AK70" s="9">
        <v>0.821306</v>
      </c>
      <c r="AL70" s="9">
        <v>0.827491</v>
      </c>
      <c r="AM70" s="9">
        <v>0.838488</v>
      </c>
      <c r="AN70" s="9">
        <v>0.845361</v>
      </c>
      <c r="AO70" s="9">
        <v>0.812371</v>
      </c>
      <c r="AP70" s="9">
        <v>0.817869</v>
      </c>
      <c r="AQ70" s="9">
        <v>0.845361</v>
      </c>
      <c r="AR70" s="9">
        <v>0.778006876</v>
      </c>
      <c r="AS70" s="9">
        <v>0.797251</v>
      </c>
      <c r="AT70" s="9">
        <v>0.848797</v>
      </c>
      <c r="AU70" s="9">
        <v>0.852921</v>
      </c>
      <c r="AV70" s="9">
        <v>0.852234</v>
      </c>
      <c r="AW70" s="9">
        <v>0.848797</v>
      </c>
      <c r="AX70" s="9">
        <v>0.819931</v>
      </c>
      <c r="AY70" s="9">
        <v>0.852234</v>
      </c>
      <c r="AZ70" s="9">
        <v>0.862543</v>
      </c>
      <c r="BA70" s="9">
        <v>0.776632</v>
      </c>
      <c r="BB70" s="9">
        <v>0.797251</v>
      </c>
      <c r="BC70" s="9">
        <v>0.841924</v>
      </c>
      <c r="BD70" s="9">
        <v>0.819931</v>
      </c>
      <c r="BE70" s="9">
        <v>0.821306</v>
      </c>
      <c r="BF70" s="9">
        <v>0.80756</v>
      </c>
      <c r="BG70" s="9">
        <v>0.72646</v>
      </c>
      <c r="BH70" s="9">
        <v>0.683849</v>
      </c>
      <c r="BI70" s="9">
        <v>0.793814</v>
      </c>
      <c r="BJ70" s="6"/>
      <c r="BK70" s="6" t="str">
        <f t="shared" si="4"/>
        <v>PlottingTime</v>
      </c>
      <c r="BL70" s="11">
        <f t="shared" si="5"/>
        <v>-0.013757</v>
      </c>
      <c r="BM70" s="12" t="str">
        <f t="shared" si="6"/>
        <v>Group 3</v>
      </c>
      <c r="BN70" s="6" t="s">
        <v>83</v>
      </c>
      <c r="BO70" s="6" t="s">
        <v>1</v>
      </c>
      <c r="BP70" s="6"/>
      <c r="BQ70" s="6"/>
      <c r="BR70" s="6">
        <v>-0.01375700000000002</v>
      </c>
      <c r="BS70" s="6"/>
      <c r="BT70" s="6"/>
      <c r="BU70" s="6"/>
      <c r="BV70" s="6"/>
      <c r="BW70" s="6"/>
      <c r="BX70" s="6"/>
      <c r="BY70" s="6"/>
      <c r="BZ70" s="6"/>
    </row>
    <row r="71" ht="15.75" customHeight="1">
      <c r="A71" s="1" t="s">
        <v>165</v>
      </c>
      <c r="B71" s="7">
        <v>0.8244</v>
      </c>
      <c r="C71" s="8"/>
      <c r="D71" s="8"/>
      <c r="E71" s="9">
        <v>0.766829</v>
      </c>
      <c r="F71" s="9">
        <v>0.765854</v>
      </c>
      <c r="G71" s="9">
        <v>0.760976</v>
      </c>
      <c r="H71" s="9">
        <v>0.716097558</v>
      </c>
      <c r="I71" s="9">
        <v>0.67804879</v>
      </c>
      <c r="J71" s="9">
        <v>0.35122</v>
      </c>
      <c r="K71" s="9">
        <v>0.746341</v>
      </c>
      <c r="L71" s="9">
        <v>0.77561</v>
      </c>
      <c r="M71" s="9">
        <v>0.795122</v>
      </c>
      <c r="N71" s="9">
        <v>0.779512203</v>
      </c>
      <c r="O71" s="9">
        <v>0.795122</v>
      </c>
      <c r="P71" s="9">
        <v>0.8</v>
      </c>
      <c r="Q71" s="9">
        <v>0.760976</v>
      </c>
      <c r="R71" s="9">
        <v>0.756098</v>
      </c>
      <c r="S71" s="9">
        <v>0.765854</v>
      </c>
      <c r="T71" s="9">
        <v>0.776585352</v>
      </c>
      <c r="U71" s="9">
        <v>0.77561</v>
      </c>
      <c r="V71" s="9">
        <v>0.770732</v>
      </c>
      <c r="W71" s="9">
        <v>0.806829</v>
      </c>
      <c r="X71" s="9">
        <v>0.804878</v>
      </c>
      <c r="Y71" s="9">
        <v>0.804878</v>
      </c>
      <c r="Z71" s="9">
        <v>0.724878</v>
      </c>
      <c r="AA71" s="9">
        <v>0.678049</v>
      </c>
      <c r="AB71" s="9">
        <v>0.809756</v>
      </c>
      <c r="AC71" s="9">
        <v>0.743414629</v>
      </c>
      <c r="AD71" s="9">
        <v>0.770732</v>
      </c>
      <c r="AE71" s="9">
        <v>0.760976</v>
      </c>
      <c r="AF71" s="9">
        <v>0.698536587</v>
      </c>
      <c r="AG71" s="9">
        <v>0.678049</v>
      </c>
      <c r="AH71" s="9">
        <v>0.765854</v>
      </c>
      <c r="AI71" s="9">
        <v>0.741463</v>
      </c>
      <c r="AJ71" s="9">
        <v>0.765854</v>
      </c>
      <c r="AK71" s="9">
        <v>0.765854</v>
      </c>
      <c r="AL71" s="9">
        <v>0.764878</v>
      </c>
      <c r="AM71" s="9">
        <v>0.780488</v>
      </c>
      <c r="AN71" s="9">
        <v>0.780488</v>
      </c>
      <c r="AO71" s="9">
        <v>0.742439</v>
      </c>
      <c r="AP71" s="9">
        <v>0.765854</v>
      </c>
      <c r="AQ71" s="9">
        <v>0.77561</v>
      </c>
      <c r="AR71" s="9">
        <v>0.758048785</v>
      </c>
      <c r="AS71" s="9">
        <v>0.780488</v>
      </c>
      <c r="AT71" s="9">
        <v>0.770732</v>
      </c>
      <c r="AU71" s="9">
        <v>0.770732</v>
      </c>
      <c r="AV71" s="9">
        <v>0.760976</v>
      </c>
      <c r="AW71" s="9">
        <v>0.785366</v>
      </c>
      <c r="AX71" s="9">
        <v>0.789268</v>
      </c>
      <c r="AY71" s="9">
        <v>0.785366</v>
      </c>
      <c r="AZ71" s="9">
        <v>0.678049</v>
      </c>
      <c r="BA71" s="9">
        <v>0.747317</v>
      </c>
      <c r="BB71" s="9">
        <v>0.756098</v>
      </c>
      <c r="BC71" s="9">
        <v>0.77561</v>
      </c>
      <c r="BD71" s="9">
        <v>0.760976</v>
      </c>
      <c r="BE71" s="9">
        <v>0.790244</v>
      </c>
      <c r="BF71" s="9">
        <v>0.795122</v>
      </c>
      <c r="BG71" s="9">
        <v>0.799024</v>
      </c>
      <c r="BH71" s="9">
        <v>0.795122</v>
      </c>
      <c r="BI71" s="9">
        <v>0.804878</v>
      </c>
      <c r="BJ71" s="6"/>
      <c r="BK71" s="6" t="str">
        <f t="shared" si="4"/>
        <v>PlottingTime</v>
      </c>
      <c r="BL71" s="11">
        <f t="shared" si="5"/>
        <v>-0.014644</v>
      </c>
      <c r="BM71" s="12" t="str">
        <f t="shared" si="6"/>
        <v>Group 3</v>
      </c>
      <c r="BN71" s="6" t="s">
        <v>83</v>
      </c>
      <c r="BO71" s="6" t="s">
        <v>1</v>
      </c>
      <c r="BP71" s="6"/>
      <c r="BQ71" s="6"/>
      <c r="BR71" s="6">
        <v>-0.01464399999999999</v>
      </c>
      <c r="BS71" s="6"/>
      <c r="BT71" s="6"/>
      <c r="BU71" s="6"/>
      <c r="BV71" s="6"/>
      <c r="BW71" s="6"/>
      <c r="BX71" s="6"/>
      <c r="BY71" s="6"/>
      <c r="BZ71" s="6"/>
    </row>
    <row r="72" ht="15.75" customHeight="1">
      <c r="A72" s="1" t="s">
        <v>166</v>
      </c>
      <c r="B72" s="7">
        <v>0.6</v>
      </c>
      <c r="C72" s="8"/>
      <c r="D72" s="8"/>
      <c r="E72" s="9">
        <v>0.512</v>
      </c>
      <c r="F72" s="9">
        <v>0.48</v>
      </c>
      <c r="G72" s="9">
        <v>0.6</v>
      </c>
      <c r="H72" s="9">
        <v>0.444</v>
      </c>
      <c r="I72" s="9">
        <v>0.519999981</v>
      </c>
      <c r="J72" s="9">
        <v>0.12</v>
      </c>
      <c r="K72" s="9">
        <v>0.364</v>
      </c>
      <c r="L72" s="9">
        <v>0.5</v>
      </c>
      <c r="M72" s="9">
        <v>0.6</v>
      </c>
      <c r="N72" s="9">
        <v>0.555999994</v>
      </c>
      <c r="O72" s="9">
        <v>0.58</v>
      </c>
      <c r="P72" s="9">
        <v>0.54</v>
      </c>
      <c r="Q72" s="9">
        <v>0.388</v>
      </c>
      <c r="R72" s="9">
        <v>0.48</v>
      </c>
      <c r="S72" s="9">
        <v>0.64</v>
      </c>
      <c r="T72" s="9">
        <v>0.516000009</v>
      </c>
      <c r="U72" s="9">
        <v>0.54</v>
      </c>
      <c r="V72" s="9">
        <v>0.525333</v>
      </c>
      <c r="W72" s="9">
        <v>0.528</v>
      </c>
      <c r="X72" s="9">
        <v>0.54</v>
      </c>
      <c r="Y72" s="9">
        <v>0.56</v>
      </c>
      <c r="Z72" s="9">
        <v>0.46</v>
      </c>
      <c r="AA72" s="9">
        <v>0.58</v>
      </c>
      <c r="AB72" s="9">
        <v>0.58</v>
      </c>
      <c r="AC72" s="9">
        <v>0.572000009</v>
      </c>
      <c r="AD72" s="9">
        <v>0.62</v>
      </c>
      <c r="AE72" s="9">
        <v>0.68</v>
      </c>
      <c r="AF72" s="9">
        <v>0.548000002</v>
      </c>
      <c r="AG72" s="9">
        <v>0.54</v>
      </c>
      <c r="AH72" s="9">
        <v>0.6</v>
      </c>
      <c r="AI72" s="9">
        <v>0.596</v>
      </c>
      <c r="AJ72" s="9">
        <v>0.6</v>
      </c>
      <c r="AK72" s="9">
        <v>0.66</v>
      </c>
      <c r="AL72" s="9">
        <v>0.684</v>
      </c>
      <c r="AM72" s="9">
        <v>0.7</v>
      </c>
      <c r="AN72" s="9">
        <v>0.68</v>
      </c>
      <c r="AO72" s="9">
        <v>0.496</v>
      </c>
      <c r="AP72" s="9">
        <v>0.54</v>
      </c>
      <c r="AQ72" s="9">
        <v>0.64</v>
      </c>
      <c r="AR72" s="9">
        <v>0.504000008</v>
      </c>
      <c r="AS72" s="9">
        <v>0.54</v>
      </c>
      <c r="AT72" s="9">
        <v>0.62</v>
      </c>
      <c r="AU72" s="9">
        <v>0.584</v>
      </c>
      <c r="AV72" s="9">
        <v>0.6</v>
      </c>
      <c r="AW72" s="9">
        <v>0.66</v>
      </c>
      <c r="AX72" s="9">
        <v>0.42</v>
      </c>
      <c r="AY72" s="9">
        <v>0.52</v>
      </c>
      <c r="AZ72" s="9">
        <v>0.66</v>
      </c>
      <c r="BA72" s="9">
        <v>0.556</v>
      </c>
      <c r="BB72" s="9">
        <v>0.6</v>
      </c>
      <c r="BC72" s="9">
        <v>0.62</v>
      </c>
      <c r="BD72" s="9">
        <v>0.564</v>
      </c>
      <c r="BE72" s="9">
        <v>0.64</v>
      </c>
      <c r="BF72" s="9">
        <v>0.72</v>
      </c>
      <c r="BG72" s="9">
        <v>0.18</v>
      </c>
      <c r="BH72" s="9">
        <v>0.18</v>
      </c>
      <c r="BI72" s="9">
        <v>0.2</v>
      </c>
      <c r="BJ72" s="6"/>
      <c r="BK72" s="6" t="str">
        <f t="shared" si="4"/>
        <v>20V_One_Acc</v>
      </c>
      <c r="BL72" s="11">
        <f t="shared" si="5"/>
        <v>0.12</v>
      </c>
      <c r="BM72" s="12" t="str">
        <f t="shared" si="6"/>
        <v>Group 2</v>
      </c>
      <c r="BN72" s="6" t="s">
        <v>82</v>
      </c>
      <c r="BO72" s="6" t="s">
        <v>74</v>
      </c>
      <c r="BP72" s="6"/>
      <c r="BQ72" s="6">
        <v>0.12</v>
      </c>
      <c r="BR72" s="6"/>
      <c r="BS72" s="6"/>
      <c r="BT72" s="6"/>
      <c r="BU72" s="6"/>
      <c r="BV72" s="6"/>
      <c r="BW72" s="6"/>
      <c r="BX72" s="6"/>
      <c r="BY72" s="6"/>
      <c r="BZ72" s="6"/>
    </row>
    <row r="73" ht="15.75" customHeight="1">
      <c r="A73" s="1" t="s">
        <v>167</v>
      </c>
      <c r="B73" s="7">
        <v>0.608</v>
      </c>
      <c r="C73" s="8"/>
      <c r="D73" s="8"/>
      <c r="E73" s="9">
        <v>0.556267</v>
      </c>
      <c r="F73" s="9">
        <v>0.554667</v>
      </c>
      <c r="G73" s="9">
        <v>0.576</v>
      </c>
      <c r="H73" s="9">
        <v>0.522133327</v>
      </c>
      <c r="I73" s="9">
        <v>0.527999997</v>
      </c>
      <c r="J73" s="9">
        <v>0.333333</v>
      </c>
      <c r="K73" s="9">
        <v>0.4528</v>
      </c>
      <c r="L73" s="9">
        <v>0.450667</v>
      </c>
      <c r="M73" s="9">
        <v>0.469333</v>
      </c>
      <c r="N73" s="9">
        <v>0.433066666</v>
      </c>
      <c r="O73" s="9">
        <v>0.434667</v>
      </c>
      <c r="P73" s="9">
        <v>0.448</v>
      </c>
      <c r="Q73" s="9">
        <v>0.570133</v>
      </c>
      <c r="R73" s="9">
        <v>0.570667</v>
      </c>
      <c r="S73" s="9">
        <v>0.552</v>
      </c>
      <c r="T73" s="1" t="s">
        <v>85</v>
      </c>
      <c r="U73" s="1" t="s">
        <v>85</v>
      </c>
      <c r="V73" s="9">
        <v>0.7</v>
      </c>
      <c r="W73" s="9">
        <v>0.400533</v>
      </c>
      <c r="X73" s="9">
        <v>0.416</v>
      </c>
      <c r="Y73" s="9">
        <v>0.418667</v>
      </c>
      <c r="Z73" s="9">
        <v>0.436267</v>
      </c>
      <c r="AA73" s="9">
        <v>0.426667</v>
      </c>
      <c r="AB73" s="9">
        <v>0.448</v>
      </c>
      <c r="AC73" s="9">
        <v>0.577600002</v>
      </c>
      <c r="AD73" s="9">
        <v>0.573333</v>
      </c>
      <c r="AE73" s="9">
        <v>0.554667</v>
      </c>
      <c r="AF73" s="9">
        <v>0.589333332</v>
      </c>
      <c r="AG73" s="9">
        <v>0.589333</v>
      </c>
      <c r="AH73" s="9">
        <v>0.592</v>
      </c>
      <c r="AI73" s="9">
        <v>0.429333</v>
      </c>
      <c r="AJ73" s="9">
        <v>0.421333</v>
      </c>
      <c r="AK73" s="9">
        <v>0.48</v>
      </c>
      <c r="AL73" s="9">
        <v>0.463467</v>
      </c>
      <c r="AM73" s="9">
        <v>0.461333</v>
      </c>
      <c r="AN73" s="9">
        <v>0.453333</v>
      </c>
      <c r="AO73" s="9">
        <v>0.5616</v>
      </c>
      <c r="AP73" s="9">
        <v>0.56</v>
      </c>
      <c r="AQ73" s="9">
        <v>0.533333</v>
      </c>
      <c r="AR73" s="9">
        <v>0.545066679</v>
      </c>
      <c r="AS73" s="9">
        <v>0.538667</v>
      </c>
      <c r="AT73" s="9">
        <v>0.621333</v>
      </c>
      <c r="AU73" s="9">
        <v>0.444267</v>
      </c>
      <c r="AV73" s="9">
        <v>0.445333</v>
      </c>
      <c r="AW73" s="9">
        <v>0.456</v>
      </c>
      <c r="AX73" s="9">
        <v>0.476267</v>
      </c>
      <c r="AY73" s="9">
        <v>0.48</v>
      </c>
      <c r="AZ73" s="9">
        <v>0.461333</v>
      </c>
      <c r="BA73" s="9">
        <v>0.520533</v>
      </c>
      <c r="BB73" s="9">
        <v>0.525333</v>
      </c>
      <c r="BC73" s="9">
        <v>0.538667</v>
      </c>
      <c r="BD73" s="9">
        <v>0.464</v>
      </c>
      <c r="BE73" s="9">
        <v>0.469333</v>
      </c>
      <c r="BF73" s="9">
        <v>0.466667</v>
      </c>
      <c r="BG73" s="9">
        <v>0.389867</v>
      </c>
      <c r="BH73" s="9">
        <v>0.413333</v>
      </c>
      <c r="BI73" s="9">
        <v>0.434667</v>
      </c>
      <c r="BJ73" s="6"/>
      <c r="BK73" s="6" t="str">
        <f t="shared" si="4"/>
        <v>8BN_One_Acc</v>
      </c>
      <c r="BL73" s="11">
        <f t="shared" si="5"/>
        <v>0.092</v>
      </c>
      <c r="BM73" s="12" t="str">
        <f t="shared" si="6"/>
        <v>Group 3</v>
      </c>
      <c r="BN73" s="6" t="s">
        <v>83</v>
      </c>
      <c r="BO73" s="6" t="s">
        <v>38</v>
      </c>
      <c r="BP73" s="6"/>
      <c r="BQ73" s="6"/>
      <c r="BR73" s="6">
        <v>0.09199999999999997</v>
      </c>
      <c r="BS73" s="6"/>
      <c r="BT73" s="6"/>
      <c r="BU73" s="6"/>
      <c r="BV73" s="6"/>
      <c r="BW73" s="6"/>
      <c r="BX73" s="6"/>
      <c r="BY73" s="6"/>
      <c r="BZ73" s="6"/>
    </row>
    <row r="74" ht="15.75" customHeight="1">
      <c r="A74" s="1" t="s">
        <v>168</v>
      </c>
      <c r="B74" s="7">
        <v>0.9317</v>
      </c>
      <c r="C74" s="8"/>
      <c r="D74" s="8"/>
      <c r="E74" s="9">
        <v>0.811333</v>
      </c>
      <c r="F74" s="9">
        <v>0.8</v>
      </c>
      <c r="G74" s="9">
        <v>0.84</v>
      </c>
      <c r="H74" s="9">
        <v>0.715333331</v>
      </c>
      <c r="I74" s="9">
        <v>0.711666644</v>
      </c>
      <c r="J74" s="9">
        <v>0.35</v>
      </c>
      <c r="K74" s="9">
        <v>0.875</v>
      </c>
      <c r="L74" s="9">
        <v>0.873333</v>
      </c>
      <c r="M74" s="9">
        <v>0.896667</v>
      </c>
      <c r="N74" s="9">
        <v>0.876666665</v>
      </c>
      <c r="O74" s="9">
        <v>0.878333</v>
      </c>
      <c r="P74" s="9">
        <v>0.903333</v>
      </c>
      <c r="Q74" s="9">
        <v>0.852333</v>
      </c>
      <c r="R74" s="9">
        <v>0.85</v>
      </c>
      <c r="S74" s="9">
        <v>0.86</v>
      </c>
      <c r="T74" s="9">
        <v>0.849000001</v>
      </c>
      <c r="U74" s="9">
        <v>0.845</v>
      </c>
      <c r="V74" s="9">
        <v>0.858333</v>
      </c>
      <c r="W74" s="9">
        <v>0.903333</v>
      </c>
      <c r="X74" s="9">
        <v>0.913333</v>
      </c>
      <c r="Y74" s="9">
        <v>0.92</v>
      </c>
      <c r="Z74" s="9">
        <v>0.902667</v>
      </c>
      <c r="AA74" s="9">
        <v>0.901667</v>
      </c>
      <c r="AB74" s="9">
        <v>0.916667</v>
      </c>
      <c r="AC74" s="9">
        <v>0.842999995</v>
      </c>
      <c r="AD74" s="9">
        <v>0.843333</v>
      </c>
      <c r="AE74" s="9">
        <v>0.87</v>
      </c>
      <c r="AF74" s="9">
        <v>0.834000003</v>
      </c>
      <c r="AG74" s="9">
        <v>0.84</v>
      </c>
      <c r="AH74" s="9">
        <v>0.856667</v>
      </c>
      <c r="AI74" s="9">
        <v>0.899</v>
      </c>
      <c r="AJ74" s="9">
        <v>0.896667</v>
      </c>
      <c r="AK74" s="9">
        <v>0.913333</v>
      </c>
      <c r="AL74" s="9">
        <v>0.905333</v>
      </c>
      <c r="AM74" s="9">
        <v>0.903333</v>
      </c>
      <c r="AN74" s="9">
        <v>0.913333</v>
      </c>
      <c r="AO74" s="9">
        <v>0.841667</v>
      </c>
      <c r="AP74" s="9">
        <v>0.843333</v>
      </c>
      <c r="AQ74" s="9">
        <v>0.846667</v>
      </c>
      <c r="AR74" s="9">
        <v>0.843000007</v>
      </c>
      <c r="AS74" s="9">
        <v>0.85</v>
      </c>
      <c r="AT74" s="9">
        <v>0.856667</v>
      </c>
      <c r="AU74" s="9">
        <v>0.906</v>
      </c>
      <c r="AV74" s="9">
        <v>0.906667</v>
      </c>
      <c r="AW74" s="9">
        <v>0.906667</v>
      </c>
      <c r="AX74" s="9">
        <v>0.909</v>
      </c>
      <c r="AY74" s="9">
        <v>0.911667</v>
      </c>
      <c r="AZ74" s="9">
        <v>0.916667</v>
      </c>
      <c r="BA74" s="9">
        <v>0.853333</v>
      </c>
      <c r="BB74" s="9">
        <v>0.85</v>
      </c>
      <c r="BC74" s="9">
        <v>0.871667</v>
      </c>
      <c r="BD74" s="9">
        <v>0.912333</v>
      </c>
      <c r="BE74" s="9">
        <v>0.916667</v>
      </c>
      <c r="BF74" s="9">
        <v>0.926667</v>
      </c>
      <c r="BG74" s="9">
        <v>0.753333</v>
      </c>
      <c r="BH74" s="9">
        <v>0.841667</v>
      </c>
      <c r="BI74" s="9">
        <v>0.668333</v>
      </c>
      <c r="BJ74" s="6"/>
      <c r="BK74" s="6" t="str">
        <f t="shared" si="4"/>
        <v>PlottingTime</v>
      </c>
      <c r="BL74" s="11">
        <f t="shared" si="5"/>
        <v>-0.005033</v>
      </c>
      <c r="BM74" s="12" t="str">
        <f t="shared" si="6"/>
        <v>Group 3</v>
      </c>
      <c r="BN74" s="6" t="s">
        <v>83</v>
      </c>
      <c r="BO74" s="6" t="s">
        <v>1</v>
      </c>
      <c r="BP74" s="6"/>
      <c r="BQ74" s="6"/>
      <c r="BR74" s="6">
        <v>-0.005032999999999954</v>
      </c>
      <c r="BS74" s="6"/>
      <c r="BT74" s="6"/>
      <c r="BU74" s="6"/>
      <c r="BV74" s="6"/>
      <c r="BW74" s="6"/>
      <c r="BX74" s="6"/>
      <c r="BY74" s="6"/>
      <c r="BZ74" s="6"/>
    </row>
    <row r="75" ht="15.75" customHeight="1">
      <c r="A75" s="1" t="s">
        <v>169</v>
      </c>
      <c r="B75" s="7">
        <v>0.6867</v>
      </c>
      <c r="C75" s="8"/>
      <c r="D75" s="8"/>
      <c r="E75" s="9">
        <v>0.404444</v>
      </c>
      <c r="F75" s="9">
        <v>0.382222</v>
      </c>
      <c r="G75" s="9">
        <v>0.442222</v>
      </c>
      <c r="H75" s="9">
        <v>0.382222226</v>
      </c>
      <c r="I75" s="9">
        <v>0.395555556</v>
      </c>
      <c r="J75" s="9">
        <v>0.166667</v>
      </c>
      <c r="K75" s="9">
        <v>0.527111</v>
      </c>
      <c r="L75" s="9">
        <v>0.602222</v>
      </c>
      <c r="M75" s="9">
        <v>0.637778</v>
      </c>
      <c r="N75" s="9">
        <v>0.529777777</v>
      </c>
      <c r="O75" s="9">
        <v>0.582222</v>
      </c>
      <c r="P75" s="9">
        <v>0.515556</v>
      </c>
      <c r="Q75" s="9">
        <v>0.428</v>
      </c>
      <c r="R75" s="9">
        <v>0.431111</v>
      </c>
      <c r="S75" s="9">
        <v>0.466667</v>
      </c>
      <c r="T75" s="9">
        <v>0.362666667</v>
      </c>
      <c r="U75" s="9">
        <v>0.377778</v>
      </c>
      <c r="V75" s="9">
        <v>0.346667</v>
      </c>
      <c r="W75" s="9">
        <v>0.478222</v>
      </c>
      <c r="X75" s="9">
        <v>0.46</v>
      </c>
      <c r="Y75" s="9">
        <v>0.355556</v>
      </c>
      <c r="Z75" s="9">
        <v>0.438667</v>
      </c>
      <c r="AA75" s="9">
        <v>0.455556</v>
      </c>
      <c r="AB75" s="9">
        <v>0.286667</v>
      </c>
      <c r="AC75" s="9">
        <v>0.421333331</v>
      </c>
      <c r="AD75" s="9">
        <v>0.44</v>
      </c>
      <c r="AE75" s="9">
        <v>0.395556</v>
      </c>
      <c r="AF75" s="9">
        <v>0.380888891</v>
      </c>
      <c r="AG75" s="9">
        <v>0.44</v>
      </c>
      <c r="AH75" s="9">
        <v>0.373333</v>
      </c>
      <c r="AI75" s="9">
        <v>0.492444</v>
      </c>
      <c r="AJ75" s="9">
        <v>0.455556</v>
      </c>
      <c r="AK75" s="9">
        <v>0.362222</v>
      </c>
      <c r="AL75" s="9">
        <v>0.427111</v>
      </c>
      <c r="AM75" s="9">
        <v>0.424444</v>
      </c>
      <c r="AN75" s="9">
        <v>0.442222</v>
      </c>
      <c r="AO75" s="9">
        <v>0.409333</v>
      </c>
      <c r="AP75" s="9">
        <v>0.4</v>
      </c>
      <c r="AQ75" s="9">
        <v>0.504444</v>
      </c>
      <c r="AR75" s="9">
        <v>0.387999997</v>
      </c>
      <c r="AS75" s="9">
        <v>0.391111</v>
      </c>
      <c r="AT75" s="9">
        <v>0.351111</v>
      </c>
      <c r="AU75" s="9">
        <v>0.431556</v>
      </c>
      <c r="AV75" s="9">
        <v>0.357778</v>
      </c>
      <c r="AW75" s="9">
        <v>0.493333</v>
      </c>
      <c r="AX75" s="9">
        <v>0.473778</v>
      </c>
      <c r="AY75" s="9">
        <v>0.462222</v>
      </c>
      <c r="AZ75" s="9">
        <v>0.491111</v>
      </c>
      <c r="BA75" s="9">
        <v>0.366667</v>
      </c>
      <c r="BB75" s="9">
        <v>0.388889</v>
      </c>
      <c r="BC75" s="9">
        <v>0.264444</v>
      </c>
      <c r="BD75" s="9">
        <v>0.341778</v>
      </c>
      <c r="BE75" s="9">
        <v>0.322222</v>
      </c>
      <c r="BF75" s="9">
        <v>0.262222</v>
      </c>
      <c r="BG75" s="9">
        <v>0.452444</v>
      </c>
      <c r="BH75" s="9">
        <v>0.451111</v>
      </c>
      <c r="BI75" s="9">
        <v>0.433333</v>
      </c>
      <c r="BJ75" s="6"/>
      <c r="BK75" s="6" t="str">
        <f t="shared" si="4"/>
        <v>PlottingTime</v>
      </c>
      <c r="BL75" s="11">
        <f t="shared" si="5"/>
        <v>-0.048922</v>
      </c>
      <c r="BM75" s="12" t="str">
        <f t="shared" si="6"/>
        <v>Group 3</v>
      </c>
      <c r="BN75" s="6" t="s">
        <v>83</v>
      </c>
      <c r="BO75" s="6" t="s">
        <v>1</v>
      </c>
      <c r="BP75" s="6"/>
      <c r="BQ75" s="6"/>
      <c r="BR75" s="6">
        <v>-0.04892200000000002</v>
      </c>
      <c r="BS75" s="6"/>
      <c r="BT75" s="6"/>
      <c r="BU75" s="6"/>
      <c r="BV75" s="6"/>
      <c r="BW75" s="6"/>
      <c r="BX75" s="6"/>
      <c r="BY75" s="6"/>
      <c r="BZ75" s="6"/>
    </row>
    <row r="76" ht="15.75" customHeight="1">
      <c r="A76" s="1" t="s">
        <v>170</v>
      </c>
      <c r="B76" s="7">
        <v>0.8844</v>
      </c>
      <c r="C76" s="8"/>
      <c r="D76" s="8"/>
      <c r="E76" s="9">
        <v>0.709333</v>
      </c>
      <c r="F76" s="9">
        <v>0.704444</v>
      </c>
      <c r="G76" s="9">
        <v>0.737778</v>
      </c>
      <c r="H76" s="9">
        <v>0.676444447</v>
      </c>
      <c r="I76" s="9">
        <v>0.680000007</v>
      </c>
      <c r="J76" s="9">
        <v>0.2</v>
      </c>
      <c r="K76" s="9">
        <v>0.828</v>
      </c>
      <c r="L76" s="9">
        <v>0.833333</v>
      </c>
      <c r="M76" s="9">
        <v>0.846667</v>
      </c>
      <c r="N76" s="9">
        <v>0.794222224</v>
      </c>
      <c r="O76" s="9">
        <v>0.817778</v>
      </c>
      <c r="P76" s="9">
        <v>0.833333</v>
      </c>
      <c r="Q76" s="9">
        <v>0.748889</v>
      </c>
      <c r="R76" s="9">
        <v>0.753333</v>
      </c>
      <c r="S76" s="9">
        <v>0.793333</v>
      </c>
      <c r="T76" s="9">
        <v>0.757333314</v>
      </c>
      <c r="U76" s="9">
        <v>0.757778</v>
      </c>
      <c r="V76" s="9">
        <v>0.757778</v>
      </c>
      <c r="W76" s="9">
        <v>0.816889</v>
      </c>
      <c r="X76" s="9">
        <v>0.82</v>
      </c>
      <c r="Y76" s="9">
        <v>0.822222</v>
      </c>
      <c r="Z76" s="9">
        <v>0.831556</v>
      </c>
      <c r="AA76" s="9">
        <v>0.831111</v>
      </c>
      <c r="AB76" s="9">
        <v>0.815556</v>
      </c>
      <c r="AC76" s="9">
        <v>0.740444458</v>
      </c>
      <c r="AD76" s="9">
        <v>0.762222</v>
      </c>
      <c r="AE76" s="9">
        <v>0.773333</v>
      </c>
      <c r="AF76" s="9">
        <v>0.705333328</v>
      </c>
      <c r="AG76" s="9">
        <v>0.74</v>
      </c>
      <c r="AH76" s="9">
        <v>0.771111</v>
      </c>
      <c r="AI76" s="9">
        <v>0.826667</v>
      </c>
      <c r="AJ76" s="9">
        <v>0.824444</v>
      </c>
      <c r="AK76" s="9">
        <v>0.851111</v>
      </c>
      <c r="AL76" s="9">
        <v>0.830222</v>
      </c>
      <c r="AM76" s="9">
        <v>0.824444</v>
      </c>
      <c r="AN76" s="9">
        <v>0.784444</v>
      </c>
      <c r="AO76" s="9">
        <v>0.661778</v>
      </c>
      <c r="AP76" s="9">
        <v>0.74</v>
      </c>
      <c r="AQ76" s="9">
        <v>0.755556</v>
      </c>
      <c r="AR76" s="9">
        <v>0.757333338</v>
      </c>
      <c r="AS76" s="9">
        <v>0.76</v>
      </c>
      <c r="AT76" s="9">
        <v>0.684444</v>
      </c>
      <c r="AU76" s="9">
        <v>0.782222</v>
      </c>
      <c r="AV76" s="9">
        <v>0.813333</v>
      </c>
      <c r="AW76" s="9">
        <v>0.855556</v>
      </c>
      <c r="AX76" s="9">
        <v>0.816444</v>
      </c>
      <c r="AY76" s="9">
        <v>0.844444</v>
      </c>
      <c r="AZ76" s="9">
        <v>0.831111</v>
      </c>
      <c r="BA76" s="9">
        <v>0.724444</v>
      </c>
      <c r="BB76" s="9">
        <v>0.724444</v>
      </c>
      <c r="BC76" s="9">
        <v>0.735556</v>
      </c>
      <c r="BD76" s="9">
        <v>0.804</v>
      </c>
      <c r="BE76" s="9">
        <v>0.831111</v>
      </c>
      <c r="BF76" s="9">
        <v>0.824444</v>
      </c>
      <c r="BG76" s="9">
        <v>0.777333</v>
      </c>
      <c r="BH76" s="9">
        <v>0.784444</v>
      </c>
      <c r="BI76" s="9">
        <v>0.773333</v>
      </c>
      <c r="BJ76" s="6"/>
      <c r="BK76" s="6" t="str">
        <f t="shared" si="4"/>
        <v>PlottingTime</v>
      </c>
      <c r="BL76" s="11">
        <f t="shared" si="5"/>
        <v>-0.028844</v>
      </c>
      <c r="BM76" s="12" t="str">
        <f t="shared" si="6"/>
        <v>Group 3</v>
      </c>
      <c r="BN76" s="6" t="s">
        <v>83</v>
      </c>
      <c r="BO76" s="6" t="s">
        <v>1</v>
      </c>
      <c r="BP76" s="6"/>
      <c r="BQ76" s="6"/>
      <c r="BR76" s="6">
        <v>-0.02884399999999998</v>
      </c>
      <c r="BS76" s="6"/>
      <c r="BT76" s="6"/>
      <c r="BU76" s="6"/>
      <c r="BV76" s="6"/>
      <c r="BW76" s="6"/>
      <c r="BX76" s="6"/>
      <c r="BY76" s="6"/>
      <c r="BZ76" s="6"/>
    </row>
    <row r="77" ht="15.75" customHeight="1">
      <c r="A77" s="1" t="s">
        <v>171</v>
      </c>
      <c r="B77" s="7">
        <v>0.8333</v>
      </c>
      <c r="C77" s="8"/>
      <c r="D77" s="8"/>
      <c r="E77" s="9">
        <v>0.498889</v>
      </c>
      <c r="F77" s="9">
        <v>0.5</v>
      </c>
      <c r="G77" s="9">
        <v>0.505556</v>
      </c>
      <c r="H77" s="9">
        <v>0.506666672</v>
      </c>
      <c r="I77" s="9">
        <v>0.5</v>
      </c>
      <c r="J77" s="9">
        <v>0.5</v>
      </c>
      <c r="K77" s="9">
        <v>0.515556</v>
      </c>
      <c r="L77" s="9">
        <v>0.5</v>
      </c>
      <c r="M77" s="9">
        <v>0.511111</v>
      </c>
      <c r="N77" s="9">
        <v>0.510000002</v>
      </c>
      <c r="O77" s="9">
        <v>0.5</v>
      </c>
      <c r="P77" s="9">
        <v>0.5</v>
      </c>
      <c r="Q77" s="9">
        <v>0.504444</v>
      </c>
      <c r="R77" s="9">
        <v>0.5</v>
      </c>
      <c r="S77" s="9">
        <v>0.533333</v>
      </c>
      <c r="T77" s="9">
        <v>0.536666667</v>
      </c>
      <c r="U77" s="9">
        <v>0.538889</v>
      </c>
      <c r="V77" s="9">
        <v>0.544444</v>
      </c>
      <c r="W77" s="9">
        <v>0.511111</v>
      </c>
      <c r="X77" s="9">
        <v>0.505556</v>
      </c>
      <c r="Y77" s="9">
        <v>0.522222</v>
      </c>
      <c r="Z77" s="9">
        <v>0.51</v>
      </c>
      <c r="AA77" s="9">
        <v>0.5</v>
      </c>
      <c r="AB77" s="9">
        <v>0.5</v>
      </c>
      <c r="AC77" s="9">
        <v>0.507777774</v>
      </c>
      <c r="AD77" s="9">
        <v>0.5</v>
      </c>
      <c r="AE77" s="9">
        <v>0.494444</v>
      </c>
      <c r="AF77" s="9">
        <v>0.510000002</v>
      </c>
      <c r="AG77" s="9">
        <v>0.5</v>
      </c>
      <c r="AH77" s="9">
        <v>0.577778</v>
      </c>
      <c r="AI77" s="9">
        <v>0.505556</v>
      </c>
      <c r="AJ77" s="9">
        <v>0.5</v>
      </c>
      <c r="AK77" s="9">
        <v>0.511111</v>
      </c>
      <c r="AL77" s="9">
        <v>0.49</v>
      </c>
      <c r="AM77" s="9">
        <v>0.5</v>
      </c>
      <c r="AN77" s="9">
        <v>0.527778</v>
      </c>
      <c r="AO77" s="9">
        <v>0.505556</v>
      </c>
      <c r="AP77" s="9">
        <v>0.5</v>
      </c>
      <c r="AQ77" s="9">
        <v>0.5</v>
      </c>
      <c r="AR77" s="9">
        <v>0.508888894</v>
      </c>
      <c r="AS77" s="9">
        <v>0.5</v>
      </c>
      <c r="AT77" s="9">
        <v>0.5</v>
      </c>
      <c r="AU77" s="9">
        <v>0.485556</v>
      </c>
      <c r="AV77" s="9">
        <v>0.483333</v>
      </c>
      <c r="AW77" s="9">
        <v>0.466667</v>
      </c>
      <c r="AX77" s="9">
        <v>0.491111</v>
      </c>
      <c r="AY77" s="9">
        <v>0.5</v>
      </c>
      <c r="AZ77" s="9">
        <v>0.477778</v>
      </c>
      <c r="BA77" s="9">
        <v>0.513333</v>
      </c>
      <c r="BB77" s="9">
        <v>0.5</v>
      </c>
      <c r="BC77" s="9">
        <v>0.544444</v>
      </c>
      <c r="BD77" s="9">
        <v>0.516667</v>
      </c>
      <c r="BE77" s="9">
        <v>0.516667</v>
      </c>
      <c r="BF77" s="9">
        <v>0.5</v>
      </c>
      <c r="BG77" s="9">
        <v>0.496667</v>
      </c>
      <c r="BH77" s="9">
        <v>0.5</v>
      </c>
      <c r="BI77" s="9">
        <v>0.477778</v>
      </c>
      <c r="BJ77" s="6"/>
      <c r="BK77" s="6" t="str">
        <f t="shared" si="4"/>
        <v>PlottingTime</v>
      </c>
      <c r="BL77" s="11">
        <f t="shared" si="5"/>
        <v>-0.255522</v>
      </c>
      <c r="BM77" s="12" t="str">
        <f t="shared" si="6"/>
        <v>Group 1</v>
      </c>
      <c r="BN77" s="6" t="s">
        <v>81</v>
      </c>
      <c r="BO77" s="6" t="s">
        <v>1</v>
      </c>
      <c r="BP77" s="6">
        <v>-0.255522</v>
      </c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ht="15.75" customHeight="1">
      <c r="A78" s="1" t="s">
        <v>172</v>
      </c>
      <c r="B78" s="7">
        <v>0.75</v>
      </c>
      <c r="C78" s="8"/>
      <c r="D78" s="8"/>
      <c r="E78" s="9">
        <v>0.357</v>
      </c>
      <c r="F78" s="9">
        <v>0.37</v>
      </c>
      <c r="G78" s="9">
        <v>0.165</v>
      </c>
      <c r="H78" s="9">
        <v>0.268666664</v>
      </c>
      <c r="I78" s="9">
        <v>0.280000001</v>
      </c>
      <c r="J78" s="9">
        <v>0.016667</v>
      </c>
      <c r="K78" s="9">
        <v>0.457667</v>
      </c>
      <c r="L78" s="9">
        <v>0.468333</v>
      </c>
      <c r="M78" s="9">
        <v>0.405</v>
      </c>
      <c r="N78" s="9">
        <v>0.293999997</v>
      </c>
      <c r="O78" s="9">
        <v>0.308333</v>
      </c>
      <c r="P78" s="9">
        <v>0.26</v>
      </c>
      <c r="Q78" s="9">
        <v>0.403</v>
      </c>
      <c r="R78" s="9">
        <v>0.455</v>
      </c>
      <c r="S78" s="9">
        <v>0.4</v>
      </c>
      <c r="T78" s="9">
        <v>0.451333332</v>
      </c>
      <c r="U78" s="9">
        <v>0.416667</v>
      </c>
      <c r="V78" s="9">
        <v>0.35</v>
      </c>
      <c r="W78" s="9">
        <v>0.376667</v>
      </c>
      <c r="X78" s="9">
        <v>0.35</v>
      </c>
      <c r="Y78" s="9">
        <v>0.47</v>
      </c>
      <c r="Z78" s="9">
        <v>0.304333</v>
      </c>
      <c r="AA78" s="9">
        <v>0.273333</v>
      </c>
      <c r="AB78" s="9">
        <v>0.326667</v>
      </c>
      <c r="AC78" s="9">
        <v>0.380666667</v>
      </c>
      <c r="AD78" s="9">
        <v>0.38</v>
      </c>
      <c r="AE78" s="9">
        <v>0.618333</v>
      </c>
      <c r="AF78" s="9">
        <v>0.390999997</v>
      </c>
      <c r="AG78" s="9">
        <v>0.371667</v>
      </c>
      <c r="AH78" s="9">
        <v>0.62</v>
      </c>
      <c r="AI78" s="9">
        <v>0.351667</v>
      </c>
      <c r="AJ78" s="9">
        <v>0.346667</v>
      </c>
      <c r="AK78" s="9">
        <v>0.236667</v>
      </c>
      <c r="AL78" s="9">
        <v>0.331667</v>
      </c>
      <c r="AM78" s="9">
        <v>0.328333</v>
      </c>
      <c r="AN78" s="9">
        <v>0.465</v>
      </c>
      <c r="AO78" s="9">
        <v>0.384333</v>
      </c>
      <c r="AP78" s="9">
        <v>0.336667</v>
      </c>
      <c r="AQ78" s="9">
        <v>0.395</v>
      </c>
      <c r="AR78" s="9">
        <v>0.437333333</v>
      </c>
      <c r="AS78" s="9">
        <v>0.456667</v>
      </c>
      <c r="AT78" s="9">
        <v>0.411667</v>
      </c>
      <c r="AU78" s="9">
        <v>0.312667</v>
      </c>
      <c r="AV78" s="9">
        <v>0.356667</v>
      </c>
      <c r="AW78" s="9">
        <v>0.38</v>
      </c>
      <c r="AX78" s="9">
        <v>0.433667</v>
      </c>
      <c r="AY78" s="9">
        <v>0.416667</v>
      </c>
      <c r="AZ78" s="9">
        <v>0.463333</v>
      </c>
      <c r="BA78" s="9">
        <v>0.478667</v>
      </c>
      <c r="BB78" s="9">
        <v>0.466667</v>
      </c>
      <c r="BC78" s="9">
        <v>0.41</v>
      </c>
      <c r="BD78" s="9">
        <v>0.334667</v>
      </c>
      <c r="BE78" s="9">
        <v>0.46</v>
      </c>
      <c r="BF78" s="9">
        <v>0.381667</v>
      </c>
      <c r="BG78" s="9">
        <v>0.270667</v>
      </c>
      <c r="BH78" s="9">
        <v>0.285</v>
      </c>
      <c r="BI78" s="9">
        <v>0.31</v>
      </c>
      <c r="BJ78" s="6"/>
      <c r="BK78" s="6" t="str">
        <f t="shared" si="4"/>
        <v>PlottingTime</v>
      </c>
      <c r="BL78" s="11">
        <f t="shared" si="5"/>
        <v>-0.13</v>
      </c>
      <c r="BM78" s="12" t="str">
        <f t="shared" si="6"/>
        <v>Group 1</v>
      </c>
      <c r="BN78" s="6" t="s">
        <v>81</v>
      </c>
      <c r="BO78" s="6" t="s">
        <v>1</v>
      </c>
      <c r="BP78" s="6">
        <v>-0.13</v>
      </c>
      <c r="BQ78" s="6"/>
      <c r="BR78" s="6"/>
      <c r="BS78" s="6"/>
      <c r="BT78" s="6"/>
      <c r="BU78" s="6"/>
      <c r="BV78" s="6"/>
      <c r="BW78" s="6"/>
      <c r="BX78" s="6"/>
      <c r="BY78" s="6"/>
      <c r="BZ78" s="6"/>
    </row>
    <row r="79" ht="15.75" customHeight="1">
      <c r="A79" s="1" t="s">
        <v>173</v>
      </c>
      <c r="B79" s="7">
        <v>0.816</v>
      </c>
      <c r="C79" s="8"/>
      <c r="D79" s="8"/>
      <c r="E79" s="9">
        <v>0.569067</v>
      </c>
      <c r="F79" s="9">
        <v>0.602667</v>
      </c>
      <c r="G79" s="9">
        <v>0.629333</v>
      </c>
      <c r="H79" s="9">
        <v>0.436800003</v>
      </c>
      <c r="I79" s="9">
        <v>0.437333345</v>
      </c>
      <c r="J79" s="9">
        <v>0.333333</v>
      </c>
      <c r="K79" s="9">
        <v>0.786667</v>
      </c>
      <c r="L79" s="9">
        <v>0.786667</v>
      </c>
      <c r="M79" s="9">
        <v>0.752</v>
      </c>
      <c r="N79" s="9">
        <v>0.771733344</v>
      </c>
      <c r="O79" s="9">
        <v>0.773333</v>
      </c>
      <c r="P79" s="9">
        <v>0.754667</v>
      </c>
      <c r="Q79" s="9">
        <v>0.621333</v>
      </c>
      <c r="R79" s="9">
        <v>0.653333</v>
      </c>
      <c r="S79" s="9">
        <v>0.52</v>
      </c>
      <c r="T79" s="9">
        <v>0.565866667</v>
      </c>
      <c r="U79" s="9">
        <v>0.565333</v>
      </c>
      <c r="V79" s="9">
        <v>0.442667</v>
      </c>
      <c r="W79" s="9">
        <v>0.818667</v>
      </c>
      <c r="X79" s="9">
        <v>0.818667</v>
      </c>
      <c r="Y79" s="9">
        <v>0.805333</v>
      </c>
      <c r="Z79" s="9">
        <v>0.794133</v>
      </c>
      <c r="AA79" s="9">
        <v>0.792</v>
      </c>
      <c r="AB79" s="9">
        <v>0.797333</v>
      </c>
      <c r="AC79" s="9">
        <v>0.588266665</v>
      </c>
      <c r="AD79" s="9">
        <v>0.634667</v>
      </c>
      <c r="AE79" s="9">
        <v>0.624</v>
      </c>
      <c r="AF79" s="9">
        <v>0.614933336</v>
      </c>
      <c r="AG79" s="9">
        <v>0.645333</v>
      </c>
      <c r="AH79" s="9">
        <v>0.64</v>
      </c>
      <c r="AI79" s="9">
        <v>0.798933</v>
      </c>
      <c r="AJ79" s="9">
        <v>0.805333</v>
      </c>
      <c r="AK79" s="9">
        <v>0.792</v>
      </c>
      <c r="AL79" s="9">
        <v>0.802667</v>
      </c>
      <c r="AM79" s="9">
        <v>0.802667</v>
      </c>
      <c r="AN79" s="9">
        <v>0.789333</v>
      </c>
      <c r="AO79" s="9">
        <v>0.589333</v>
      </c>
      <c r="AP79" s="9">
        <v>0.602667</v>
      </c>
      <c r="AQ79" s="9">
        <v>0.616</v>
      </c>
      <c r="AR79" s="9">
        <v>0.581333333</v>
      </c>
      <c r="AS79" s="9">
        <v>0.618667</v>
      </c>
      <c r="AT79" s="9">
        <v>0.632</v>
      </c>
      <c r="AU79" s="9">
        <v>0.7936</v>
      </c>
      <c r="AV79" s="9">
        <v>0.792</v>
      </c>
      <c r="AW79" s="9">
        <v>0.781333</v>
      </c>
      <c r="AX79" s="9">
        <v>0.787733</v>
      </c>
      <c r="AY79" s="9">
        <v>0.784</v>
      </c>
      <c r="AZ79" s="9">
        <v>0.768</v>
      </c>
      <c r="BA79" s="9">
        <v>0.4336</v>
      </c>
      <c r="BB79" s="9">
        <v>0.413333</v>
      </c>
      <c r="BC79" s="9">
        <v>0.664</v>
      </c>
      <c r="BD79" s="9">
        <v>0.772267</v>
      </c>
      <c r="BE79" s="9">
        <v>0.773333</v>
      </c>
      <c r="BF79" s="9">
        <v>0.786667</v>
      </c>
      <c r="BG79" s="9">
        <v>0.5376</v>
      </c>
      <c r="BH79" s="9">
        <v>0.528</v>
      </c>
      <c r="BI79" s="9">
        <v>0.52</v>
      </c>
      <c r="BJ79" s="6"/>
      <c r="BK79" s="6" t="str">
        <f t="shared" si="4"/>
        <v>8V_Fold_Mean</v>
      </c>
      <c r="BL79" s="11">
        <f t="shared" si="5"/>
        <v>0.002667</v>
      </c>
      <c r="BM79" s="12" t="str">
        <f t="shared" si="6"/>
        <v>Group 3</v>
      </c>
      <c r="BN79" s="6" t="s">
        <v>83</v>
      </c>
      <c r="BO79" s="6" t="s">
        <v>39</v>
      </c>
      <c r="BP79" s="6"/>
      <c r="BQ79" s="6"/>
      <c r="BR79" s="6">
        <v>0.002667000000000086</v>
      </c>
      <c r="BS79" s="6"/>
      <c r="BT79" s="6"/>
      <c r="BU79" s="6"/>
      <c r="BV79" s="6"/>
      <c r="BW79" s="6"/>
      <c r="BX79" s="6"/>
      <c r="BY79" s="6"/>
      <c r="BZ79" s="6"/>
    </row>
    <row r="80" ht="15.75" customHeight="1">
      <c r="A80" s="1" t="s">
        <v>174</v>
      </c>
      <c r="B80" s="7">
        <v>1.0</v>
      </c>
      <c r="C80" s="8"/>
      <c r="D80" s="8"/>
      <c r="E80" s="9">
        <v>0.953333</v>
      </c>
      <c r="F80" s="9">
        <v>0.953333</v>
      </c>
      <c r="G80" s="9">
        <v>0.96</v>
      </c>
      <c r="H80" s="9">
        <v>0.963999999</v>
      </c>
      <c r="I80" s="9">
        <v>0.959999979</v>
      </c>
      <c r="J80" s="9">
        <v>0.34</v>
      </c>
      <c r="K80" s="9">
        <v>0.902667</v>
      </c>
      <c r="L80" s="9">
        <v>0.906667</v>
      </c>
      <c r="M80" s="9">
        <v>0.906667</v>
      </c>
      <c r="N80" s="9">
        <v>0.930666673</v>
      </c>
      <c r="O80" s="9">
        <v>0.933333</v>
      </c>
      <c r="P80" s="9">
        <v>0.946667</v>
      </c>
      <c r="Q80" s="9">
        <v>0.928</v>
      </c>
      <c r="R80" s="9">
        <v>0.926667</v>
      </c>
      <c r="S80" s="9">
        <v>0.926667</v>
      </c>
      <c r="T80" s="9">
        <v>0.925333321</v>
      </c>
      <c r="U80" s="9">
        <v>0.94</v>
      </c>
      <c r="V80" s="9">
        <v>0.933333</v>
      </c>
      <c r="W80" s="9">
        <v>0.338667</v>
      </c>
      <c r="X80" s="9">
        <v>0.333333</v>
      </c>
      <c r="Y80" s="9">
        <v>0.34</v>
      </c>
      <c r="Z80" s="9">
        <v>0.930667</v>
      </c>
      <c r="AA80" s="9">
        <v>0.92</v>
      </c>
      <c r="AB80" s="9">
        <v>0.946667</v>
      </c>
      <c r="AC80" s="9">
        <v>0.918666673</v>
      </c>
      <c r="AD80" s="9">
        <v>0.92</v>
      </c>
      <c r="AE80" s="9">
        <v>0.92</v>
      </c>
      <c r="AF80" s="9">
        <v>0.917333353</v>
      </c>
      <c r="AG80" s="9">
        <v>0.913333</v>
      </c>
      <c r="AH80" s="9">
        <v>0.94</v>
      </c>
      <c r="AI80" s="9">
        <v>0.344</v>
      </c>
      <c r="AJ80" s="9">
        <v>0.333333</v>
      </c>
      <c r="AK80" s="9">
        <v>0.42</v>
      </c>
      <c r="AL80" s="9">
        <v>0.92</v>
      </c>
      <c r="AM80" s="9">
        <v>0.92</v>
      </c>
      <c r="AN80" s="9">
        <v>0.966667</v>
      </c>
      <c r="AO80" s="9">
        <v>0.872</v>
      </c>
      <c r="AP80" s="9">
        <v>0.926667</v>
      </c>
      <c r="AQ80" s="9">
        <v>0.933333</v>
      </c>
      <c r="AR80" s="9">
        <v>0.920000017</v>
      </c>
      <c r="AS80" s="9">
        <v>0.92</v>
      </c>
      <c r="AT80" s="9">
        <v>0.933333</v>
      </c>
      <c r="AU80" s="9">
        <v>0.358667</v>
      </c>
      <c r="AV80" s="9">
        <v>0.333333</v>
      </c>
      <c r="AW80" s="9">
        <v>0.373333</v>
      </c>
      <c r="AX80" s="9">
        <v>0.933333</v>
      </c>
      <c r="AY80" s="9">
        <v>0.94</v>
      </c>
      <c r="AZ80" s="9">
        <v>0.94</v>
      </c>
      <c r="BA80" s="9">
        <v>0.712</v>
      </c>
      <c r="BB80" s="9">
        <v>0.726667</v>
      </c>
      <c r="BC80" s="9">
        <v>0.706667</v>
      </c>
      <c r="BD80" s="9">
        <v>0.808</v>
      </c>
      <c r="BE80" s="9">
        <v>0.813333</v>
      </c>
      <c r="BF80" s="9">
        <v>0.826667</v>
      </c>
      <c r="BG80" s="9">
        <v>0.892</v>
      </c>
      <c r="BH80" s="9">
        <v>0.9</v>
      </c>
      <c r="BI80" s="9">
        <v>0.92</v>
      </c>
      <c r="BJ80" s="6"/>
      <c r="BK80" s="6" t="str">
        <f t="shared" si="4"/>
        <v>PlottingTime</v>
      </c>
      <c r="BL80" s="11">
        <f t="shared" si="5"/>
        <v>-0.033333</v>
      </c>
      <c r="BM80" s="12" t="str">
        <f t="shared" si="6"/>
        <v>Group 3</v>
      </c>
      <c r="BN80" s="6" t="s">
        <v>83</v>
      </c>
      <c r="BO80" s="6" t="s">
        <v>1</v>
      </c>
      <c r="BP80" s="6"/>
      <c r="BQ80" s="6"/>
      <c r="BR80" s="6">
        <v>-0.033332999999999946</v>
      </c>
      <c r="BS80" s="6"/>
      <c r="BT80" s="6"/>
      <c r="BU80" s="6"/>
      <c r="BV80" s="6"/>
      <c r="BW80" s="6"/>
      <c r="BX80" s="6"/>
      <c r="BY80" s="6"/>
      <c r="BZ80" s="6"/>
    </row>
    <row r="81" ht="15.75" customHeight="1">
      <c r="A81" s="1" t="s">
        <v>175</v>
      </c>
      <c r="B81" s="7">
        <v>0.8752</v>
      </c>
      <c r="C81" s="8"/>
      <c r="D81" s="8"/>
      <c r="E81" s="9">
        <v>0.499834</v>
      </c>
      <c r="F81" s="9">
        <v>0.494176</v>
      </c>
      <c r="G81" s="9">
        <v>0.557404</v>
      </c>
      <c r="H81" s="9">
        <v>0.550748742</v>
      </c>
      <c r="I81" s="9">
        <v>0.555740416</v>
      </c>
      <c r="J81" s="9">
        <v>0.570715</v>
      </c>
      <c r="K81" s="9">
        <v>0.49218</v>
      </c>
      <c r="L81" s="9">
        <v>0.429285</v>
      </c>
      <c r="M81" s="9">
        <v>0.607321</v>
      </c>
      <c r="N81" s="9">
        <v>0.501497495</v>
      </c>
      <c r="O81" s="9">
        <v>0.429285</v>
      </c>
      <c r="P81" s="9">
        <v>0.627288</v>
      </c>
      <c r="Q81" s="9">
        <v>0.520799</v>
      </c>
      <c r="R81" s="9">
        <v>0.464226</v>
      </c>
      <c r="S81" s="9">
        <v>0.673877</v>
      </c>
      <c r="T81" s="9">
        <v>0.555740428</v>
      </c>
      <c r="U81" s="9">
        <v>0.570715</v>
      </c>
      <c r="V81" s="9">
        <v>0.65391</v>
      </c>
      <c r="W81" s="9">
        <v>0.485524</v>
      </c>
      <c r="X81" s="9">
        <v>0.429285</v>
      </c>
      <c r="Y81" s="9">
        <v>0.524126</v>
      </c>
      <c r="Z81" s="9">
        <v>0.479867</v>
      </c>
      <c r="AA81" s="9">
        <v>0.487521</v>
      </c>
      <c r="AB81" s="9">
        <v>0.550749</v>
      </c>
      <c r="AC81" s="9">
        <v>0.490515798</v>
      </c>
      <c r="AD81" s="9">
        <v>0.454243</v>
      </c>
      <c r="AE81" s="9">
        <v>0.580699</v>
      </c>
      <c r="AF81" s="9">
        <v>0.467886853</v>
      </c>
      <c r="AG81" s="9">
        <v>0.442596</v>
      </c>
      <c r="AH81" s="9">
        <v>0.552413</v>
      </c>
      <c r="AI81" s="9">
        <v>0.500499</v>
      </c>
      <c r="AJ81" s="9">
        <v>0.429285</v>
      </c>
      <c r="AK81" s="9">
        <v>0.552413</v>
      </c>
      <c r="AL81" s="9">
        <v>0.479201</v>
      </c>
      <c r="AM81" s="9">
        <v>0.462562</v>
      </c>
      <c r="AN81" s="9">
        <v>0.580699</v>
      </c>
      <c r="AO81" s="9">
        <v>0.466556</v>
      </c>
      <c r="AP81" s="9">
        <v>0.487521</v>
      </c>
      <c r="AQ81" s="9">
        <v>0.603993</v>
      </c>
      <c r="AR81" s="9">
        <v>0.508485842</v>
      </c>
      <c r="AS81" s="9">
        <v>0.459235</v>
      </c>
      <c r="AT81" s="9">
        <v>0.499168</v>
      </c>
      <c r="AU81" s="9">
        <v>0.609983</v>
      </c>
      <c r="AV81" s="9">
        <v>0.638935</v>
      </c>
      <c r="AW81" s="9">
        <v>0.630616</v>
      </c>
      <c r="AX81" s="9">
        <v>0.531448</v>
      </c>
      <c r="AY81" s="9">
        <v>0.497504</v>
      </c>
      <c r="AZ81" s="9">
        <v>0.677205</v>
      </c>
      <c r="BA81" s="9">
        <v>0.506822</v>
      </c>
      <c r="BB81" s="9">
        <v>0.459235</v>
      </c>
      <c r="BC81" s="9">
        <v>0.49584</v>
      </c>
      <c r="BD81" s="9">
        <v>0.5401</v>
      </c>
      <c r="BE81" s="9">
        <v>0.434276</v>
      </c>
      <c r="BF81" s="9">
        <v>0.667221</v>
      </c>
      <c r="BG81" s="9">
        <v>0.673544</v>
      </c>
      <c r="BH81" s="9">
        <v>0.727121</v>
      </c>
      <c r="BI81" s="9">
        <v>0.742096</v>
      </c>
      <c r="BJ81" s="6"/>
      <c r="BK81" s="6" t="str">
        <f t="shared" si="4"/>
        <v>PlottingTime</v>
      </c>
      <c r="BL81" s="11">
        <f t="shared" si="5"/>
        <v>-0.133104</v>
      </c>
      <c r="BM81" s="12" t="str">
        <f t="shared" si="6"/>
        <v>Group 1</v>
      </c>
      <c r="BN81" s="6" t="s">
        <v>81</v>
      </c>
      <c r="BO81" s="6" t="s">
        <v>1</v>
      </c>
      <c r="BP81" s="6">
        <v>-0.133104</v>
      </c>
      <c r="BQ81" s="6"/>
      <c r="BR81" s="6"/>
      <c r="BS81" s="6"/>
      <c r="BT81" s="6"/>
      <c r="BU81" s="6"/>
      <c r="BV81" s="6"/>
      <c r="BW81" s="6"/>
      <c r="BX81" s="6"/>
      <c r="BY81" s="6"/>
      <c r="BZ81" s="6"/>
    </row>
    <row r="82" ht="15.75" customHeight="1">
      <c r="A82" s="1" t="s">
        <v>176</v>
      </c>
      <c r="B82" s="7">
        <v>0.7891</v>
      </c>
      <c r="C82" s="8"/>
      <c r="D82" s="8"/>
      <c r="E82" s="9">
        <v>0.709969</v>
      </c>
      <c r="F82" s="9">
        <v>0.735572</v>
      </c>
      <c r="G82" s="9">
        <v>0.743966</v>
      </c>
      <c r="H82" s="9">
        <v>0.724029398</v>
      </c>
      <c r="I82" s="9">
        <v>0.731374621</v>
      </c>
      <c r="J82" s="9">
        <v>0.616999</v>
      </c>
      <c r="K82" s="9">
        <v>0.745016</v>
      </c>
      <c r="L82" s="9">
        <v>0.758657</v>
      </c>
      <c r="M82" s="9">
        <v>0.766002</v>
      </c>
      <c r="N82" s="9">
        <v>0.732214069</v>
      </c>
      <c r="O82" s="9">
        <v>0.759706</v>
      </c>
      <c r="P82" s="9">
        <v>0.767051</v>
      </c>
      <c r="Q82" s="9">
        <v>0.779853</v>
      </c>
      <c r="R82" s="9">
        <v>0.777545</v>
      </c>
      <c r="S82" s="9">
        <v>0.796432</v>
      </c>
      <c r="T82" s="9">
        <v>0.729485834</v>
      </c>
      <c r="U82" s="9">
        <v>0.774397</v>
      </c>
      <c r="V82" s="9">
        <v>0.797482</v>
      </c>
      <c r="W82" s="9">
        <v>0.770619</v>
      </c>
      <c r="X82" s="9">
        <v>0.76915</v>
      </c>
      <c r="Y82" s="9">
        <v>0.779643</v>
      </c>
      <c r="Z82" s="9">
        <v>0.768101</v>
      </c>
      <c r="AA82" s="9">
        <v>0.770199</v>
      </c>
      <c r="AB82" s="9">
        <v>0.782791</v>
      </c>
      <c r="AC82" s="9">
        <v>0.754249728</v>
      </c>
      <c r="AD82" s="9">
        <v>0.764953</v>
      </c>
      <c r="AE82" s="9">
        <v>0.779643</v>
      </c>
      <c r="AF82" s="9">
        <v>0.770409226</v>
      </c>
      <c r="AG82" s="9">
        <v>0.767051</v>
      </c>
      <c r="AH82" s="9">
        <v>0.776495</v>
      </c>
      <c r="AI82" s="9">
        <v>0.729906</v>
      </c>
      <c r="AJ82" s="9">
        <v>0.755509</v>
      </c>
      <c r="AK82" s="9">
        <v>0.755509</v>
      </c>
      <c r="AL82" s="9">
        <v>0.757398</v>
      </c>
      <c r="AM82" s="9">
        <v>0.758657</v>
      </c>
      <c r="AN82" s="9">
        <v>0.743966</v>
      </c>
      <c r="AO82" s="9">
        <v>0.763903</v>
      </c>
      <c r="AP82" s="9">
        <v>0.786988</v>
      </c>
      <c r="AQ82" s="9">
        <v>0.796432</v>
      </c>
      <c r="AR82" s="9">
        <v>0.757397687</v>
      </c>
      <c r="AS82" s="9">
        <v>0.781742</v>
      </c>
      <c r="AT82" s="9">
        <v>0.795383</v>
      </c>
      <c r="AU82" s="9">
        <v>0.785939</v>
      </c>
      <c r="AV82" s="9">
        <v>0.786988</v>
      </c>
      <c r="AW82" s="9">
        <v>0.795383</v>
      </c>
      <c r="AX82" s="9">
        <v>0.770829</v>
      </c>
      <c r="AY82" s="9">
        <v>0.792235</v>
      </c>
      <c r="AZ82" s="9">
        <v>0.798531</v>
      </c>
      <c r="BA82" s="9">
        <v>0.733893</v>
      </c>
      <c r="BB82" s="9">
        <v>0.767051</v>
      </c>
      <c r="BC82" s="9">
        <v>0.78489</v>
      </c>
      <c r="BD82" s="9">
        <v>0.780693</v>
      </c>
      <c r="BE82" s="9">
        <v>0.780693</v>
      </c>
      <c r="BF82" s="9">
        <v>0.803778</v>
      </c>
      <c r="BG82" s="9">
        <v>0.806086</v>
      </c>
      <c r="BH82" s="9">
        <v>0.81532</v>
      </c>
      <c r="BI82" s="9">
        <v>0.820567</v>
      </c>
      <c r="BJ82" s="6"/>
      <c r="BK82" s="6" t="str">
        <f t="shared" si="4"/>
        <v>De_One_Acc</v>
      </c>
      <c r="BL82" s="11">
        <f t="shared" si="5"/>
        <v>0.031467</v>
      </c>
      <c r="BM82" s="12" t="str">
        <f t="shared" si="6"/>
        <v>Group 3</v>
      </c>
      <c r="BN82" s="6" t="s">
        <v>83</v>
      </c>
      <c r="BO82" s="6" t="s">
        <v>77</v>
      </c>
      <c r="BP82" s="6"/>
      <c r="BQ82" s="6"/>
      <c r="BR82" s="6">
        <v>0.03146700000000002</v>
      </c>
      <c r="BS82" s="6"/>
      <c r="BT82" s="6"/>
      <c r="BU82" s="6"/>
      <c r="BV82" s="6"/>
      <c r="BW82" s="6"/>
      <c r="BX82" s="6"/>
      <c r="BY82" s="6"/>
      <c r="BZ82" s="6"/>
    </row>
    <row r="83" ht="15.75" customHeight="1">
      <c r="A83" s="1" t="s">
        <v>177</v>
      </c>
      <c r="B83" s="7">
        <v>0.9737</v>
      </c>
      <c r="C83" s="8"/>
      <c r="D83" s="8"/>
      <c r="E83" s="9">
        <v>0.91389</v>
      </c>
      <c r="F83" s="9">
        <v>0.918893</v>
      </c>
      <c r="G83" s="9">
        <v>0.927635</v>
      </c>
      <c r="H83" s="9">
        <v>0.916610014</v>
      </c>
      <c r="I83" s="9">
        <v>0.919014096</v>
      </c>
      <c r="J83" s="9">
        <v>0.577222</v>
      </c>
      <c r="K83" s="9">
        <v>0.928849</v>
      </c>
      <c r="L83" s="9">
        <v>0.930063</v>
      </c>
      <c r="M83" s="9">
        <v>0.930792</v>
      </c>
      <c r="N83" s="9">
        <v>0.922948039</v>
      </c>
      <c r="O83" s="9">
        <v>0.923992</v>
      </c>
      <c r="P83" s="9">
        <v>0.932127</v>
      </c>
      <c r="Q83" s="9">
        <v>0.930452</v>
      </c>
      <c r="R83" s="9">
        <v>0.929335</v>
      </c>
      <c r="S83" s="9">
        <v>0.93407</v>
      </c>
      <c r="T83" s="9">
        <v>0.929043221</v>
      </c>
      <c r="U83" s="9">
        <v>0.927635</v>
      </c>
      <c r="V83" s="9">
        <v>0.934677</v>
      </c>
      <c r="W83" s="9">
        <v>0.927999</v>
      </c>
      <c r="X83" s="9">
        <v>0.927635</v>
      </c>
      <c r="Y83" s="9">
        <v>0.934556</v>
      </c>
      <c r="Z83" s="9">
        <v>0.925571</v>
      </c>
      <c r="AA83" s="9">
        <v>0.92812</v>
      </c>
      <c r="AB83" s="9">
        <v>0.937227</v>
      </c>
      <c r="AC83" s="9">
        <v>0.923336565</v>
      </c>
      <c r="AD83" s="9">
        <v>0.922292</v>
      </c>
      <c r="AE83" s="9">
        <v>0.934556</v>
      </c>
      <c r="AF83" s="9">
        <v>0.923530841</v>
      </c>
      <c r="AG83" s="9">
        <v>0.924964</v>
      </c>
      <c r="AH83" s="9">
        <v>0.930792</v>
      </c>
      <c r="AI83" s="9">
        <v>0.932661</v>
      </c>
      <c r="AJ83" s="9">
        <v>0.932734</v>
      </c>
      <c r="AK83" s="9">
        <v>0.937834</v>
      </c>
      <c r="AL83" s="9">
        <v>0.931374</v>
      </c>
      <c r="AM83" s="9">
        <v>0.932491</v>
      </c>
      <c r="AN83" s="9">
        <v>0.939412</v>
      </c>
      <c r="AO83" s="9">
        <v>0.931909</v>
      </c>
      <c r="AP83" s="9">
        <v>0.931642</v>
      </c>
      <c r="AQ83" s="9">
        <v>0.941234</v>
      </c>
      <c r="AR83" s="9">
        <v>0.927440512</v>
      </c>
      <c r="AS83" s="9">
        <v>0.926906</v>
      </c>
      <c r="AT83" s="9">
        <v>0.93577</v>
      </c>
      <c r="AU83" s="9">
        <v>0.935551</v>
      </c>
      <c r="AV83" s="9">
        <v>0.936863</v>
      </c>
      <c r="AW83" s="9">
        <v>0.95034</v>
      </c>
      <c r="AX83" s="9">
        <v>0.940554</v>
      </c>
      <c r="AY83" s="9">
        <v>0.940748</v>
      </c>
      <c r="AZ83" s="9">
        <v>0.953254</v>
      </c>
      <c r="BA83" s="9">
        <v>0.933366</v>
      </c>
      <c r="BB83" s="9">
        <v>0.93407</v>
      </c>
      <c r="BC83" s="9">
        <v>0.940869</v>
      </c>
      <c r="BD83" s="9">
        <v>0.945556</v>
      </c>
      <c r="BE83" s="9">
        <v>0.946576</v>
      </c>
      <c r="BF83" s="9">
        <v>0.954104</v>
      </c>
      <c r="BG83" s="9">
        <v>0.894706</v>
      </c>
      <c r="BH83" s="9">
        <v>0.894245</v>
      </c>
      <c r="BI83" s="9">
        <v>0.921442</v>
      </c>
      <c r="BJ83" s="6"/>
      <c r="BK83" s="6" t="str">
        <f t="shared" si="4"/>
        <v>PlottingTime</v>
      </c>
      <c r="BL83" s="11">
        <f t="shared" si="5"/>
        <v>-0.019596</v>
      </c>
      <c r="BM83" s="12" t="str">
        <f t="shared" si="6"/>
        <v>Group 3</v>
      </c>
      <c r="BN83" s="6" t="s">
        <v>83</v>
      </c>
      <c r="BO83" s="6" t="s">
        <v>1</v>
      </c>
      <c r="BP83" s="6"/>
      <c r="BQ83" s="6"/>
      <c r="BR83" s="6">
        <v>-0.019596000000000058</v>
      </c>
      <c r="BS83" s="6"/>
      <c r="BT83" s="6"/>
      <c r="BU83" s="6"/>
      <c r="BV83" s="6"/>
      <c r="BW83" s="6"/>
      <c r="BX83" s="6"/>
      <c r="BY83" s="6"/>
      <c r="BZ83" s="6"/>
    </row>
    <row r="84" ht="15.75" customHeight="1">
      <c r="A84" s="1" t="s">
        <v>178</v>
      </c>
      <c r="B84" s="7">
        <v>0.9676</v>
      </c>
      <c r="C84" s="8"/>
      <c r="D84" s="8"/>
      <c r="E84" s="9">
        <v>0.896757</v>
      </c>
      <c r="F84" s="9">
        <v>0.9</v>
      </c>
      <c r="G84" s="9">
        <v>0.908108</v>
      </c>
      <c r="H84" s="9">
        <v>0.888108099</v>
      </c>
      <c r="I84" s="9">
        <v>0.891891897</v>
      </c>
      <c r="J84" s="9">
        <v>0.643243</v>
      </c>
      <c r="K84" s="9">
        <v>0.906486</v>
      </c>
      <c r="L84" s="9">
        <v>0.908108</v>
      </c>
      <c r="M84" s="9">
        <v>0.910811</v>
      </c>
      <c r="N84" s="9">
        <v>0.902162158</v>
      </c>
      <c r="O84" s="9">
        <v>0.905405</v>
      </c>
      <c r="P84" s="9">
        <v>0.913514</v>
      </c>
      <c r="Q84" s="9">
        <v>0.896757</v>
      </c>
      <c r="R84" s="9">
        <v>0.894595</v>
      </c>
      <c r="S84" s="9">
        <v>0.92973</v>
      </c>
      <c r="T84" s="9">
        <v>0.900540555</v>
      </c>
      <c r="U84" s="9">
        <v>0.897297</v>
      </c>
      <c r="V84" s="9">
        <v>0.910811</v>
      </c>
      <c r="W84" s="9">
        <v>0.888649</v>
      </c>
      <c r="X84" s="9">
        <v>0.886486</v>
      </c>
      <c r="Y84" s="9">
        <v>0.897297</v>
      </c>
      <c r="Z84" s="9">
        <v>0.903243</v>
      </c>
      <c r="AA84" s="9">
        <v>0.905405</v>
      </c>
      <c r="AB84" s="9">
        <v>0.910811</v>
      </c>
      <c r="AC84" s="9">
        <v>0.906486499</v>
      </c>
      <c r="AD84" s="9">
        <v>0.910811</v>
      </c>
      <c r="AE84" s="9">
        <v>0.92973</v>
      </c>
      <c r="AF84" s="9">
        <v>0.908108115</v>
      </c>
      <c r="AG84" s="9">
        <v>0.908108</v>
      </c>
      <c r="AH84" s="9">
        <v>0.924324</v>
      </c>
      <c r="AI84" s="9">
        <v>0.907027</v>
      </c>
      <c r="AJ84" s="9">
        <v>0.910811</v>
      </c>
      <c r="AK84" s="9">
        <v>0.918919</v>
      </c>
      <c r="AL84" s="9">
        <v>0.911892</v>
      </c>
      <c r="AM84" s="9">
        <v>0.918919</v>
      </c>
      <c r="AN84" s="9">
        <v>0.918919</v>
      </c>
      <c r="AO84" s="9">
        <v>0.909189</v>
      </c>
      <c r="AP84" s="9">
        <v>0.913514</v>
      </c>
      <c r="AQ84" s="9">
        <v>0.940541</v>
      </c>
      <c r="AR84" s="9">
        <v>0.910270286</v>
      </c>
      <c r="AS84" s="9">
        <v>0.910811</v>
      </c>
      <c r="AT84" s="9">
        <v>0.927027</v>
      </c>
      <c r="AU84" s="9">
        <v>0.931351</v>
      </c>
      <c r="AV84" s="9">
        <v>0.92973</v>
      </c>
      <c r="AW84" s="9">
        <v>0.937838</v>
      </c>
      <c r="AX84" s="9">
        <v>0.933513</v>
      </c>
      <c r="AY84" s="9">
        <v>0.932432</v>
      </c>
      <c r="AZ84" s="9">
        <v>0.951351</v>
      </c>
      <c r="BA84" s="9">
        <v>0.916757</v>
      </c>
      <c r="BB84" s="9">
        <v>0.921622</v>
      </c>
      <c r="BC84" s="9">
        <v>0.935135</v>
      </c>
      <c r="BD84" s="9">
        <v>0.924324</v>
      </c>
      <c r="BE84" s="9">
        <v>0.924324</v>
      </c>
      <c r="BF84" s="9">
        <v>0.943243</v>
      </c>
      <c r="BG84" s="9">
        <v>0.944865</v>
      </c>
      <c r="BH84" s="9">
        <v>0.945946</v>
      </c>
      <c r="BI84" s="9">
        <v>0.954054</v>
      </c>
      <c r="BJ84" s="6"/>
      <c r="BK84" s="6" t="str">
        <f t="shared" si="4"/>
        <v>PlottingTime</v>
      </c>
      <c r="BL84" s="11">
        <f t="shared" si="5"/>
        <v>-0.013546</v>
      </c>
      <c r="BM84" s="12" t="str">
        <f t="shared" si="6"/>
        <v>Group 3</v>
      </c>
      <c r="BN84" s="6" t="s">
        <v>83</v>
      </c>
      <c r="BO84" s="6" t="s">
        <v>1</v>
      </c>
      <c r="BP84" s="6"/>
      <c r="BQ84" s="6"/>
      <c r="BR84" s="6">
        <v>-0.013546000000000058</v>
      </c>
      <c r="BS84" s="6"/>
      <c r="BT84" s="6"/>
      <c r="BU84" s="6"/>
      <c r="BV84" s="6"/>
      <c r="BW84" s="6"/>
      <c r="BX84" s="6"/>
      <c r="BY84" s="6"/>
      <c r="BZ84" s="6"/>
    </row>
    <row r="85" ht="15.75" customHeight="1">
      <c r="A85" s="1" t="s">
        <v>179</v>
      </c>
      <c r="B85" s="7">
        <v>0.912</v>
      </c>
      <c r="C85" s="8"/>
      <c r="D85" s="8"/>
      <c r="E85" s="9">
        <v>0.68736</v>
      </c>
      <c r="F85" s="9">
        <v>0.6848</v>
      </c>
      <c r="G85" s="9">
        <v>0.7408</v>
      </c>
      <c r="H85" s="9">
        <v>0.63168</v>
      </c>
      <c r="I85" s="9">
        <v>0.673600018</v>
      </c>
      <c r="J85" s="9">
        <v>0.0528</v>
      </c>
      <c r="K85" s="9">
        <v>0.70464</v>
      </c>
      <c r="L85" s="9">
        <v>0.696</v>
      </c>
      <c r="M85" s="9">
        <v>0.7808</v>
      </c>
      <c r="N85" s="9">
        <v>0.646400023</v>
      </c>
      <c r="O85" s="9">
        <v>0.6208</v>
      </c>
      <c r="P85" s="9">
        <v>0.5424</v>
      </c>
      <c r="Q85" s="9">
        <v>0.74016</v>
      </c>
      <c r="R85" s="9">
        <v>0.7824</v>
      </c>
      <c r="S85" s="9">
        <v>0.7216</v>
      </c>
      <c r="T85" s="9">
        <v>0.703999984</v>
      </c>
      <c r="U85" s="9">
        <v>0.7488</v>
      </c>
      <c r="V85" s="9">
        <v>0.7856</v>
      </c>
      <c r="W85" s="9">
        <v>0.77888</v>
      </c>
      <c r="X85" s="9">
        <v>0.768</v>
      </c>
      <c r="Y85" s="9">
        <v>0.8352</v>
      </c>
      <c r="Z85" s="9">
        <v>0.65472</v>
      </c>
      <c r="AA85" s="9">
        <v>0.6256</v>
      </c>
      <c r="AB85" s="9">
        <v>0.592</v>
      </c>
      <c r="AC85" s="9">
        <v>0.760320008</v>
      </c>
      <c r="AD85" s="9">
        <v>0.808</v>
      </c>
      <c r="AE85" s="9">
        <v>0.7504</v>
      </c>
      <c r="AF85" s="9">
        <v>0.74368</v>
      </c>
      <c r="AG85" s="9">
        <v>0.7728</v>
      </c>
      <c r="AH85" s="9">
        <v>0.7984</v>
      </c>
      <c r="AI85" s="9">
        <v>0.74816</v>
      </c>
      <c r="AJ85" s="9">
        <v>0.7488</v>
      </c>
      <c r="AK85" s="9">
        <v>0.7568</v>
      </c>
      <c r="AL85" s="9">
        <v>0.5936</v>
      </c>
      <c r="AM85" s="9">
        <v>0.68</v>
      </c>
      <c r="AN85" s="9">
        <v>0.8288</v>
      </c>
      <c r="AO85" s="9">
        <v>0.76832</v>
      </c>
      <c r="AP85" s="9">
        <v>0.7648</v>
      </c>
      <c r="AQ85" s="9">
        <v>0.8144</v>
      </c>
      <c r="AR85" s="9">
        <v>0.79072001</v>
      </c>
      <c r="AS85" s="9">
        <v>0.7904</v>
      </c>
      <c r="AT85" s="9">
        <v>0.7872</v>
      </c>
      <c r="AU85" s="9">
        <v>0.6928</v>
      </c>
      <c r="AV85" s="9">
        <v>0.704</v>
      </c>
      <c r="AW85" s="9">
        <v>0.8272</v>
      </c>
      <c r="AX85" s="9">
        <v>0.78048</v>
      </c>
      <c r="AY85" s="9">
        <v>0.7776</v>
      </c>
      <c r="AZ85" s="9">
        <v>0.5824</v>
      </c>
      <c r="BA85" s="9">
        <v>0.72128</v>
      </c>
      <c r="BB85" s="9">
        <v>0.7536</v>
      </c>
      <c r="BC85" s="9">
        <v>0.8016</v>
      </c>
      <c r="BD85" s="9">
        <v>0.5568</v>
      </c>
      <c r="BE85" s="9">
        <v>0.6752</v>
      </c>
      <c r="BF85" s="9">
        <v>0.5024</v>
      </c>
      <c r="BG85" s="9">
        <v>0.576</v>
      </c>
      <c r="BH85" s="9">
        <v>0.6064</v>
      </c>
      <c r="BI85" s="9">
        <v>0.5456</v>
      </c>
      <c r="BJ85" s="6"/>
      <c r="BK85" s="6" t="str">
        <f t="shared" si="4"/>
        <v>PlottingTime</v>
      </c>
      <c r="BL85" s="11">
        <f t="shared" si="5"/>
        <v>-0.0768</v>
      </c>
      <c r="BM85" s="12" t="str">
        <f t="shared" si="6"/>
        <v>Group 3</v>
      </c>
      <c r="BN85" s="6" t="s">
        <v>83</v>
      </c>
      <c r="BO85" s="6" t="s">
        <v>1</v>
      </c>
      <c r="BP85" s="6"/>
      <c r="BQ85" s="6"/>
      <c r="BR85" s="6">
        <v>-0.07679999999999998</v>
      </c>
      <c r="BS85" s="6"/>
      <c r="BT85" s="6"/>
      <c r="BU85" s="6"/>
      <c r="BV85" s="6"/>
      <c r="BW85" s="6"/>
      <c r="BX85" s="6"/>
      <c r="BY85" s="6"/>
      <c r="BZ85" s="6"/>
    </row>
    <row r="86" ht="15.75" customHeight="1">
      <c r="A86" s="1" t="s">
        <v>180</v>
      </c>
      <c r="B86" s="7">
        <v>0.9608</v>
      </c>
      <c r="C86" s="8"/>
      <c r="D86" s="8"/>
      <c r="E86" s="9">
        <v>0.737688</v>
      </c>
      <c r="F86" s="9">
        <v>0.744724</v>
      </c>
      <c r="G86" s="9">
        <v>0.738693</v>
      </c>
      <c r="H86" s="9">
        <v>0.668542731</v>
      </c>
      <c r="I86" s="9">
        <v>0.703517616</v>
      </c>
      <c r="J86" s="9">
        <v>0.173869</v>
      </c>
      <c r="K86" s="9">
        <v>0.74392</v>
      </c>
      <c r="L86" s="9">
        <v>0.767839</v>
      </c>
      <c r="M86" s="9">
        <v>0.747739</v>
      </c>
      <c r="N86" s="9">
        <v>0.757587945</v>
      </c>
      <c r="O86" s="9">
        <v>0.78794</v>
      </c>
      <c r="P86" s="9">
        <v>0.78995</v>
      </c>
      <c r="Q86" s="9">
        <v>0.709548</v>
      </c>
      <c r="R86" s="9">
        <v>0.745729</v>
      </c>
      <c r="S86" s="9">
        <v>0.735678</v>
      </c>
      <c r="T86" s="9">
        <v>0.740100491</v>
      </c>
      <c r="U86" s="9">
        <v>0.742714</v>
      </c>
      <c r="V86" s="9">
        <v>0.809045</v>
      </c>
      <c r="W86" s="9">
        <v>0.770854</v>
      </c>
      <c r="X86" s="9">
        <v>0.78191</v>
      </c>
      <c r="Y86" s="9">
        <v>0.777889</v>
      </c>
      <c r="Z86" s="9">
        <v>0.72402</v>
      </c>
      <c r="AA86" s="9">
        <v>0.722613</v>
      </c>
      <c r="AB86" s="9">
        <v>0.838191</v>
      </c>
      <c r="AC86" s="9">
        <v>0.75296483</v>
      </c>
      <c r="AD86" s="9">
        <v>0.747739</v>
      </c>
      <c r="AE86" s="9">
        <v>0.750754</v>
      </c>
      <c r="AF86" s="9">
        <v>0.733065331</v>
      </c>
      <c r="AG86" s="9">
        <v>0.728643</v>
      </c>
      <c r="AH86" s="9">
        <v>0.715578</v>
      </c>
      <c r="AI86" s="9">
        <v>0.75397</v>
      </c>
      <c r="AJ86" s="9">
        <v>0.736683</v>
      </c>
      <c r="AK86" s="9">
        <v>0.729648</v>
      </c>
      <c r="AL86" s="9">
        <v>0.782714</v>
      </c>
      <c r="AM86" s="9">
        <v>0.777889</v>
      </c>
      <c r="AN86" s="9">
        <v>0.776884</v>
      </c>
      <c r="AO86" s="9">
        <v>0.647035</v>
      </c>
      <c r="AP86" s="9">
        <v>0.686432</v>
      </c>
      <c r="AQ86" s="9">
        <v>0.743719</v>
      </c>
      <c r="AR86" s="9">
        <v>0.728442204</v>
      </c>
      <c r="AS86" s="9">
        <v>0.712563</v>
      </c>
      <c r="AT86" s="9">
        <v>0.768844</v>
      </c>
      <c r="AU86" s="9">
        <v>0.756181</v>
      </c>
      <c r="AV86" s="9">
        <v>0.750754</v>
      </c>
      <c r="AW86" s="9">
        <v>0.780905</v>
      </c>
      <c r="AX86" s="9">
        <v>0.694271</v>
      </c>
      <c r="AY86" s="9">
        <v>0.722613</v>
      </c>
      <c r="AZ86" s="9">
        <v>0.81407</v>
      </c>
      <c r="BA86" s="9">
        <v>0.604623</v>
      </c>
      <c r="BB86" s="9">
        <v>0.619096</v>
      </c>
      <c r="BC86" s="9">
        <v>0.61206</v>
      </c>
      <c r="BD86" s="9">
        <v>0.700704</v>
      </c>
      <c r="BE86" s="9">
        <v>0.695477</v>
      </c>
      <c r="BF86" s="9">
        <v>0.78191</v>
      </c>
      <c r="BG86" s="9">
        <v>0.650251</v>
      </c>
      <c r="BH86" s="9">
        <v>0.662312</v>
      </c>
      <c r="BI86" s="9">
        <v>0.716583</v>
      </c>
      <c r="BJ86" s="6"/>
      <c r="BK86" s="6" t="str">
        <f t="shared" si="4"/>
        <v>PlottingTime</v>
      </c>
      <c r="BL86" s="11">
        <f t="shared" si="5"/>
        <v>-0.122609</v>
      </c>
      <c r="BM86" s="12" t="str">
        <f t="shared" si="6"/>
        <v>Group 1</v>
      </c>
      <c r="BN86" s="6" t="s">
        <v>81</v>
      </c>
      <c r="BO86" s="6" t="s">
        <v>1</v>
      </c>
      <c r="BP86" s="6">
        <v>-0.12260899999999997</v>
      </c>
      <c r="BQ86" s="6"/>
      <c r="BR86" s="6"/>
      <c r="BS86" s="6"/>
      <c r="BT86" s="6"/>
      <c r="BU86" s="6"/>
      <c r="BV86" s="6"/>
      <c r="BW86" s="6"/>
      <c r="BX86" s="6"/>
      <c r="BY86" s="6"/>
      <c r="BZ86" s="6"/>
    </row>
    <row r="87" ht="15.75" customHeight="1">
      <c r="A87" s="1" t="s">
        <v>181</v>
      </c>
      <c r="B87" s="7">
        <v>0.9967</v>
      </c>
      <c r="C87" s="8"/>
      <c r="D87" s="8"/>
      <c r="E87" s="9">
        <v>0.962667</v>
      </c>
      <c r="F87" s="9">
        <v>0.963333</v>
      </c>
      <c r="G87" s="9">
        <v>0.963333</v>
      </c>
      <c r="H87" s="9">
        <v>0.95799998</v>
      </c>
      <c r="I87" s="9">
        <v>0.956666648</v>
      </c>
      <c r="J87" s="9">
        <v>0.166667</v>
      </c>
      <c r="K87" s="9">
        <v>0.936</v>
      </c>
      <c r="L87" s="9">
        <v>0.94</v>
      </c>
      <c r="M87" s="9">
        <v>0.94</v>
      </c>
      <c r="N87" s="9">
        <v>0.934666669</v>
      </c>
      <c r="O87" s="9">
        <v>0.933333</v>
      </c>
      <c r="P87" s="9">
        <v>0.943333</v>
      </c>
      <c r="Q87" s="9">
        <v>0.956667</v>
      </c>
      <c r="R87" s="9">
        <v>0.956667</v>
      </c>
      <c r="S87" s="9">
        <v>0.963333</v>
      </c>
      <c r="T87" s="9">
        <v>0.952666652</v>
      </c>
      <c r="U87" s="9">
        <v>0.953333</v>
      </c>
      <c r="V87" s="9">
        <v>0.96</v>
      </c>
      <c r="W87" s="9">
        <v>0.926667</v>
      </c>
      <c r="X87" s="9">
        <v>0.923333</v>
      </c>
      <c r="Y87" s="9">
        <v>0.933333</v>
      </c>
      <c r="Z87" s="9">
        <v>0.926</v>
      </c>
      <c r="AA87" s="9">
        <v>0.923333</v>
      </c>
      <c r="AB87" s="9">
        <v>0.93</v>
      </c>
      <c r="AC87" s="9">
        <v>0.95466665</v>
      </c>
      <c r="AD87" s="9">
        <v>0.953333</v>
      </c>
      <c r="AE87" s="9">
        <v>0.946667</v>
      </c>
      <c r="AF87" s="9">
        <v>0.953333318</v>
      </c>
      <c r="AG87" s="9">
        <v>0.953333</v>
      </c>
      <c r="AH87" s="9">
        <v>0.96</v>
      </c>
      <c r="AI87" s="9">
        <v>0.950667</v>
      </c>
      <c r="AJ87" s="9">
        <v>0.95</v>
      </c>
      <c r="AK87" s="9">
        <v>0.963333</v>
      </c>
      <c r="AL87" s="9">
        <v>0.916667</v>
      </c>
      <c r="AM87" s="9">
        <v>0.95</v>
      </c>
      <c r="AN87" s="9">
        <v>0.953333</v>
      </c>
      <c r="AO87" s="9">
        <v>0.976667</v>
      </c>
      <c r="AP87" s="9">
        <v>0.976667</v>
      </c>
      <c r="AQ87" s="9">
        <v>0.983333</v>
      </c>
      <c r="AR87" s="9">
        <v>0.974000013</v>
      </c>
      <c r="AS87" s="9">
        <v>0.976667</v>
      </c>
      <c r="AT87" s="9">
        <v>0.983333</v>
      </c>
      <c r="AU87" s="9">
        <v>0.950667</v>
      </c>
      <c r="AV87" s="9">
        <v>0.95</v>
      </c>
      <c r="AW87" s="9">
        <v>0.946667</v>
      </c>
      <c r="AX87" s="9">
        <v>0.912667</v>
      </c>
      <c r="AY87" s="9">
        <v>0.95</v>
      </c>
      <c r="AZ87" s="9">
        <v>0.956667</v>
      </c>
      <c r="BA87" s="9">
        <v>0.991333</v>
      </c>
      <c r="BB87" s="9">
        <v>0.99</v>
      </c>
      <c r="BC87" s="9">
        <v>0.993333</v>
      </c>
      <c r="BD87" s="9">
        <v>0.946667</v>
      </c>
      <c r="BE87" s="9">
        <v>0.953333</v>
      </c>
      <c r="BF87" s="9">
        <v>0.96</v>
      </c>
      <c r="BG87" s="9">
        <v>0.852</v>
      </c>
      <c r="BH87" s="9">
        <v>0.85</v>
      </c>
      <c r="BI87" s="9">
        <v>0.853333</v>
      </c>
      <c r="BJ87" s="6"/>
      <c r="BK87" s="6" t="str">
        <f t="shared" si="4"/>
        <v>PlottingTime</v>
      </c>
      <c r="BL87" s="11">
        <f t="shared" si="5"/>
        <v>-0.003367</v>
      </c>
      <c r="BM87" s="12" t="str">
        <f t="shared" si="6"/>
        <v>Group 3</v>
      </c>
      <c r="BN87" s="6" t="s">
        <v>83</v>
      </c>
      <c r="BO87" s="6" t="s">
        <v>1</v>
      </c>
      <c r="BP87" s="6"/>
      <c r="BQ87" s="6"/>
      <c r="BR87" s="6">
        <v>-0.003367000000000009</v>
      </c>
      <c r="BS87" s="6"/>
      <c r="BT87" s="6"/>
      <c r="BU87" s="6"/>
      <c r="BV87" s="6"/>
      <c r="BW87" s="6"/>
      <c r="BX87" s="6"/>
      <c r="BY87" s="6"/>
      <c r="BZ87" s="6"/>
    </row>
    <row r="88" ht="15.75" customHeight="1">
      <c r="A88" s="1" t="s">
        <v>182</v>
      </c>
      <c r="B88" s="7">
        <v>0.7851</v>
      </c>
      <c r="C88" s="8"/>
      <c r="D88" s="8"/>
      <c r="E88" s="9">
        <v>0.596491</v>
      </c>
      <c r="F88" s="9">
        <v>0.526316</v>
      </c>
      <c r="G88" s="9">
        <v>0.758772</v>
      </c>
      <c r="H88" s="9">
        <v>0.61842106</v>
      </c>
      <c r="I88" s="9">
        <v>0.649122834</v>
      </c>
      <c r="J88" s="9">
        <v>0.04386</v>
      </c>
      <c r="K88" s="9">
        <v>0.607018</v>
      </c>
      <c r="L88" s="9">
        <v>0.644737</v>
      </c>
      <c r="M88" s="9">
        <v>0.719298</v>
      </c>
      <c r="N88" s="9">
        <v>0.65350877</v>
      </c>
      <c r="O88" s="9">
        <v>0.723684</v>
      </c>
      <c r="P88" s="9">
        <v>0.723684</v>
      </c>
      <c r="Q88" s="9">
        <v>0.611404</v>
      </c>
      <c r="R88" s="9">
        <v>0.596491</v>
      </c>
      <c r="S88" s="9">
        <v>0.671053</v>
      </c>
      <c r="T88" s="9">
        <v>0.574561405</v>
      </c>
      <c r="U88" s="9">
        <v>0.54386</v>
      </c>
      <c r="V88" s="9">
        <v>0.666667</v>
      </c>
      <c r="W88" s="9">
        <v>0.707018</v>
      </c>
      <c r="X88" s="9">
        <v>0.732456</v>
      </c>
      <c r="Y88" s="9">
        <v>0.72807</v>
      </c>
      <c r="Z88" s="9">
        <v>0.664912</v>
      </c>
      <c r="AA88" s="9">
        <v>0.697368</v>
      </c>
      <c r="AB88" s="9">
        <v>0.75</v>
      </c>
      <c r="AC88" s="9">
        <v>0.542105263</v>
      </c>
      <c r="AD88" s="9">
        <v>0.526316</v>
      </c>
      <c r="AE88" s="9">
        <v>0.692982</v>
      </c>
      <c r="AF88" s="9">
        <v>0.585087729</v>
      </c>
      <c r="AG88" s="9">
        <v>0.640351</v>
      </c>
      <c r="AH88" s="9">
        <v>0.692982</v>
      </c>
      <c r="AI88" s="9">
        <v>0.64386</v>
      </c>
      <c r="AJ88" s="9">
        <v>0.723684</v>
      </c>
      <c r="AK88" s="9">
        <v>0.714912</v>
      </c>
      <c r="AL88" s="9">
        <v>0.731579</v>
      </c>
      <c r="AM88" s="9">
        <v>0.745614</v>
      </c>
      <c r="AN88" s="9">
        <v>0.732456</v>
      </c>
      <c r="AO88" s="9">
        <v>0.551754</v>
      </c>
      <c r="AP88" s="9">
        <v>0.548246</v>
      </c>
      <c r="AQ88" s="9">
        <v>0.666667</v>
      </c>
      <c r="AR88" s="9">
        <v>0.596491235</v>
      </c>
      <c r="AS88" s="9">
        <v>0.618421</v>
      </c>
      <c r="AT88" s="9">
        <v>0.684211</v>
      </c>
      <c r="AU88" s="9">
        <v>0.729825</v>
      </c>
      <c r="AV88" s="9">
        <v>0.72807</v>
      </c>
      <c r="AW88" s="9">
        <v>0.714912</v>
      </c>
      <c r="AX88" s="9">
        <v>0.613158</v>
      </c>
      <c r="AY88" s="9">
        <v>0.649123</v>
      </c>
      <c r="AZ88" s="9">
        <v>0.70614</v>
      </c>
      <c r="BA88" s="9">
        <v>0.582456</v>
      </c>
      <c r="BB88" s="9">
        <v>0.565789</v>
      </c>
      <c r="BC88" s="9">
        <v>0.671053</v>
      </c>
      <c r="BD88" s="9">
        <v>0.57193</v>
      </c>
      <c r="BE88" s="9">
        <v>0.548246</v>
      </c>
      <c r="BF88" s="9">
        <v>0.679825</v>
      </c>
      <c r="BG88" s="9">
        <v>0.461404</v>
      </c>
      <c r="BH88" s="9">
        <v>0.469298</v>
      </c>
      <c r="BI88" s="9">
        <v>0.583333</v>
      </c>
      <c r="BJ88" s="6"/>
      <c r="BK88" s="6" t="str">
        <f t="shared" si="4"/>
        <v>PlottingTime</v>
      </c>
      <c r="BL88" s="11">
        <f t="shared" si="5"/>
        <v>-0.026328</v>
      </c>
      <c r="BM88" s="12" t="str">
        <f t="shared" si="6"/>
        <v>Group 3</v>
      </c>
      <c r="BN88" s="6" t="s">
        <v>83</v>
      </c>
      <c r="BO88" s="6" t="s">
        <v>1</v>
      </c>
      <c r="BP88" s="6"/>
      <c r="BQ88" s="6"/>
      <c r="BR88" s="6">
        <v>-0.026328000000000018</v>
      </c>
      <c r="BS88" s="6"/>
      <c r="BT88" s="6"/>
      <c r="BU88" s="6"/>
      <c r="BV88" s="6"/>
      <c r="BW88" s="6"/>
      <c r="BX88" s="6"/>
      <c r="BY88" s="6"/>
      <c r="BZ88" s="6"/>
    </row>
    <row r="89" ht="15.75" customHeight="1">
      <c r="A89" s="1" t="s">
        <v>183</v>
      </c>
      <c r="B89" s="7">
        <v>0.9077</v>
      </c>
      <c r="C89" s="8"/>
      <c r="D89" s="8"/>
      <c r="E89" s="9">
        <v>0.830769</v>
      </c>
      <c r="F89" s="9">
        <v>0.830769</v>
      </c>
      <c r="G89" s="9">
        <v>0.823077</v>
      </c>
      <c r="H89" s="9">
        <v>0.796923077</v>
      </c>
      <c r="I89" s="9">
        <v>0.784615397</v>
      </c>
      <c r="J89" s="9">
        <v>0.169231</v>
      </c>
      <c r="K89" s="9">
        <v>0.675385</v>
      </c>
      <c r="L89" s="9">
        <v>0.730769</v>
      </c>
      <c r="M89" s="9">
        <v>0.784615</v>
      </c>
      <c r="N89" s="9">
        <v>0.813846147</v>
      </c>
      <c r="O89" s="9">
        <v>0.846154</v>
      </c>
      <c r="P89" s="9">
        <v>0.784615</v>
      </c>
      <c r="Q89" s="9">
        <v>0.787692</v>
      </c>
      <c r="R89" s="9">
        <v>0.8</v>
      </c>
      <c r="S89" s="9">
        <v>0.792308</v>
      </c>
      <c r="T89" s="9">
        <v>0.749230766</v>
      </c>
      <c r="U89" s="9">
        <v>0.730769</v>
      </c>
      <c r="V89" s="9">
        <v>0.830769</v>
      </c>
      <c r="W89" s="9">
        <v>0.789231</v>
      </c>
      <c r="X89" s="9">
        <v>0.8</v>
      </c>
      <c r="Y89" s="9">
        <v>0.838462</v>
      </c>
      <c r="Z89" s="9">
        <v>0.663077</v>
      </c>
      <c r="AA89" s="9">
        <v>0.723077</v>
      </c>
      <c r="AB89" s="9">
        <v>0.838462</v>
      </c>
      <c r="AC89" s="9">
        <v>0.660000014</v>
      </c>
      <c r="AD89" s="9">
        <v>0.769231</v>
      </c>
      <c r="AE89" s="9">
        <v>0.838462</v>
      </c>
      <c r="AF89" s="9">
        <v>0.798461533</v>
      </c>
      <c r="AG89" s="9">
        <v>0.8</v>
      </c>
      <c r="AH89" s="9">
        <v>0.830769</v>
      </c>
      <c r="AI89" s="9">
        <v>0.787692</v>
      </c>
      <c r="AJ89" s="9">
        <v>0.823077</v>
      </c>
      <c r="AK89" s="9">
        <v>0.746154</v>
      </c>
      <c r="AL89" s="9">
        <v>0.64</v>
      </c>
      <c r="AM89" s="9">
        <v>0.784615</v>
      </c>
      <c r="AN89" s="9">
        <v>0.792308</v>
      </c>
      <c r="AO89" s="9">
        <v>0.796923</v>
      </c>
      <c r="AP89" s="9">
        <v>0.815385</v>
      </c>
      <c r="AQ89" s="9">
        <v>0.838462</v>
      </c>
      <c r="AR89" s="9">
        <v>0.778461528</v>
      </c>
      <c r="AS89" s="9">
        <v>0.776923</v>
      </c>
      <c r="AT89" s="9">
        <v>0.823077</v>
      </c>
      <c r="AU89" s="9">
        <v>0.624615</v>
      </c>
      <c r="AV89" s="9">
        <v>0.730769</v>
      </c>
      <c r="AW89" s="9">
        <v>0.715385</v>
      </c>
      <c r="AX89" s="9">
        <v>0.706154</v>
      </c>
      <c r="AY89" s="9">
        <v>0.707692</v>
      </c>
      <c r="AZ89" s="9">
        <v>0.784615</v>
      </c>
      <c r="BA89" s="9">
        <v>0.750769</v>
      </c>
      <c r="BB89" s="9">
        <v>0.769231</v>
      </c>
      <c r="BC89" s="9">
        <v>0.784615</v>
      </c>
      <c r="BD89" s="9">
        <v>0.724615</v>
      </c>
      <c r="BE89" s="9">
        <v>0.761538</v>
      </c>
      <c r="BF89" s="9">
        <v>0.776923</v>
      </c>
      <c r="BG89" s="9">
        <v>0.512308</v>
      </c>
      <c r="BH89" s="9">
        <v>0.507692</v>
      </c>
      <c r="BI89" s="9">
        <v>0.676923</v>
      </c>
      <c r="BJ89" s="6"/>
      <c r="BK89" s="6" t="str">
        <f t="shared" si="4"/>
        <v>PlottingTime</v>
      </c>
      <c r="BL89" s="11">
        <f t="shared" si="5"/>
        <v>-0.061546</v>
      </c>
      <c r="BM89" s="12" t="str">
        <f t="shared" si="6"/>
        <v>Group 3</v>
      </c>
      <c r="BN89" s="6" t="s">
        <v>83</v>
      </c>
      <c r="BO89" s="6" t="s">
        <v>1</v>
      </c>
      <c r="BP89" s="6"/>
      <c r="BQ89" s="6"/>
      <c r="BR89" s="6">
        <v>-0.06154599999999999</v>
      </c>
      <c r="BS89" s="6"/>
      <c r="BT89" s="6"/>
      <c r="BU89" s="6"/>
      <c r="BV89" s="6"/>
      <c r="BW89" s="6"/>
      <c r="BX89" s="6"/>
      <c r="BY89" s="6"/>
      <c r="BZ89" s="6"/>
    </row>
    <row r="90" ht="15.75" customHeight="1">
      <c r="A90" s="1" t="s">
        <v>184</v>
      </c>
      <c r="B90" s="7">
        <v>1.0</v>
      </c>
      <c r="C90" s="8"/>
      <c r="D90" s="8"/>
      <c r="E90" s="9">
        <v>1.0</v>
      </c>
      <c r="F90" s="9">
        <v>1.0</v>
      </c>
      <c r="G90" s="9">
        <v>1.0</v>
      </c>
      <c r="H90" s="9">
        <v>0.822000003</v>
      </c>
      <c r="I90" s="9">
        <v>0.819999993</v>
      </c>
      <c r="J90" s="9">
        <v>0.25</v>
      </c>
      <c r="K90" s="9">
        <v>0.992</v>
      </c>
      <c r="L90" s="9">
        <v>0.99</v>
      </c>
      <c r="M90" s="9">
        <v>0.99</v>
      </c>
      <c r="N90" s="9">
        <v>0.982000005</v>
      </c>
      <c r="O90" s="9">
        <v>0.98</v>
      </c>
      <c r="P90" s="9">
        <v>0.99</v>
      </c>
      <c r="Q90" s="9">
        <v>1.0</v>
      </c>
      <c r="R90" s="9">
        <v>1.0</v>
      </c>
      <c r="S90" s="9">
        <v>1.0</v>
      </c>
      <c r="T90" s="9">
        <v>1.0</v>
      </c>
      <c r="U90" s="9">
        <v>1.0</v>
      </c>
      <c r="V90" s="9">
        <v>1.0</v>
      </c>
      <c r="W90" s="9">
        <v>0.966</v>
      </c>
      <c r="X90" s="9">
        <v>0.97</v>
      </c>
      <c r="Y90" s="9">
        <v>0.97</v>
      </c>
      <c r="Z90" s="9">
        <v>0.962</v>
      </c>
      <c r="AA90" s="9">
        <v>0.96</v>
      </c>
      <c r="AB90" s="9">
        <v>0.97</v>
      </c>
      <c r="AC90" s="9">
        <v>1.0</v>
      </c>
      <c r="AD90" s="9">
        <v>1.0</v>
      </c>
      <c r="AE90" s="9">
        <v>1.0</v>
      </c>
      <c r="AF90" s="9">
        <v>1.0</v>
      </c>
      <c r="AG90" s="9">
        <v>1.0</v>
      </c>
      <c r="AH90" s="9">
        <v>1.0</v>
      </c>
      <c r="AI90" s="9">
        <v>0.988</v>
      </c>
      <c r="AJ90" s="9">
        <v>0.99</v>
      </c>
      <c r="AK90" s="9">
        <v>0.99</v>
      </c>
      <c r="AL90" s="9">
        <v>0.988</v>
      </c>
      <c r="AM90" s="9">
        <v>0.99</v>
      </c>
      <c r="AN90" s="9">
        <v>0.99</v>
      </c>
      <c r="AO90" s="9">
        <v>1.0</v>
      </c>
      <c r="AP90" s="9">
        <v>1.0</v>
      </c>
      <c r="AQ90" s="9">
        <v>1.0</v>
      </c>
      <c r="AR90" s="9">
        <v>1.0</v>
      </c>
      <c r="AS90" s="9">
        <v>1.0</v>
      </c>
      <c r="AT90" s="9">
        <v>1.0</v>
      </c>
      <c r="AU90" s="9">
        <v>0.99</v>
      </c>
      <c r="AV90" s="9">
        <v>0.99</v>
      </c>
      <c r="AW90" s="9">
        <v>0.99</v>
      </c>
      <c r="AX90" s="9">
        <v>0.992</v>
      </c>
      <c r="AY90" s="9">
        <v>0.99</v>
      </c>
      <c r="AZ90" s="9">
        <v>0.99</v>
      </c>
      <c r="BA90" s="9">
        <v>1.0</v>
      </c>
      <c r="BB90" s="9">
        <v>1.0</v>
      </c>
      <c r="BC90" s="9">
        <v>1.0</v>
      </c>
      <c r="BD90" s="9">
        <v>1.0</v>
      </c>
      <c r="BE90" s="9">
        <v>1.0</v>
      </c>
      <c r="BF90" s="9">
        <v>1.0</v>
      </c>
      <c r="BG90" s="9">
        <v>0.546</v>
      </c>
      <c r="BH90" s="9">
        <v>0.54</v>
      </c>
      <c r="BI90" s="9">
        <v>0.47</v>
      </c>
      <c r="BJ90" s="6"/>
      <c r="BK90" s="6" t="str">
        <f t="shared" si="4"/>
        <v>PlottingTime</v>
      </c>
      <c r="BL90" s="11">
        <f t="shared" si="5"/>
        <v>0</v>
      </c>
      <c r="BM90" s="12" t="str">
        <f t="shared" si="6"/>
        <v>Group 3</v>
      </c>
      <c r="BN90" s="6" t="s">
        <v>83</v>
      </c>
      <c r="BO90" s="6" t="s">
        <v>1</v>
      </c>
      <c r="BP90" s="6"/>
      <c r="BQ90" s="6"/>
      <c r="BR90" s="6">
        <v>0.0</v>
      </c>
      <c r="BS90" s="6"/>
      <c r="BT90" s="6"/>
      <c r="BU90" s="6"/>
      <c r="BV90" s="6"/>
      <c r="BW90" s="6"/>
      <c r="BX90" s="6"/>
      <c r="BY90" s="6"/>
      <c r="BZ90" s="6"/>
    </row>
    <row r="91" ht="15.75" customHeight="1">
      <c r="A91" s="1" t="s">
        <v>185</v>
      </c>
      <c r="B91" s="7">
        <v>0.8771</v>
      </c>
      <c r="C91" s="8"/>
      <c r="D91" s="8"/>
      <c r="E91" s="9">
        <v>0.683231</v>
      </c>
      <c r="F91" s="9">
        <v>0.693591</v>
      </c>
      <c r="G91" s="9">
        <v>0.772608</v>
      </c>
      <c r="H91" s="9">
        <v>0.756979799</v>
      </c>
      <c r="I91" s="9">
        <v>0.755926251</v>
      </c>
      <c r="J91" s="9">
        <v>0.499561</v>
      </c>
      <c r="K91" s="9">
        <v>0.840035</v>
      </c>
      <c r="L91" s="9">
        <v>0.849868</v>
      </c>
      <c r="M91" s="9">
        <v>0.872695</v>
      </c>
      <c r="N91" s="9">
        <v>0.841088665</v>
      </c>
      <c r="O91" s="9">
        <v>0.838455</v>
      </c>
      <c r="P91" s="9">
        <v>0.854258</v>
      </c>
      <c r="Q91" s="9">
        <v>0.651449</v>
      </c>
      <c r="R91" s="9">
        <v>0.673398</v>
      </c>
      <c r="S91" s="9">
        <v>0.725198</v>
      </c>
      <c r="T91" s="9">
        <v>0.662159801</v>
      </c>
      <c r="U91" s="9">
        <v>0.652327</v>
      </c>
      <c r="V91" s="9">
        <v>0.720808</v>
      </c>
      <c r="W91" s="9">
        <v>0.747673</v>
      </c>
      <c r="X91" s="9">
        <v>0.806848</v>
      </c>
      <c r="Y91" s="9">
        <v>0.837577</v>
      </c>
      <c r="Z91" s="9">
        <v>0.813521</v>
      </c>
      <c r="AA91" s="9">
        <v>0.824407</v>
      </c>
      <c r="AB91" s="9">
        <v>0.845478</v>
      </c>
      <c r="AC91" s="9">
        <v>0.685162413</v>
      </c>
      <c r="AD91" s="9">
        <v>0.727831</v>
      </c>
      <c r="AE91" s="9">
        <v>0.71993</v>
      </c>
      <c r="AF91" s="9">
        <v>0.708165061</v>
      </c>
      <c r="AG91" s="9">
        <v>0.713784</v>
      </c>
      <c r="AH91" s="9">
        <v>0.757682</v>
      </c>
      <c r="AI91" s="9">
        <v>0.866374</v>
      </c>
      <c r="AJ91" s="9">
        <v>0.877085</v>
      </c>
      <c r="AK91" s="9">
        <v>0.906058</v>
      </c>
      <c r="AL91" s="9">
        <v>0.850746</v>
      </c>
      <c r="AM91" s="9">
        <v>0.85777</v>
      </c>
      <c r="AN91" s="9">
        <v>0.864794</v>
      </c>
      <c r="AO91" s="9">
        <v>0.688323</v>
      </c>
      <c r="AP91" s="9">
        <v>0.727831</v>
      </c>
      <c r="AQ91" s="9">
        <v>0.737489</v>
      </c>
      <c r="AR91" s="9">
        <v>0.680948198</v>
      </c>
      <c r="AS91" s="9">
        <v>0.690957</v>
      </c>
      <c r="AT91" s="9">
        <v>0.745391</v>
      </c>
      <c r="AU91" s="9">
        <v>0.716769</v>
      </c>
      <c r="AV91" s="9">
        <v>0.777875</v>
      </c>
      <c r="AW91" s="9">
        <v>0.833187</v>
      </c>
      <c r="AX91" s="9">
        <v>0.750132</v>
      </c>
      <c r="AY91" s="9">
        <v>0.768218</v>
      </c>
      <c r="AZ91" s="9">
        <v>0.835821</v>
      </c>
      <c r="BA91" s="9">
        <v>0.697981</v>
      </c>
      <c r="BB91" s="9">
        <v>0.732221</v>
      </c>
      <c r="BC91" s="9">
        <v>0.714662</v>
      </c>
      <c r="BD91" s="9">
        <v>0.739069</v>
      </c>
      <c r="BE91" s="9">
        <v>0.753292</v>
      </c>
      <c r="BF91" s="9">
        <v>0.774363</v>
      </c>
      <c r="BG91" s="9">
        <v>0.547147</v>
      </c>
      <c r="BH91" s="9">
        <v>0.556629</v>
      </c>
      <c r="BI91" s="9">
        <v>0.62072</v>
      </c>
      <c r="BJ91" s="6"/>
      <c r="BK91" s="6" t="str">
        <f t="shared" si="4"/>
        <v>10V_One_Acc</v>
      </c>
      <c r="BL91" s="11">
        <f t="shared" si="5"/>
        <v>0.028958</v>
      </c>
      <c r="BM91" s="12" t="str">
        <f t="shared" si="6"/>
        <v>Group 3</v>
      </c>
      <c r="BN91" s="6" t="s">
        <v>83</v>
      </c>
      <c r="BO91" s="6" t="s">
        <v>53</v>
      </c>
      <c r="BP91" s="6"/>
      <c r="BQ91" s="6"/>
      <c r="BR91" s="6">
        <v>0.02895800000000004</v>
      </c>
      <c r="BS91" s="6"/>
      <c r="BT91" s="6"/>
      <c r="BU91" s="6"/>
      <c r="BV91" s="6"/>
      <c r="BW91" s="6"/>
      <c r="BX91" s="6"/>
      <c r="BY91" s="6"/>
      <c r="BZ91" s="6"/>
    </row>
    <row r="92" ht="15.75" customHeight="1">
      <c r="A92" s="1" t="s">
        <v>186</v>
      </c>
      <c r="B92" s="7">
        <v>0.938</v>
      </c>
      <c r="C92" s="8"/>
      <c r="D92" s="8"/>
      <c r="E92" s="9">
        <v>0.51365</v>
      </c>
      <c r="F92" s="9">
        <v>0.5255</v>
      </c>
      <c r="G92" s="9">
        <v>0.4965</v>
      </c>
      <c r="H92" s="9">
        <v>0.484000003</v>
      </c>
      <c r="I92" s="9">
        <v>0.472250015</v>
      </c>
      <c r="J92" s="9">
        <v>0.25875</v>
      </c>
      <c r="K92" s="9">
        <v>0.5244</v>
      </c>
      <c r="L92" s="9">
        <v>0.55275</v>
      </c>
      <c r="M92" s="9">
        <v>0.62775</v>
      </c>
      <c r="N92" s="9">
        <v>0.541199994</v>
      </c>
      <c r="O92" s="9">
        <v>0.528</v>
      </c>
      <c r="P92" s="9">
        <v>0.602</v>
      </c>
      <c r="Q92" s="9">
        <v>0.4876</v>
      </c>
      <c r="R92" s="9">
        <v>0.46825</v>
      </c>
      <c r="S92" s="9">
        <v>0.5255</v>
      </c>
      <c r="T92" s="9">
        <v>0.460349995</v>
      </c>
      <c r="U92" s="9">
        <v>0.46875</v>
      </c>
      <c r="V92" s="9">
        <v>0.53</v>
      </c>
      <c r="W92" s="9">
        <v>0.5181</v>
      </c>
      <c r="X92" s="9">
        <v>0.60325</v>
      </c>
      <c r="Y92" s="9">
        <v>0.39375</v>
      </c>
      <c r="Z92" s="9">
        <v>0.48035</v>
      </c>
      <c r="AA92" s="9">
        <v>0.446</v>
      </c>
      <c r="AB92" s="9">
        <v>0.48875</v>
      </c>
      <c r="AC92" s="9">
        <v>0.481649995</v>
      </c>
      <c r="AD92" s="9">
        <v>0.4815</v>
      </c>
      <c r="AE92" s="9">
        <v>0.53875</v>
      </c>
      <c r="AF92" s="9">
        <v>0.496200001</v>
      </c>
      <c r="AG92" s="9">
        <v>0.49775</v>
      </c>
      <c r="AH92" s="9">
        <v>0.55</v>
      </c>
      <c r="AI92" s="9">
        <v>0.33525</v>
      </c>
      <c r="AJ92" s="9">
        <v>0.2855</v>
      </c>
      <c r="AK92" s="9">
        <v>0.324</v>
      </c>
      <c r="AL92" s="9">
        <v>0.3456</v>
      </c>
      <c r="AM92" s="9">
        <v>0.269</v>
      </c>
      <c r="AN92" s="9">
        <v>0.25875</v>
      </c>
      <c r="AO92" s="9">
        <v>0.4077</v>
      </c>
      <c r="AP92" s="9">
        <v>0.39425</v>
      </c>
      <c r="AQ92" s="9">
        <v>0.43075</v>
      </c>
      <c r="AR92" s="9">
        <v>0.489149994</v>
      </c>
      <c r="AS92" s="9">
        <v>0.4975</v>
      </c>
      <c r="AT92" s="9">
        <v>0.50025</v>
      </c>
      <c r="AU92" s="9">
        <v>0.40525</v>
      </c>
      <c r="AV92" s="9">
        <v>0.4195</v>
      </c>
      <c r="AW92" s="9">
        <v>0.407</v>
      </c>
      <c r="AX92" s="9">
        <v>0.3229</v>
      </c>
      <c r="AY92" s="9">
        <v>0.27725</v>
      </c>
      <c r="AZ92" s="9">
        <v>0.4795</v>
      </c>
      <c r="BA92" s="9">
        <v>0.4355</v>
      </c>
      <c r="BB92" s="9">
        <v>0.4315</v>
      </c>
      <c r="BC92" s="9">
        <v>0.53325</v>
      </c>
      <c r="BD92" s="9">
        <v>0.31495</v>
      </c>
      <c r="BE92" s="9">
        <v>0.263</v>
      </c>
      <c r="BF92" s="9">
        <v>0.25875</v>
      </c>
      <c r="BG92" s="9">
        <v>0.7824</v>
      </c>
      <c r="BH92" s="9">
        <v>0.78675</v>
      </c>
      <c r="BI92" s="9">
        <v>0.83475</v>
      </c>
      <c r="BJ92" s="6"/>
      <c r="BK92" s="6" t="str">
        <f t="shared" si="4"/>
        <v>PlottingTime</v>
      </c>
      <c r="BL92" s="11">
        <f t="shared" si="5"/>
        <v>-0.10325</v>
      </c>
      <c r="BM92" s="12" t="str">
        <f t="shared" si="6"/>
        <v>Group 1</v>
      </c>
      <c r="BN92" s="6" t="s">
        <v>81</v>
      </c>
      <c r="BO92" s="6" t="s">
        <v>1</v>
      </c>
      <c r="BP92" s="6">
        <v>-0.10324999999999995</v>
      </c>
      <c r="BQ92" s="6"/>
      <c r="BR92" s="6"/>
      <c r="BS92" s="6"/>
      <c r="BT92" s="6"/>
      <c r="BU92" s="6"/>
      <c r="BV92" s="6"/>
      <c r="BW92" s="6"/>
      <c r="BX92" s="6"/>
      <c r="BY92" s="6"/>
      <c r="BZ92" s="6"/>
    </row>
    <row r="93" ht="15.75" customHeight="1">
      <c r="A93" s="1" t="s">
        <v>187</v>
      </c>
      <c r="B93" s="7">
        <v>0.9931</v>
      </c>
      <c r="C93" s="8"/>
      <c r="D93" s="8"/>
      <c r="E93" s="9">
        <v>0.833333</v>
      </c>
      <c r="F93" s="9">
        <v>0.854167</v>
      </c>
      <c r="G93" s="9">
        <v>0.868056</v>
      </c>
      <c r="H93" s="9">
        <v>0.820833325</v>
      </c>
      <c r="I93" s="9">
        <v>0.819444418</v>
      </c>
      <c r="J93" s="9">
        <v>0.333333</v>
      </c>
      <c r="K93" s="9">
        <v>0.781944</v>
      </c>
      <c r="L93" s="9">
        <v>0.777778</v>
      </c>
      <c r="M93" s="9">
        <v>0.805556</v>
      </c>
      <c r="N93" s="9">
        <v>0.788888896</v>
      </c>
      <c r="O93" s="9">
        <v>0.791667</v>
      </c>
      <c r="P93" s="9">
        <v>0.826389</v>
      </c>
      <c r="Q93" s="9">
        <v>0.884722</v>
      </c>
      <c r="R93" s="9">
        <v>0.881944</v>
      </c>
      <c r="S93" s="9">
        <v>0.881944</v>
      </c>
      <c r="T93" s="9">
        <v>0.852777767</v>
      </c>
      <c r="U93" s="9">
        <v>0.861111</v>
      </c>
      <c r="V93" s="9">
        <v>0.861111</v>
      </c>
      <c r="W93" s="9">
        <v>0.888889</v>
      </c>
      <c r="X93" s="9">
        <v>0.902778</v>
      </c>
      <c r="Y93" s="9">
        <v>0.930556</v>
      </c>
      <c r="Z93" s="9">
        <v>0.934722</v>
      </c>
      <c r="AA93" s="9">
        <v>0.9375</v>
      </c>
      <c r="AB93" s="9">
        <v>0.965278</v>
      </c>
      <c r="AC93" s="9">
        <v>0.865277779</v>
      </c>
      <c r="AD93" s="9">
        <v>0.881944</v>
      </c>
      <c r="AE93" s="9">
        <v>0.881944</v>
      </c>
      <c r="AF93" s="9">
        <v>0.829166675</v>
      </c>
      <c r="AG93" s="9">
        <v>0.854167</v>
      </c>
      <c r="AH93" s="9">
        <v>0.881944</v>
      </c>
      <c r="AI93" s="9">
        <v>0.8625</v>
      </c>
      <c r="AJ93" s="9">
        <v>0.868056</v>
      </c>
      <c r="AK93" s="9">
        <v>0.861111</v>
      </c>
      <c r="AL93" s="9">
        <v>0.883333</v>
      </c>
      <c r="AM93" s="9">
        <v>0.881944</v>
      </c>
      <c r="AN93" s="9">
        <v>0.881944</v>
      </c>
      <c r="AO93" s="9">
        <v>0.848611</v>
      </c>
      <c r="AP93" s="9">
        <v>0.854167</v>
      </c>
      <c r="AQ93" s="9">
        <v>0.875</v>
      </c>
      <c r="AR93" s="9">
        <v>0.815277779</v>
      </c>
      <c r="AS93" s="9">
        <v>0.833333</v>
      </c>
      <c r="AT93" s="9">
        <v>0.875</v>
      </c>
      <c r="AU93" s="9">
        <v>0.848611</v>
      </c>
      <c r="AV93" s="9">
        <v>0.861111</v>
      </c>
      <c r="AW93" s="9">
        <v>0.826389</v>
      </c>
      <c r="AX93" s="9">
        <v>0.8625</v>
      </c>
      <c r="AY93" s="9">
        <v>0.861111</v>
      </c>
      <c r="AZ93" s="9">
        <v>0.902778</v>
      </c>
      <c r="BA93" s="9">
        <v>0.8625</v>
      </c>
      <c r="BB93" s="9">
        <v>0.888889</v>
      </c>
      <c r="BC93" s="9">
        <v>0.895833</v>
      </c>
      <c r="BD93" s="9">
        <v>0.859722</v>
      </c>
      <c r="BE93" s="9">
        <v>0.868056</v>
      </c>
      <c r="BF93" s="9">
        <v>0.909722</v>
      </c>
      <c r="BG93" s="9">
        <v>0.648611</v>
      </c>
      <c r="BH93" s="9">
        <v>0.631944</v>
      </c>
      <c r="BI93" s="9">
        <v>0.729167</v>
      </c>
      <c r="BJ93" s="6"/>
      <c r="BK93" s="6" t="str">
        <f t="shared" si="4"/>
        <v>PlottingTime</v>
      </c>
      <c r="BL93" s="11">
        <f t="shared" si="5"/>
        <v>-0.027822</v>
      </c>
      <c r="BM93" s="12" t="str">
        <f t="shared" si="6"/>
        <v>Group 3</v>
      </c>
      <c r="BN93" s="6" t="s">
        <v>83</v>
      </c>
      <c r="BO93" s="6" t="s">
        <v>1</v>
      </c>
      <c r="BP93" s="6"/>
      <c r="BQ93" s="6"/>
      <c r="BR93" s="6">
        <v>-0.027822000000000013</v>
      </c>
      <c r="BS93" s="6"/>
      <c r="BT93" s="6"/>
      <c r="BU93" s="6"/>
      <c r="BV93" s="6"/>
      <c r="BW93" s="6"/>
      <c r="BX93" s="6"/>
      <c r="BY93" s="6"/>
      <c r="BZ93" s="6"/>
    </row>
    <row r="94" ht="15.75" customHeight="1">
      <c r="A94" s="1" t="s">
        <v>188</v>
      </c>
      <c r="B94" s="7">
        <v>0.9509</v>
      </c>
      <c r="C94" s="8"/>
      <c r="D94" s="8"/>
      <c r="E94" s="9">
        <v>0.75014</v>
      </c>
      <c r="F94" s="9">
        <v>0.765773</v>
      </c>
      <c r="G94" s="9">
        <v>0.729202</v>
      </c>
      <c r="H94" s="9">
        <v>0.738525963</v>
      </c>
      <c r="I94" s="9">
        <v>0.746231139</v>
      </c>
      <c r="J94" s="9">
        <v>0.120882</v>
      </c>
      <c r="K94" s="9">
        <v>0.648353</v>
      </c>
      <c r="L94" s="9">
        <v>0.660804</v>
      </c>
      <c r="M94" s="9">
        <v>0.605807</v>
      </c>
      <c r="N94" s="9">
        <v>0.624343944</v>
      </c>
      <c r="O94" s="9">
        <v>0.617253</v>
      </c>
      <c r="P94" s="9">
        <v>0.800112</v>
      </c>
      <c r="Q94" s="9">
        <v>0.854551</v>
      </c>
      <c r="R94" s="9">
        <v>0.855388</v>
      </c>
      <c r="S94" s="9">
        <v>0.861809</v>
      </c>
      <c r="T94" s="9">
        <v>0.822836411</v>
      </c>
      <c r="U94" s="9">
        <v>0.840592</v>
      </c>
      <c r="V94" s="9">
        <v>0.711893</v>
      </c>
      <c r="W94" s="9">
        <v>0.743272</v>
      </c>
      <c r="X94" s="9">
        <v>0.824958</v>
      </c>
      <c r="Y94" s="9">
        <v>0.729481</v>
      </c>
      <c r="Z94" s="9">
        <v>0.61541</v>
      </c>
      <c r="AA94" s="9">
        <v>0.563652</v>
      </c>
      <c r="AB94" s="9">
        <v>0.646845</v>
      </c>
      <c r="AC94" s="9">
        <v>0.895365727</v>
      </c>
      <c r="AD94" s="9">
        <v>0.896706</v>
      </c>
      <c r="AE94" s="9">
        <v>0.886656</v>
      </c>
      <c r="AF94" s="9">
        <v>0.886934674</v>
      </c>
      <c r="AG94" s="9">
        <v>0.890564</v>
      </c>
      <c r="AH94" s="9">
        <v>0.896985</v>
      </c>
      <c r="AI94" s="9">
        <v>0.768565</v>
      </c>
      <c r="AJ94" s="9">
        <v>0.829704</v>
      </c>
      <c r="AK94" s="9">
        <v>0.721664</v>
      </c>
      <c r="AL94" s="9">
        <v>0.801843</v>
      </c>
      <c r="AM94" s="9">
        <v>0.828587</v>
      </c>
      <c r="AN94" s="9">
        <v>0.884701</v>
      </c>
      <c r="AO94" s="9">
        <v>0.882412</v>
      </c>
      <c r="AP94" s="9">
        <v>0.887214</v>
      </c>
      <c r="AQ94" s="9">
        <v>0.882468</v>
      </c>
      <c r="AR94" s="9">
        <v>0.886543834</v>
      </c>
      <c r="AS94" s="9">
        <v>0.886097</v>
      </c>
      <c r="AT94" s="9">
        <v>0.852596</v>
      </c>
      <c r="AU94" s="9">
        <v>0.720491</v>
      </c>
      <c r="AV94" s="9">
        <v>0.675042</v>
      </c>
      <c r="AW94" s="9">
        <v>0.80402</v>
      </c>
      <c r="AX94" s="9">
        <v>0.704411</v>
      </c>
      <c r="AY94" s="9">
        <v>0.740089</v>
      </c>
      <c r="AZ94" s="9">
        <v>0.78392</v>
      </c>
      <c r="BA94" s="9">
        <v>0.886544</v>
      </c>
      <c r="BB94" s="9">
        <v>0.888331</v>
      </c>
      <c r="BC94" s="9">
        <v>0.898939</v>
      </c>
      <c r="BD94" s="9">
        <v>0.839419</v>
      </c>
      <c r="BE94" s="9">
        <v>0.879955</v>
      </c>
      <c r="BF94" s="9">
        <v>0.911223</v>
      </c>
      <c r="BG94" s="9">
        <v>0.908934</v>
      </c>
      <c r="BH94" s="9">
        <v>0.907594</v>
      </c>
      <c r="BI94" s="9">
        <v>0.916806</v>
      </c>
      <c r="BJ94" s="6"/>
      <c r="BK94" s="6" t="str">
        <f t="shared" si="4"/>
        <v>PlottingTime</v>
      </c>
      <c r="BL94" s="11">
        <f t="shared" si="5"/>
        <v>-0.034094</v>
      </c>
      <c r="BM94" s="12" t="str">
        <f t="shared" si="6"/>
        <v>Group 3</v>
      </c>
      <c r="BN94" s="6" t="s">
        <v>83</v>
      </c>
      <c r="BO94" s="6" t="s">
        <v>1</v>
      </c>
      <c r="BP94" s="6"/>
      <c r="BQ94" s="6"/>
      <c r="BR94" s="6">
        <v>-0.03409399999999996</v>
      </c>
      <c r="BS94" s="6"/>
      <c r="BT94" s="6"/>
      <c r="BU94" s="6"/>
      <c r="BV94" s="6"/>
      <c r="BW94" s="6"/>
      <c r="BX94" s="6"/>
      <c r="BY94" s="6"/>
      <c r="BZ94" s="6"/>
    </row>
    <row r="95" ht="15.75" customHeight="1">
      <c r="A95" s="1" t="s">
        <v>189</v>
      </c>
      <c r="B95" s="7">
        <v>0.9945</v>
      </c>
      <c r="C95" s="8"/>
      <c r="D95" s="8"/>
      <c r="E95" s="9">
        <v>0.892116</v>
      </c>
      <c r="F95" s="9">
        <v>0.892116</v>
      </c>
      <c r="G95" s="9">
        <v>0.892116</v>
      </c>
      <c r="H95" s="9">
        <v>0.892115533</v>
      </c>
      <c r="I95" s="9">
        <v>0.892115533</v>
      </c>
      <c r="J95" s="9">
        <v>0.892116</v>
      </c>
      <c r="K95" s="9">
        <v>0.892116</v>
      </c>
      <c r="L95" s="9">
        <v>0.892116</v>
      </c>
      <c r="M95" s="9">
        <v>0.892116</v>
      </c>
      <c r="N95" s="9">
        <v>0.892115533</v>
      </c>
      <c r="O95" s="9">
        <v>0.892116</v>
      </c>
      <c r="P95" s="9">
        <v>0.892116</v>
      </c>
      <c r="Q95" s="9">
        <v>0.892116</v>
      </c>
      <c r="R95" s="9">
        <v>0.892116</v>
      </c>
      <c r="S95" s="9">
        <v>0.892116</v>
      </c>
      <c r="T95" s="9">
        <v>0.892115533</v>
      </c>
      <c r="U95" s="9">
        <v>0.892116</v>
      </c>
      <c r="V95" s="9">
        <v>0.892116</v>
      </c>
      <c r="W95" s="9">
        <v>0.892116</v>
      </c>
      <c r="X95" s="9">
        <v>0.892116</v>
      </c>
      <c r="Y95" s="9">
        <v>0.892116</v>
      </c>
      <c r="Z95" s="9">
        <v>0.892116</v>
      </c>
      <c r="AA95" s="9">
        <v>0.892116</v>
      </c>
      <c r="AB95" s="9">
        <v>0.892116</v>
      </c>
      <c r="AC95" s="9">
        <v>0.892115533</v>
      </c>
      <c r="AD95" s="9">
        <v>0.892116</v>
      </c>
      <c r="AE95" s="9">
        <v>0.892116</v>
      </c>
      <c r="AF95" s="9">
        <v>0.892115533</v>
      </c>
      <c r="AG95" s="9">
        <v>0.892116</v>
      </c>
      <c r="AH95" s="9">
        <v>0.892116</v>
      </c>
      <c r="AI95" s="9">
        <v>0.892116</v>
      </c>
      <c r="AJ95" s="9">
        <v>0.892116</v>
      </c>
      <c r="AK95" s="9">
        <v>0.892116</v>
      </c>
      <c r="AL95" s="9">
        <v>0.892116</v>
      </c>
      <c r="AM95" s="9">
        <v>0.892116</v>
      </c>
      <c r="AN95" s="9">
        <v>0.892116</v>
      </c>
      <c r="AO95" s="9">
        <v>0.892116</v>
      </c>
      <c r="AP95" s="9">
        <v>0.892116</v>
      </c>
      <c r="AQ95" s="9">
        <v>0.892116</v>
      </c>
      <c r="AR95" s="9">
        <v>0.892115533</v>
      </c>
      <c r="AS95" s="9">
        <v>0.892116</v>
      </c>
      <c r="AT95" s="9">
        <v>0.892116</v>
      </c>
      <c r="AU95" s="9">
        <v>0.892116</v>
      </c>
      <c r="AV95" s="9">
        <v>0.892116</v>
      </c>
      <c r="AW95" s="9">
        <v>0.892116</v>
      </c>
      <c r="AX95" s="9">
        <v>0.892116</v>
      </c>
      <c r="AY95" s="9">
        <v>0.892116</v>
      </c>
      <c r="AZ95" s="9">
        <v>0.892116</v>
      </c>
      <c r="BA95" s="9">
        <v>0.892116</v>
      </c>
      <c r="BB95" s="9">
        <v>0.892116</v>
      </c>
      <c r="BC95" s="9">
        <v>0.892116</v>
      </c>
      <c r="BD95" s="9">
        <v>0.892116</v>
      </c>
      <c r="BE95" s="9">
        <v>0.892116</v>
      </c>
      <c r="BF95" s="9">
        <v>0.892116</v>
      </c>
      <c r="BG95" s="9">
        <v>0.892116</v>
      </c>
      <c r="BH95" s="9">
        <v>0.892116</v>
      </c>
      <c r="BI95" s="9">
        <v>0.892116</v>
      </c>
      <c r="BJ95" s="6"/>
      <c r="BK95" s="6" t="str">
        <f t="shared" si="4"/>
        <v>PlottingTime</v>
      </c>
      <c r="BL95" s="11">
        <f t="shared" si="5"/>
        <v>-0.102384</v>
      </c>
      <c r="BM95" s="12" t="str">
        <f t="shared" si="6"/>
        <v>Group 1</v>
      </c>
      <c r="BN95" s="6" t="s">
        <v>81</v>
      </c>
      <c r="BO95" s="6" t="s">
        <v>1</v>
      </c>
      <c r="BP95" s="6">
        <v>-0.10238400000000003</v>
      </c>
      <c r="BQ95" s="6"/>
      <c r="BR95" s="6"/>
      <c r="BS95" s="6"/>
      <c r="BT95" s="6"/>
      <c r="BU95" s="6"/>
      <c r="BV95" s="6"/>
      <c r="BW95" s="6"/>
      <c r="BX95" s="6"/>
      <c r="BY95" s="6"/>
      <c r="BZ95" s="6"/>
    </row>
    <row r="96" ht="15.75" customHeight="1">
      <c r="A96" s="1" t="s">
        <v>190</v>
      </c>
      <c r="B96" s="7">
        <v>0.6481</v>
      </c>
      <c r="C96" s="8"/>
      <c r="D96" s="8"/>
      <c r="E96" s="9">
        <v>0.637037</v>
      </c>
      <c r="F96" s="9">
        <v>0.611111</v>
      </c>
      <c r="G96" s="9">
        <v>0.5</v>
      </c>
      <c r="H96" s="9">
        <v>0.503703701</v>
      </c>
      <c r="I96" s="9">
        <v>0.5</v>
      </c>
      <c r="J96" s="9">
        <v>0.5</v>
      </c>
      <c r="K96" s="9">
        <v>0.5</v>
      </c>
      <c r="L96" s="9">
        <v>0.5</v>
      </c>
      <c r="M96" s="9">
        <v>0.5</v>
      </c>
      <c r="N96" s="9">
        <v>0.5</v>
      </c>
      <c r="O96" s="9">
        <v>0.5</v>
      </c>
      <c r="P96" s="9">
        <v>0.5</v>
      </c>
      <c r="Q96" s="9">
        <v>0.533333</v>
      </c>
      <c r="R96" s="9">
        <v>0.5</v>
      </c>
      <c r="S96" s="9">
        <v>0.5</v>
      </c>
      <c r="T96" s="9">
        <v>0.522222221</v>
      </c>
      <c r="U96" s="9">
        <v>0.5</v>
      </c>
      <c r="V96" s="9">
        <v>0.444444</v>
      </c>
      <c r="W96" s="9">
        <v>0.5</v>
      </c>
      <c r="X96" s="9">
        <v>0.5</v>
      </c>
      <c r="Y96" s="9">
        <v>0.5</v>
      </c>
      <c r="Z96" s="9">
        <v>0.540741</v>
      </c>
      <c r="AA96" s="9">
        <v>0.5</v>
      </c>
      <c r="AB96" s="9">
        <v>0.5</v>
      </c>
      <c r="AC96" s="9">
        <v>0.537037039</v>
      </c>
      <c r="AD96" s="9">
        <v>0.5</v>
      </c>
      <c r="AE96" s="9">
        <v>0.5</v>
      </c>
      <c r="AF96" s="9">
        <v>0.570370364</v>
      </c>
      <c r="AG96" s="9">
        <v>0.5</v>
      </c>
      <c r="AH96" s="9">
        <v>0.5</v>
      </c>
      <c r="AI96" s="9">
        <v>0.507407</v>
      </c>
      <c r="AJ96" s="9">
        <v>0.5</v>
      </c>
      <c r="AK96" s="9">
        <v>0.5</v>
      </c>
      <c r="AL96" s="9">
        <v>0.5</v>
      </c>
      <c r="AM96" s="9">
        <v>0.5</v>
      </c>
      <c r="AN96" s="9">
        <v>0.5</v>
      </c>
      <c r="AO96" s="9">
        <v>0.496296</v>
      </c>
      <c r="AP96" s="9">
        <v>0.5</v>
      </c>
      <c r="AQ96" s="9">
        <v>0.5</v>
      </c>
      <c r="AR96" s="9">
        <v>0.477777779</v>
      </c>
      <c r="AS96" s="9">
        <v>0.5</v>
      </c>
      <c r="AT96" s="9">
        <v>0.5</v>
      </c>
      <c r="AU96" s="9">
        <v>0.474074</v>
      </c>
      <c r="AV96" s="9">
        <v>0.5</v>
      </c>
      <c r="AW96" s="9">
        <v>0.592593</v>
      </c>
      <c r="AX96" s="9">
        <v>0.5</v>
      </c>
      <c r="AY96" s="9">
        <v>0.5</v>
      </c>
      <c r="AZ96" s="9">
        <v>0.5</v>
      </c>
      <c r="BA96" s="9">
        <v>0.511111</v>
      </c>
      <c r="BB96" s="9">
        <v>0.5</v>
      </c>
      <c r="BC96" s="9">
        <v>0.5</v>
      </c>
      <c r="BD96" s="9">
        <v>0.5</v>
      </c>
      <c r="BE96" s="9">
        <v>0.5</v>
      </c>
      <c r="BF96" s="9">
        <v>0.5</v>
      </c>
      <c r="BG96" s="9">
        <v>0.5</v>
      </c>
      <c r="BH96" s="9">
        <v>0.5</v>
      </c>
      <c r="BI96" s="9">
        <v>0.5</v>
      </c>
      <c r="BJ96" s="6"/>
      <c r="BK96" s="6" t="str">
        <f t="shared" si="4"/>
        <v>PlottingTime</v>
      </c>
      <c r="BL96" s="11">
        <f t="shared" si="5"/>
        <v>-0.011063</v>
      </c>
      <c r="BM96" s="12" t="str">
        <f t="shared" si="6"/>
        <v>Group 3</v>
      </c>
      <c r="BN96" s="6" t="s">
        <v>83</v>
      </c>
      <c r="BO96" s="6" t="s">
        <v>1</v>
      </c>
      <c r="BP96" s="6"/>
      <c r="BQ96" s="6"/>
      <c r="BR96" s="6">
        <v>-0.011063000000000045</v>
      </c>
      <c r="BS96" s="6"/>
      <c r="BT96" s="6"/>
      <c r="BU96" s="6"/>
      <c r="BV96" s="6"/>
      <c r="BW96" s="6"/>
      <c r="BX96" s="6"/>
      <c r="BY96" s="6"/>
      <c r="BZ96" s="6"/>
    </row>
    <row r="97" ht="15.75" customHeight="1">
      <c r="A97" s="1" t="s">
        <v>191</v>
      </c>
      <c r="B97" s="7">
        <v>0.6411</v>
      </c>
      <c r="C97" s="8"/>
      <c r="D97" s="8"/>
      <c r="E97" s="9">
        <v>0.400627</v>
      </c>
      <c r="F97" s="9">
        <v>0.399687</v>
      </c>
      <c r="G97" s="9">
        <v>0.423197</v>
      </c>
      <c r="H97" s="9">
        <v>0.421003127</v>
      </c>
      <c r="I97" s="9">
        <v>0.4106583</v>
      </c>
      <c r="J97" s="9">
        <v>0.219436</v>
      </c>
      <c r="K97" s="9">
        <v>0.382759</v>
      </c>
      <c r="L97" s="9">
        <v>0.393417</v>
      </c>
      <c r="M97" s="9">
        <v>0.402821</v>
      </c>
      <c r="N97" s="9">
        <v>0.384952974</v>
      </c>
      <c r="O97" s="9">
        <v>0.382445</v>
      </c>
      <c r="P97" s="9">
        <v>0.401254</v>
      </c>
      <c r="Q97" s="9">
        <v>0.434796</v>
      </c>
      <c r="R97" s="9">
        <v>0.420063</v>
      </c>
      <c r="S97" s="9">
        <v>0.478056</v>
      </c>
      <c r="T97" s="9">
        <v>0.433228844</v>
      </c>
      <c r="U97" s="9">
        <v>0.4279</v>
      </c>
      <c r="V97" s="9">
        <v>0.473354</v>
      </c>
      <c r="W97" s="9">
        <v>0.394671</v>
      </c>
      <c r="X97" s="9">
        <v>0.407524</v>
      </c>
      <c r="Y97" s="9">
        <v>0.368339</v>
      </c>
      <c r="Z97" s="9">
        <v>0.387774</v>
      </c>
      <c r="AA97" s="9">
        <v>0.394984</v>
      </c>
      <c r="AB97" s="9">
        <v>0.46395</v>
      </c>
      <c r="AC97" s="9">
        <v>0.43573668</v>
      </c>
      <c r="AD97" s="9">
        <v>0.437304</v>
      </c>
      <c r="AE97" s="9">
        <v>0.420063</v>
      </c>
      <c r="AF97" s="9">
        <v>0.431661439</v>
      </c>
      <c r="AG97" s="9">
        <v>0.437304</v>
      </c>
      <c r="AH97" s="9">
        <v>0.474922</v>
      </c>
      <c r="AI97" s="9">
        <v>0.374295</v>
      </c>
      <c r="AJ97" s="9">
        <v>0.358934</v>
      </c>
      <c r="AK97" s="9">
        <v>0.432602</v>
      </c>
      <c r="AL97" s="9">
        <v>0.387774</v>
      </c>
      <c r="AM97" s="9">
        <v>0.42163</v>
      </c>
      <c r="AN97" s="9">
        <v>0.426332</v>
      </c>
      <c r="AO97" s="9">
        <v>0.426019</v>
      </c>
      <c r="AP97" s="9">
        <v>0.420063</v>
      </c>
      <c r="AQ97" s="9">
        <v>0.470219</v>
      </c>
      <c r="AR97" s="9">
        <v>0.441379303</v>
      </c>
      <c r="AS97" s="9">
        <v>0.452978</v>
      </c>
      <c r="AT97" s="9">
        <v>0.487461</v>
      </c>
      <c r="AU97" s="9">
        <v>0.391223</v>
      </c>
      <c r="AV97" s="9">
        <v>0.380878</v>
      </c>
      <c r="AW97" s="9">
        <v>0.380878</v>
      </c>
      <c r="AX97" s="9">
        <v>0.401881</v>
      </c>
      <c r="AY97" s="9">
        <v>0.407524</v>
      </c>
      <c r="AZ97" s="9">
        <v>0.409091</v>
      </c>
      <c r="BA97" s="9">
        <v>0.422884</v>
      </c>
      <c r="BB97" s="9">
        <v>0.410658</v>
      </c>
      <c r="BC97" s="9">
        <v>0.393417</v>
      </c>
      <c r="BD97" s="9">
        <v>0.384639</v>
      </c>
      <c r="BE97" s="9">
        <v>0.407524</v>
      </c>
      <c r="BF97" s="9">
        <v>0.442006</v>
      </c>
      <c r="BG97" s="9">
        <v>0.389969</v>
      </c>
      <c r="BH97" s="9">
        <v>0.396552</v>
      </c>
      <c r="BI97" s="9">
        <v>0.420063</v>
      </c>
      <c r="BJ97" s="6"/>
      <c r="BK97" s="6" t="str">
        <f t="shared" si="4"/>
        <v>PlottingTime</v>
      </c>
      <c r="BL97" s="11">
        <f t="shared" si="5"/>
        <v>-0.153639</v>
      </c>
      <c r="BM97" s="12" t="str">
        <f t="shared" si="6"/>
        <v>Group 1</v>
      </c>
      <c r="BN97" s="6" t="s">
        <v>81</v>
      </c>
      <c r="BO97" s="6" t="s">
        <v>1</v>
      </c>
      <c r="BP97" s="6">
        <v>-0.15363900000000003</v>
      </c>
      <c r="BQ97" s="6"/>
      <c r="BR97" s="6"/>
      <c r="BS97" s="6"/>
      <c r="BT97" s="6"/>
      <c r="BU97" s="6"/>
      <c r="BV97" s="6"/>
      <c r="BW97" s="6"/>
      <c r="BX97" s="6"/>
      <c r="BY97" s="6"/>
      <c r="BZ97" s="6"/>
    </row>
    <row r="98" ht="15.75" customHeight="1">
      <c r="A98" s="1" t="s">
        <v>192</v>
      </c>
      <c r="B98" s="7">
        <v>0.5714</v>
      </c>
      <c r="C98" s="8"/>
      <c r="D98" s="8"/>
      <c r="E98" s="9">
        <v>0.493506</v>
      </c>
      <c r="F98" s="9">
        <v>0.506494</v>
      </c>
      <c r="G98" s="9">
        <v>0.493506</v>
      </c>
      <c r="H98" s="9">
        <v>0.472727263</v>
      </c>
      <c r="I98" s="9">
        <v>0.467532456</v>
      </c>
      <c r="J98" s="9">
        <v>0.428571</v>
      </c>
      <c r="K98" s="9">
        <v>0.483117</v>
      </c>
      <c r="L98" s="9">
        <v>0.480519</v>
      </c>
      <c r="M98" s="9">
        <v>0.545455</v>
      </c>
      <c r="N98" s="9">
        <v>0.477922088</v>
      </c>
      <c r="O98" s="9">
        <v>0.454545</v>
      </c>
      <c r="P98" s="9">
        <v>0.506494</v>
      </c>
      <c r="Q98" s="9">
        <v>0.464935</v>
      </c>
      <c r="R98" s="9">
        <v>0.493506</v>
      </c>
      <c r="S98" s="9">
        <v>0.454545</v>
      </c>
      <c r="T98" s="9">
        <v>0.483116889</v>
      </c>
      <c r="U98" s="9">
        <v>0.519481</v>
      </c>
      <c r="V98" s="9">
        <v>0.519481</v>
      </c>
      <c r="W98" s="9">
        <v>0.496104</v>
      </c>
      <c r="X98" s="9">
        <v>0.519481</v>
      </c>
      <c r="Y98" s="9">
        <v>0.480519</v>
      </c>
      <c r="Z98" s="9">
        <v>0.47013</v>
      </c>
      <c r="AA98" s="9">
        <v>0.454545</v>
      </c>
      <c r="AB98" s="9">
        <v>0.441558</v>
      </c>
      <c r="AC98" s="9">
        <v>0.477922076</v>
      </c>
      <c r="AD98" s="9">
        <v>0.480519</v>
      </c>
      <c r="AE98" s="9">
        <v>0.467532</v>
      </c>
      <c r="AF98" s="9">
        <v>0.490909088</v>
      </c>
      <c r="AG98" s="9">
        <v>0.480519</v>
      </c>
      <c r="AH98" s="9">
        <v>0.454545</v>
      </c>
      <c r="AI98" s="9">
        <v>0.490909</v>
      </c>
      <c r="AJ98" s="9">
        <v>0.493506</v>
      </c>
      <c r="AK98" s="9">
        <v>0.493506</v>
      </c>
      <c r="AL98" s="9">
        <v>0.451948</v>
      </c>
      <c r="AM98" s="9">
        <v>0.454545</v>
      </c>
      <c r="AN98" s="9">
        <v>0.402597</v>
      </c>
      <c r="AO98" s="9">
        <v>0.496104</v>
      </c>
      <c r="AP98" s="9">
        <v>0.519481</v>
      </c>
      <c r="AQ98" s="9">
        <v>0.61039</v>
      </c>
      <c r="AR98" s="9">
        <v>0.516883123</v>
      </c>
      <c r="AS98" s="9">
        <v>0.519481</v>
      </c>
      <c r="AT98" s="9">
        <v>0.584416</v>
      </c>
      <c r="AU98" s="9">
        <v>0.480519</v>
      </c>
      <c r="AV98" s="9">
        <v>0.480519</v>
      </c>
      <c r="AW98" s="9">
        <v>0.506494</v>
      </c>
      <c r="AX98" s="9">
        <v>0.464935</v>
      </c>
      <c r="AY98" s="9">
        <v>0.467532</v>
      </c>
      <c r="AZ98" s="9">
        <v>0.428571</v>
      </c>
      <c r="BA98" s="9">
        <v>0.498701</v>
      </c>
      <c r="BB98" s="9">
        <v>0.493506</v>
      </c>
      <c r="BC98" s="9">
        <v>0.506494</v>
      </c>
      <c r="BD98" s="9">
        <v>0.472727</v>
      </c>
      <c r="BE98" s="9">
        <v>0.480519</v>
      </c>
      <c r="BF98" s="9">
        <v>0.584416</v>
      </c>
      <c r="BG98" s="9">
        <v>0.428571</v>
      </c>
      <c r="BH98" s="9">
        <v>0.428571</v>
      </c>
      <c r="BI98" s="9">
        <v>0.428571</v>
      </c>
      <c r="BJ98" s="6"/>
      <c r="BK98" s="6" t="str">
        <f t="shared" si="4"/>
        <v>12B_One_Acc</v>
      </c>
      <c r="BL98" s="11">
        <f t="shared" si="5"/>
        <v>0.03899</v>
      </c>
      <c r="BM98" s="12" t="str">
        <f t="shared" si="6"/>
        <v>Group 3</v>
      </c>
      <c r="BN98" s="6" t="s">
        <v>83</v>
      </c>
      <c r="BO98" s="6" t="s">
        <v>59</v>
      </c>
      <c r="BP98" s="6"/>
      <c r="BQ98" s="6"/>
      <c r="BR98" s="6">
        <v>0.03898999999999997</v>
      </c>
      <c r="BS98" s="6"/>
      <c r="BT98" s="6"/>
      <c r="BU98" s="6"/>
      <c r="BV98" s="6"/>
      <c r="BW98" s="6"/>
      <c r="BX98" s="6"/>
      <c r="BY98" s="6"/>
      <c r="BZ98" s="6"/>
    </row>
    <row r="99" ht="15.75" customHeight="1">
      <c r="A99" s="1" t="s">
        <v>193</v>
      </c>
      <c r="B99" s="7">
        <v>0.8052</v>
      </c>
      <c r="C99" s="8"/>
      <c r="D99" s="8"/>
      <c r="E99" s="9">
        <v>0.592208</v>
      </c>
      <c r="F99" s="9">
        <v>0.61039</v>
      </c>
      <c r="G99" s="9">
        <v>0.61039</v>
      </c>
      <c r="H99" s="9">
        <v>0.594805193</v>
      </c>
      <c r="I99" s="9">
        <v>0.61038959</v>
      </c>
      <c r="J99" s="9">
        <v>0.584416</v>
      </c>
      <c r="K99" s="9">
        <v>0.558442</v>
      </c>
      <c r="L99" s="9">
        <v>0.571429</v>
      </c>
      <c r="M99" s="9">
        <v>0.558442</v>
      </c>
      <c r="N99" s="9">
        <v>0.584415591</v>
      </c>
      <c r="O99" s="9">
        <v>0.571429</v>
      </c>
      <c r="P99" s="9">
        <v>0.597403</v>
      </c>
      <c r="Q99" s="9">
        <v>0.58961</v>
      </c>
      <c r="R99" s="9">
        <v>0.597403</v>
      </c>
      <c r="S99" s="9">
        <v>0.597403</v>
      </c>
      <c r="T99" s="9">
        <v>0.597402596</v>
      </c>
      <c r="U99" s="9">
        <v>0.597403</v>
      </c>
      <c r="V99" s="9">
        <v>0.571429</v>
      </c>
      <c r="W99" s="9">
        <v>0.558442</v>
      </c>
      <c r="X99" s="9">
        <v>0.558442</v>
      </c>
      <c r="Y99" s="9">
        <v>0.571429</v>
      </c>
      <c r="Z99" s="9">
        <v>0.561039</v>
      </c>
      <c r="AA99" s="9">
        <v>0.558442</v>
      </c>
      <c r="AB99" s="9">
        <v>0.571429</v>
      </c>
      <c r="AC99" s="9">
        <v>0.610389602</v>
      </c>
      <c r="AD99" s="9">
        <v>0.623377</v>
      </c>
      <c r="AE99" s="9">
        <v>0.649351</v>
      </c>
      <c r="AF99" s="9">
        <v>0.605194807</v>
      </c>
      <c r="AG99" s="9">
        <v>0.584416</v>
      </c>
      <c r="AH99" s="9">
        <v>0.649351</v>
      </c>
      <c r="AI99" s="9">
        <v>0.568831</v>
      </c>
      <c r="AJ99" s="9">
        <v>0.558442</v>
      </c>
      <c r="AK99" s="9">
        <v>0.532468</v>
      </c>
      <c r="AL99" s="9">
        <v>0.545455</v>
      </c>
      <c r="AM99" s="9">
        <v>0.545455</v>
      </c>
      <c r="AN99" s="9">
        <v>0.597403</v>
      </c>
      <c r="AO99" s="9">
        <v>0.623377</v>
      </c>
      <c r="AP99" s="9">
        <v>0.636364</v>
      </c>
      <c r="AQ99" s="9">
        <v>0.688312</v>
      </c>
      <c r="AR99" s="9">
        <v>0.625974011</v>
      </c>
      <c r="AS99" s="9">
        <v>0.623377</v>
      </c>
      <c r="AT99" s="9">
        <v>0.662338</v>
      </c>
      <c r="AU99" s="9">
        <v>0.605195</v>
      </c>
      <c r="AV99" s="9">
        <v>0.61039</v>
      </c>
      <c r="AW99" s="9">
        <v>0.623377</v>
      </c>
      <c r="AX99" s="9">
        <v>0.612987</v>
      </c>
      <c r="AY99" s="9">
        <v>0.597403</v>
      </c>
      <c r="AZ99" s="9">
        <v>0.584416</v>
      </c>
      <c r="BA99" s="9">
        <v>0.587013</v>
      </c>
      <c r="BB99" s="9">
        <v>0.597403</v>
      </c>
      <c r="BC99" s="9">
        <v>0.61039</v>
      </c>
      <c r="BD99" s="9">
        <v>0.620779</v>
      </c>
      <c r="BE99" s="9">
        <v>0.623377</v>
      </c>
      <c r="BF99" s="9">
        <v>0.649351</v>
      </c>
      <c r="BG99" s="9">
        <v>0.571429</v>
      </c>
      <c r="BH99" s="9">
        <v>0.571429</v>
      </c>
      <c r="BI99" s="9">
        <v>0.571429</v>
      </c>
      <c r="BJ99" s="6"/>
      <c r="BK99" s="6" t="str">
        <f t="shared" si="4"/>
        <v>PlottingTime</v>
      </c>
      <c r="BL99" s="11">
        <f t="shared" si="5"/>
        <v>-0.116888</v>
      </c>
      <c r="BM99" s="12" t="str">
        <f t="shared" si="6"/>
        <v>Group 1</v>
      </c>
      <c r="BN99" s="6" t="s">
        <v>81</v>
      </c>
      <c r="BO99" s="6" t="s">
        <v>1</v>
      </c>
      <c r="BP99" s="6">
        <v>-0.11688799999999999</v>
      </c>
      <c r="BQ99" s="6"/>
      <c r="BR99" s="6"/>
      <c r="BS99" s="6"/>
      <c r="BT99" s="6"/>
      <c r="BU99" s="6"/>
      <c r="BV99" s="6"/>
      <c r="BW99" s="6"/>
      <c r="BX99" s="6"/>
      <c r="BY99" s="6"/>
      <c r="BZ99" s="6"/>
    </row>
    <row r="100" ht="15.75" customHeight="1">
      <c r="A100" s="1" t="s">
        <v>194</v>
      </c>
      <c r="B100" s="7">
        <v>0.8</v>
      </c>
      <c r="C100" s="8"/>
      <c r="D100" s="8"/>
      <c r="E100" s="9">
        <v>0.699467</v>
      </c>
      <c r="F100" s="9">
        <v>0.704</v>
      </c>
      <c r="G100" s="9">
        <v>0.709667</v>
      </c>
      <c r="H100" s="9">
        <v>0.698200011</v>
      </c>
      <c r="I100" s="9">
        <v>0.702000022</v>
      </c>
      <c r="J100" s="9">
        <v>0.535667</v>
      </c>
      <c r="K100" s="9">
        <v>0.7544</v>
      </c>
      <c r="L100" s="9">
        <v>0.752</v>
      </c>
      <c r="M100" s="9">
        <v>0.781667</v>
      </c>
      <c r="N100" s="9">
        <v>0.753133333</v>
      </c>
      <c r="O100" s="9">
        <v>0.753667</v>
      </c>
      <c r="P100" s="9">
        <v>0.767</v>
      </c>
      <c r="Q100" s="9">
        <v>0.705933</v>
      </c>
      <c r="R100" s="9">
        <v>0.705667</v>
      </c>
      <c r="S100" s="9">
        <v>0.751</v>
      </c>
      <c r="T100" s="9">
        <v>0.729999995</v>
      </c>
      <c r="U100" s="9">
        <v>0.732</v>
      </c>
      <c r="V100" s="9">
        <v>0.746333</v>
      </c>
      <c r="W100" s="9">
        <v>0.744333</v>
      </c>
      <c r="X100" s="9">
        <v>0.748333</v>
      </c>
      <c r="Y100" s="9">
        <v>0.797667</v>
      </c>
      <c r="Z100" s="9">
        <v>0.740267</v>
      </c>
      <c r="AA100" s="9">
        <v>0.753</v>
      </c>
      <c r="AB100" s="9">
        <v>0.773667</v>
      </c>
      <c r="AC100" s="9">
        <v>0.749066663</v>
      </c>
      <c r="AD100" s="9">
        <v>0.749667</v>
      </c>
      <c r="AE100" s="9">
        <v>0.763</v>
      </c>
      <c r="AF100" s="9">
        <v>0.7454</v>
      </c>
      <c r="AG100" s="9">
        <v>0.745667</v>
      </c>
      <c r="AH100" s="9">
        <v>0.768</v>
      </c>
      <c r="AI100" s="9">
        <v>0.769533</v>
      </c>
      <c r="AJ100" s="9">
        <v>0.763333</v>
      </c>
      <c r="AK100" s="9">
        <v>0.802667</v>
      </c>
      <c r="AL100" s="9">
        <v>0.780933</v>
      </c>
      <c r="AM100" s="9">
        <v>0.779</v>
      </c>
      <c r="AN100" s="9">
        <v>0.81</v>
      </c>
      <c r="AO100" s="9">
        <v>0.751933</v>
      </c>
      <c r="AP100" s="9">
        <v>0.756</v>
      </c>
      <c r="AQ100" s="9">
        <v>0.778333</v>
      </c>
      <c r="AR100" s="9">
        <v>0.756666672</v>
      </c>
      <c r="AS100" s="9">
        <v>0.755</v>
      </c>
      <c r="AT100" s="9">
        <v>0.775</v>
      </c>
      <c r="AU100" s="9">
        <v>0.759667</v>
      </c>
      <c r="AV100" s="9">
        <v>0.762333</v>
      </c>
      <c r="AW100" s="9">
        <v>0.799333</v>
      </c>
      <c r="AX100" s="9">
        <v>0.775133</v>
      </c>
      <c r="AY100" s="9">
        <v>0.773667</v>
      </c>
      <c r="AZ100" s="9">
        <v>0.802333</v>
      </c>
      <c r="BA100" s="9">
        <v>0.767333</v>
      </c>
      <c r="BB100" s="9">
        <v>0.764</v>
      </c>
      <c r="BC100" s="9">
        <v>0.796333</v>
      </c>
      <c r="BD100" s="9">
        <v>0.780733</v>
      </c>
      <c r="BE100" s="9">
        <v>0.780667</v>
      </c>
      <c r="BF100" s="9">
        <v>0.805333</v>
      </c>
      <c r="BG100" s="9">
        <v>0.5972</v>
      </c>
      <c r="BH100" s="9">
        <v>0.599</v>
      </c>
      <c r="BI100" s="9">
        <v>0.650333</v>
      </c>
      <c r="BJ100" s="6"/>
      <c r="BK100" s="6" t="str">
        <f t="shared" si="4"/>
        <v>10VB_One_Acc</v>
      </c>
      <c r="BL100" s="11">
        <f t="shared" si="5"/>
        <v>0.01</v>
      </c>
      <c r="BM100" s="12" t="str">
        <f t="shared" si="6"/>
        <v>Group 3</v>
      </c>
      <c r="BN100" s="6" t="s">
        <v>83</v>
      </c>
      <c r="BO100" s="6" t="s">
        <v>56</v>
      </c>
      <c r="BP100" s="6"/>
      <c r="BQ100" s="6"/>
      <c r="BR100" s="6">
        <v>0.010000000000000009</v>
      </c>
      <c r="BS100" s="6"/>
      <c r="BT100" s="6"/>
      <c r="BU100" s="6"/>
      <c r="BV100" s="6"/>
      <c r="BW100" s="6"/>
      <c r="BX100" s="6"/>
      <c r="BY100" s="6"/>
      <c r="BZ100" s="6"/>
    </row>
    <row r="101" ht="15.75" customHeight="1">
      <c r="A101" s="15"/>
      <c r="K101" s="1"/>
      <c r="L101" s="1"/>
      <c r="M101" s="1"/>
      <c r="Q101" s="1"/>
      <c r="R101" s="1"/>
      <c r="S101" s="1"/>
      <c r="T101" s="1"/>
      <c r="U101" s="1"/>
      <c r="V101" s="1"/>
      <c r="Y101" s="1"/>
      <c r="AC101" s="1"/>
      <c r="AD101" s="1"/>
      <c r="AE101" s="1"/>
      <c r="AF101" s="1"/>
      <c r="AG101" s="1"/>
      <c r="AI101" s="1"/>
      <c r="AJ101" s="1"/>
      <c r="AK101" s="1"/>
      <c r="AO101" s="1"/>
      <c r="AP101" s="1"/>
      <c r="AQ101" s="1"/>
      <c r="AR101" s="1"/>
      <c r="AS101" s="1"/>
      <c r="AT101" s="1"/>
      <c r="AW101" s="1"/>
      <c r="BA101" s="1"/>
      <c r="BB101" s="1"/>
      <c r="BC101" s="1"/>
      <c r="BD101" s="1"/>
      <c r="BE101" s="1"/>
    </row>
    <row r="102" ht="15.75" customHeight="1">
      <c r="A102" s="15"/>
      <c r="B102" s="15"/>
      <c r="C102" s="15"/>
      <c r="D102" s="15"/>
      <c r="K102" s="1"/>
      <c r="L102" s="1"/>
      <c r="M102" s="1"/>
      <c r="N102" s="1"/>
      <c r="O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</row>
    <row r="103" ht="15.75" customHeight="1">
      <c r="A103" s="15"/>
      <c r="B103" s="15"/>
      <c r="C103" s="15"/>
      <c r="D103" s="15"/>
      <c r="K103" s="1"/>
      <c r="L103" s="1"/>
      <c r="M103" s="1"/>
      <c r="N103" s="1"/>
      <c r="O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</row>
    <row r="104" ht="15.75" customHeight="1">
      <c r="A104" s="15"/>
      <c r="B104" s="15"/>
      <c r="C104" s="15"/>
      <c r="D104" s="15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</row>
    <row r="105" ht="15.75" customHeight="1">
      <c r="A105" s="1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</row>
    <row r="106" ht="15.75" customHeight="1">
      <c r="A106" s="15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</row>
    <row r="107" ht="15.75" customHeight="1"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ht="15.75" customHeight="1"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ht="15.75" customHeight="1"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ht="15.75" customHeight="1"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ht="15.75" customHeight="1"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ht="15.75" customHeight="1"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ht="15.75" customHeight="1"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ht="15.75" customHeight="1"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ht="15.75" customHeight="1"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ht="15.75" customHeight="1"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ht="15.75" customHeight="1"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ht="15.75" customHeight="1"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ht="15.75" customHeight="1"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ht="15.75" customHeight="1"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ht="15.75" customHeight="1"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ht="15.75" customHeight="1"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ht="15.75" customHeight="1"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ht="15.75" customHeight="1"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ht="15.75" customHeight="1"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ht="15.75" customHeight="1"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ht="15.75" customHeight="1"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ht="15.75" customHeight="1"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ht="15.75" customHeight="1"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ht="15.75" customHeight="1"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ht="15.75" customHeight="1"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ht="15.75" customHeight="1"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ht="15.75" customHeight="1"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ht="15.75" customHeight="1"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ht="15.75" customHeight="1"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ht="15.75" customHeight="1"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ht="15.75" customHeight="1"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ht="15.75" customHeight="1"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ht="15.75" customHeight="1"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ht="15.75" customHeight="1"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ht="15.75" customHeight="1"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ht="15.75" customHeight="1"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ht="15.75" customHeight="1"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ht="15.75" customHeight="1"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ht="15.75" customHeight="1"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ht="15.75" customHeight="1"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ht="15.75" customHeight="1"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ht="15.75" customHeight="1"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ht="15.75" customHeight="1"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ht="15.75" customHeight="1"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ht="15.75" customHeight="1"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ht="15.75" customHeight="1"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ht="15.75" customHeight="1"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ht="15.75" customHeight="1"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ht="15.75" customHeight="1"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ht="15.75" customHeight="1"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ht="15.75" customHeight="1"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ht="15.75" customHeight="1"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ht="15.75" customHeight="1"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ht="15.75" customHeight="1"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ht="15.75" customHeight="1"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ht="15.75" customHeight="1"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ht="15.75" customHeight="1"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ht="15.75" customHeight="1"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ht="15.75" customHeight="1"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ht="15.75" customHeight="1"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ht="15.75" customHeight="1"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ht="15.75" customHeight="1"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ht="15.75" customHeight="1"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ht="15.75" customHeight="1"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ht="15.75" customHeight="1"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ht="15.75" customHeight="1"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ht="15.75" customHeight="1"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ht="15.75" customHeight="1"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ht="15.75" customHeight="1"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ht="15.75" customHeight="1"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ht="15.75" customHeight="1"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ht="15.75" customHeight="1"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ht="15.75" customHeight="1"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</row>
    <row r="180" ht="15.75" customHeight="1"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</row>
    <row r="181" ht="15.75" customHeight="1"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</row>
    <row r="182" ht="15.75" customHeight="1"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</row>
    <row r="183" ht="15.75" customHeight="1"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</row>
    <row r="184" ht="15.75" customHeight="1"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</row>
    <row r="185" ht="15.75" customHeight="1"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</row>
    <row r="186" ht="15.75" customHeight="1"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</row>
    <row r="187" ht="15.75" customHeight="1"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</row>
    <row r="188" ht="15.75" customHeight="1"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</row>
    <row r="189" ht="15.75" customHeight="1"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</row>
    <row r="190" ht="15.75" customHeight="1"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</row>
    <row r="191" ht="15.75" customHeight="1"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</row>
    <row r="192" ht="15.75" customHeight="1"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</row>
    <row r="193" ht="15.75" customHeight="1"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</row>
    <row r="194" ht="15.75" customHeight="1"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</row>
    <row r="195" ht="15.75" customHeight="1"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</row>
    <row r="196" ht="15.75" customHeight="1"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</row>
    <row r="197" ht="15.75" customHeight="1"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</row>
    <row r="198" ht="15.75" customHeight="1"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</row>
    <row r="199" ht="15.75" customHeight="1"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</row>
    <row r="200" ht="15.75" customHeight="1"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</row>
    <row r="201" ht="15.75" customHeight="1"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</row>
    <row r="202" ht="15.75" customHeight="1"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</row>
    <row r="203" ht="15.75" customHeight="1"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</row>
    <row r="204" ht="15.75" customHeight="1"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</row>
    <row r="205" ht="15.75" customHeight="1"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</row>
    <row r="206" ht="15.75" customHeight="1"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</row>
    <row r="207" ht="15.75" customHeight="1"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</row>
    <row r="208" ht="15.75" customHeight="1"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</row>
    <row r="209" ht="15.75" customHeight="1"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</row>
    <row r="210" ht="15.75" customHeight="1"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</row>
    <row r="211" ht="15.75" customHeight="1"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</row>
    <row r="212" ht="15.75" customHeight="1"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</row>
    <row r="213" ht="15.75" customHeight="1"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</row>
    <row r="214" ht="15.75" customHeight="1"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</row>
    <row r="215" ht="15.75" customHeight="1"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</row>
    <row r="216" ht="15.75" customHeight="1"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</row>
    <row r="217" ht="15.75" customHeight="1"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</row>
    <row r="218" ht="15.75" customHeight="1"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</row>
    <row r="219" ht="15.75" customHeight="1"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</row>
    <row r="220" ht="15.75" customHeight="1"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</row>
    <row r="221" ht="15.75" customHeight="1"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</row>
    <row r="222" ht="15.75" customHeight="1"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</row>
    <row r="223" ht="15.75" customHeight="1"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</row>
    <row r="224" ht="15.75" customHeight="1"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</row>
    <row r="225" ht="15.75" customHeight="1"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</row>
    <row r="226" ht="15.75" customHeight="1"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</row>
    <row r="227" ht="15.75" customHeight="1"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</row>
    <row r="228" ht="15.75" customHeight="1"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</row>
    <row r="229" ht="15.75" customHeight="1"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</row>
    <row r="230" ht="15.75" customHeight="1"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</row>
    <row r="231" ht="15.75" customHeight="1"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</row>
    <row r="232" ht="15.75" customHeight="1"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</row>
    <row r="233" ht="15.75" customHeight="1"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</row>
    <row r="234" ht="15.75" customHeight="1"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</row>
    <row r="235" ht="15.75" customHeight="1"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</row>
    <row r="236" ht="15.75" customHeight="1"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</row>
    <row r="237" ht="15.75" customHeight="1"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</row>
    <row r="238" ht="15.75" customHeight="1"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</row>
    <row r="239" ht="15.75" customHeight="1"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</row>
    <row r="240" ht="15.75" customHeight="1"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</row>
    <row r="241" ht="15.75" customHeight="1"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</row>
    <row r="242" ht="15.75" customHeight="1"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</row>
    <row r="243" ht="15.75" customHeight="1"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</row>
    <row r="244" ht="15.75" customHeight="1"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</row>
    <row r="245" ht="15.75" customHeight="1"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</row>
    <row r="246" ht="15.75" customHeight="1"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</row>
    <row r="247" ht="15.75" customHeight="1"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</row>
    <row r="248" ht="15.75" customHeight="1"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</row>
    <row r="249" ht="15.75" customHeight="1"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</row>
    <row r="250" ht="15.75" customHeight="1"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</row>
    <row r="251" ht="15.75" customHeight="1"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</row>
    <row r="252" ht="15.75" customHeight="1"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</row>
    <row r="253" ht="15.75" customHeight="1"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</row>
    <row r="254" ht="15.75" customHeight="1"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</row>
    <row r="255" ht="15.75" customHeight="1"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</row>
    <row r="256" ht="15.75" customHeight="1"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</row>
    <row r="257" ht="15.75" customHeight="1"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</row>
    <row r="258" ht="15.75" customHeight="1"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</row>
    <row r="259" ht="15.75" customHeight="1"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</row>
    <row r="260" ht="15.75" customHeight="1"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</row>
    <row r="261" ht="15.75" customHeight="1"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</row>
    <row r="262" ht="15.75" customHeight="1"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</row>
    <row r="263" ht="15.75" customHeight="1"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</row>
    <row r="264" ht="15.75" customHeight="1"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</row>
    <row r="265" ht="15.75" customHeight="1"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</row>
    <row r="266" ht="15.75" customHeight="1"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</row>
    <row r="267" ht="15.75" customHeight="1"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</row>
    <row r="268" ht="15.75" customHeight="1"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</row>
    <row r="269" ht="15.75" customHeight="1"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</row>
    <row r="270" ht="15.75" customHeight="1"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</row>
    <row r="271" ht="15.75" customHeight="1"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</row>
    <row r="272" ht="15.75" customHeight="1"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</row>
    <row r="273" ht="15.75" customHeight="1"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</row>
    <row r="274" ht="15.75" customHeight="1"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</row>
    <row r="275" ht="15.75" customHeight="1"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</row>
    <row r="276" ht="15.75" customHeight="1"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</row>
    <row r="277" ht="15.75" customHeight="1"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</row>
    <row r="278" ht="15.75" customHeight="1"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</row>
    <row r="279" ht="15.75" customHeight="1"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</row>
    <row r="280" ht="15.75" customHeight="1"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</row>
    <row r="281" ht="15.75" customHeight="1"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</row>
    <row r="282" ht="15.75" customHeight="1"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</row>
    <row r="283" ht="15.75" customHeight="1"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</row>
    <row r="284" ht="15.75" customHeight="1"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</row>
    <row r="285" ht="15.75" customHeight="1"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</row>
    <row r="286" ht="15.75" customHeight="1"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</row>
    <row r="287" ht="15.75" customHeight="1"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</row>
    <row r="288" ht="15.75" customHeight="1"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</row>
    <row r="289" ht="15.75" customHeight="1"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</row>
    <row r="290" ht="15.75" customHeight="1"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</row>
    <row r="291" ht="15.75" customHeight="1"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</row>
    <row r="292" ht="15.75" customHeight="1"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</row>
    <row r="293" ht="15.75" customHeight="1"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</row>
    <row r="294" ht="15.75" customHeight="1"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</row>
    <row r="295" ht="15.75" customHeight="1"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</row>
    <row r="296" ht="15.75" customHeight="1"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</row>
    <row r="297" ht="15.75" customHeight="1"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</row>
    <row r="298" ht="15.75" customHeight="1"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</row>
    <row r="299" ht="15.75" customHeight="1"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</row>
    <row r="300" ht="15.75" customHeight="1"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1">
    <mergeCell ref="B1:D1"/>
    <mergeCell ref="E1:G1"/>
    <mergeCell ref="H1:J1"/>
    <mergeCell ref="K1:M1"/>
    <mergeCell ref="N1:P1"/>
    <mergeCell ref="Q1:S1"/>
    <mergeCell ref="T1:V1"/>
    <mergeCell ref="B2:D2"/>
    <mergeCell ref="AR1:AT1"/>
    <mergeCell ref="AU1:AW1"/>
    <mergeCell ref="AX1:AZ1"/>
    <mergeCell ref="BA1:BC1"/>
    <mergeCell ref="BD1:BF1"/>
    <mergeCell ref="BG1:BI1"/>
    <mergeCell ref="W1:Y1"/>
    <mergeCell ref="Z1:AB1"/>
    <mergeCell ref="AC1:AE1"/>
    <mergeCell ref="AF1:AH1"/>
    <mergeCell ref="AI1:AK1"/>
    <mergeCell ref="AL1:AN1"/>
    <mergeCell ref="AO1:AQ1"/>
  </mergeCells>
  <conditionalFormatting sqref="BK3:BK100">
    <cfRule type="notContainsText" dxfId="0" priority="1" operator="notContains" text="PlottingTime">
      <formula>ISERROR(SEARCH(("PlottingTime"),(BK3)))</formula>
    </cfRule>
  </conditionalFormatting>
  <conditionalFormatting sqref="BL1:BS1000">
    <cfRule type="cellIs" dxfId="1" priority="2" operator="greaterThanOrEqual">
      <formula>0.1</formula>
    </cfRule>
  </conditionalFormatting>
  <conditionalFormatting sqref="BL1:BS1000">
    <cfRule type="cellIs" dxfId="2" priority="3" operator="lessThanOrEqual">
      <formula>-0.1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28.63"/>
    <col customWidth="1" min="2" max="2" width="13.25"/>
    <col customWidth="1" min="3" max="3" width="12.38"/>
    <col customWidth="1" min="4" max="4" width="12.25"/>
    <col customWidth="1" min="5" max="5" width="19.0"/>
    <col customWidth="1" min="6" max="6" width="15.25"/>
    <col customWidth="1" min="7" max="7" width="4.38"/>
    <col customWidth="1" min="8" max="8" width="9.0"/>
    <col customWidth="1" min="9" max="9" width="12.75"/>
    <col customWidth="1" min="10" max="10" width="8.38"/>
    <col customWidth="1" min="11" max="11" width="11.25"/>
    <col customWidth="1" min="12" max="12" width="8.25"/>
    <col customWidth="1" min="13" max="13" width="7.75"/>
    <col customWidth="1" min="14" max="14" width="8.38"/>
    <col customWidth="1" min="15" max="15" width="8.0"/>
    <col customWidth="1" min="16" max="16" width="8.38"/>
    <col customWidth="1" min="17" max="17" width="13.88"/>
    <col customWidth="1" min="18" max="18" width="15.13"/>
    <col customWidth="1" min="19" max="20" width="13.75"/>
    <col customWidth="1" min="21" max="21" width="15.38"/>
    <col customWidth="1" min="22" max="22" width="13.75"/>
    <col customWidth="1" min="26" max="26" width="13.38"/>
    <col customWidth="1" min="27" max="27" width="17.75"/>
    <col customWidth="1" min="30" max="30" width="14.38"/>
    <col customWidth="1" min="33" max="33" width="13.88"/>
    <col customWidth="1" min="36" max="36" width="14.13"/>
    <col customWidth="1" min="39" max="39" width="14.25"/>
    <col customWidth="1" min="41" max="41" width="13.75"/>
    <col customWidth="1" min="42" max="42" width="14.38"/>
    <col customWidth="1" min="44" max="44" width="14.0"/>
    <col customWidth="1" min="45" max="45" width="15.0"/>
    <col customWidth="1" min="48" max="48" width="13.25"/>
    <col customWidth="1" min="50" max="50" width="15.25"/>
    <col customWidth="1" min="51" max="51" width="16.38"/>
    <col customWidth="1" min="52" max="52" width="13.88"/>
    <col customWidth="1" min="54" max="54" width="14.38"/>
    <col customWidth="1" min="56" max="56" width="13.38"/>
    <col customWidth="1" min="57" max="57" width="14.13"/>
    <col customWidth="1" min="60" max="60" width="15.38"/>
    <col customWidth="1" min="62" max="62" width="14.88"/>
    <col customWidth="1" min="63" max="63" width="16.88"/>
    <col customWidth="1" min="65" max="65" width="14.75"/>
    <col customWidth="1" min="66" max="66" width="15.88"/>
    <col customWidth="1" min="69" max="69" width="14.25"/>
    <col customWidth="1" min="75" max="75" width="17.38"/>
    <col customWidth="1" min="76" max="76" width="16.0"/>
    <col customWidth="1" min="79" max="79" width="23.38"/>
    <col customWidth="1" min="81" max="81" width="79.63"/>
  </cols>
  <sheetData>
    <row r="1" ht="15.75" customHeight="1">
      <c r="A1" s="1" t="s">
        <v>0</v>
      </c>
      <c r="B1" s="2" t="s">
        <v>1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3" t="s">
        <v>2</v>
      </c>
      <c r="T1" s="3" t="s">
        <v>3</v>
      </c>
      <c r="W1" s="3" t="s">
        <v>4</v>
      </c>
      <c r="Z1" s="3" t="s">
        <v>5</v>
      </c>
      <c r="AC1" s="3" t="s">
        <v>6</v>
      </c>
      <c r="AF1" s="3" t="s">
        <v>7</v>
      </c>
      <c r="AI1" s="3" t="s">
        <v>8</v>
      </c>
      <c r="AL1" s="3" t="s">
        <v>9</v>
      </c>
      <c r="AO1" s="3" t="s">
        <v>10</v>
      </c>
      <c r="AR1" s="3" t="s">
        <v>11</v>
      </c>
      <c r="AU1" s="3" t="s">
        <v>12</v>
      </c>
      <c r="AX1" s="3" t="s">
        <v>13</v>
      </c>
      <c r="BA1" s="3" t="s">
        <v>14</v>
      </c>
      <c r="BD1" s="3" t="s">
        <v>15</v>
      </c>
      <c r="BG1" s="3" t="s">
        <v>16</v>
      </c>
      <c r="BJ1" s="3" t="s">
        <v>17</v>
      </c>
      <c r="BM1" s="3" t="s">
        <v>18</v>
      </c>
      <c r="BP1" s="3" t="s">
        <v>19</v>
      </c>
      <c r="BS1" s="3" t="s">
        <v>20</v>
      </c>
      <c r="BV1" s="1"/>
      <c r="BX1" s="1"/>
      <c r="BY1" s="1"/>
      <c r="BZ1" s="1"/>
      <c r="CA1" s="1"/>
      <c r="CC1" s="1"/>
      <c r="CD1" s="1"/>
      <c r="CE1" s="1"/>
    </row>
    <row r="2" ht="15.75" customHeight="1">
      <c r="A2" s="1"/>
      <c r="B2" s="2" t="s">
        <v>1</v>
      </c>
      <c r="C2" s="1" t="s">
        <v>195</v>
      </c>
      <c r="D2" s="1" t="s">
        <v>196</v>
      </c>
      <c r="E2" s="1" t="s">
        <v>197</v>
      </c>
      <c r="F2" s="1" t="s">
        <v>198</v>
      </c>
      <c r="G2" s="1" t="s">
        <v>199</v>
      </c>
      <c r="H2" s="1" t="s">
        <v>200</v>
      </c>
      <c r="I2" s="1" t="s">
        <v>201</v>
      </c>
      <c r="J2" s="1" t="s">
        <v>202</v>
      </c>
      <c r="K2" s="1" t="s">
        <v>203</v>
      </c>
      <c r="L2" s="1" t="s">
        <v>204</v>
      </c>
      <c r="M2" s="1" t="s">
        <v>205</v>
      </c>
      <c r="N2" s="1" t="s">
        <v>206</v>
      </c>
      <c r="O2" s="1" t="s">
        <v>207</v>
      </c>
      <c r="P2" s="1" t="s">
        <v>208</v>
      </c>
      <c r="Q2" s="1" t="s">
        <v>21</v>
      </c>
      <c r="R2" s="1" t="s">
        <v>22</v>
      </c>
      <c r="S2" s="4" t="s">
        <v>23</v>
      </c>
      <c r="T2" s="1" t="s">
        <v>24</v>
      </c>
      <c r="U2" s="1" t="s">
        <v>25</v>
      </c>
      <c r="V2" s="4" t="s">
        <v>26</v>
      </c>
      <c r="W2" s="1" t="s">
        <v>27</v>
      </c>
      <c r="X2" s="1" t="s">
        <v>28</v>
      </c>
      <c r="Y2" s="5" t="s">
        <v>29</v>
      </c>
      <c r="Z2" s="1" t="s">
        <v>30</v>
      </c>
      <c r="AA2" s="1" t="s">
        <v>31</v>
      </c>
      <c r="AB2" s="5" t="s">
        <v>32</v>
      </c>
      <c r="AC2" s="1" t="s">
        <v>33</v>
      </c>
      <c r="AD2" s="1" t="s">
        <v>34</v>
      </c>
      <c r="AE2" s="5" t="s">
        <v>35</v>
      </c>
      <c r="AF2" s="1" t="s">
        <v>36</v>
      </c>
      <c r="AG2" s="1" t="s">
        <v>37</v>
      </c>
      <c r="AH2" s="5" t="s">
        <v>38</v>
      </c>
      <c r="AI2" s="1" t="s">
        <v>39</v>
      </c>
      <c r="AJ2" s="1" t="s">
        <v>40</v>
      </c>
      <c r="AK2" s="5" t="s">
        <v>41</v>
      </c>
      <c r="AL2" s="1" t="s">
        <v>42</v>
      </c>
      <c r="AM2" s="1" t="s">
        <v>43</v>
      </c>
      <c r="AN2" s="5" t="s">
        <v>44</v>
      </c>
      <c r="AO2" s="1" t="s">
        <v>45</v>
      </c>
      <c r="AP2" s="1" t="s">
        <v>46</v>
      </c>
      <c r="AQ2" s="5" t="s">
        <v>47</v>
      </c>
      <c r="AR2" s="1" t="s">
        <v>48</v>
      </c>
      <c r="AS2" s="1" t="s">
        <v>49</v>
      </c>
      <c r="AT2" s="5" t="s">
        <v>50</v>
      </c>
      <c r="AU2" s="1" t="s">
        <v>51</v>
      </c>
      <c r="AV2" s="1" t="s">
        <v>52</v>
      </c>
      <c r="AW2" s="5" t="s">
        <v>53</v>
      </c>
      <c r="AX2" s="1" t="s">
        <v>54</v>
      </c>
      <c r="AY2" s="1" t="s">
        <v>55</v>
      </c>
      <c r="AZ2" s="5" t="s">
        <v>56</v>
      </c>
      <c r="BA2" s="1" t="s">
        <v>57</v>
      </c>
      <c r="BB2" s="1" t="s">
        <v>58</v>
      </c>
      <c r="BC2" s="5" t="s">
        <v>59</v>
      </c>
      <c r="BD2" s="1" t="s">
        <v>60</v>
      </c>
      <c r="BE2" s="1" t="s">
        <v>61</v>
      </c>
      <c r="BF2" s="5" t="s">
        <v>62</v>
      </c>
      <c r="BG2" s="1" t="s">
        <v>63</v>
      </c>
      <c r="BH2" s="1" t="s">
        <v>64</v>
      </c>
      <c r="BI2" s="5" t="s">
        <v>65</v>
      </c>
      <c r="BJ2" s="1" t="s">
        <v>66</v>
      </c>
      <c r="BK2" s="1" t="s">
        <v>67</v>
      </c>
      <c r="BL2" s="5" t="s">
        <v>68</v>
      </c>
      <c r="BM2" s="1" t="s">
        <v>69</v>
      </c>
      <c r="BN2" s="1" t="s">
        <v>70</v>
      </c>
      <c r="BO2" s="5" t="s">
        <v>71</v>
      </c>
      <c r="BP2" s="1" t="s">
        <v>72</v>
      </c>
      <c r="BQ2" s="1" t="s">
        <v>73</v>
      </c>
      <c r="BR2" s="5" t="s">
        <v>74</v>
      </c>
      <c r="BS2" s="1" t="s">
        <v>75</v>
      </c>
      <c r="BT2" s="1" t="s">
        <v>76</v>
      </c>
      <c r="BU2" s="5" t="s">
        <v>77</v>
      </c>
      <c r="BV2" s="1"/>
      <c r="BW2" s="1" t="s">
        <v>78</v>
      </c>
      <c r="BX2" s="1" t="s">
        <v>209</v>
      </c>
      <c r="BY2" s="1" t="s">
        <v>210</v>
      </c>
      <c r="BZ2" s="1"/>
      <c r="CA2" s="1" t="s">
        <v>79</v>
      </c>
      <c r="CC2" s="1"/>
      <c r="CD2" s="1"/>
      <c r="CE2" s="1"/>
    </row>
    <row r="3" ht="15.75" customHeight="1">
      <c r="A3" s="1" t="s">
        <v>84</v>
      </c>
      <c r="B3" s="7" t="s">
        <v>211</v>
      </c>
      <c r="C3" s="16">
        <v>0.807</v>
      </c>
      <c r="D3" s="16">
        <v>0.849999999999999</v>
      </c>
      <c r="E3" s="16">
        <v>0.807</v>
      </c>
      <c r="F3" s="16">
        <v>0.826666666666666</v>
      </c>
      <c r="G3" s="16">
        <v>0.838333333333333</v>
      </c>
      <c r="H3" s="16">
        <v>0.823999999999999</v>
      </c>
      <c r="I3" s="16">
        <v>0.638333333333333</v>
      </c>
      <c r="J3" s="16">
        <v>0.818</v>
      </c>
      <c r="K3" s="16">
        <v>0.815</v>
      </c>
      <c r="L3" s="16">
        <v>0.757333333333333</v>
      </c>
      <c r="M3" s="16">
        <v>0.768333333333333</v>
      </c>
      <c r="N3" s="16">
        <v>0.759999999999999</v>
      </c>
      <c r="O3" s="16">
        <v>0.634999999999999</v>
      </c>
      <c r="P3" s="16">
        <v>0.777666666666666</v>
      </c>
      <c r="Q3" s="9">
        <v>0.614</v>
      </c>
      <c r="R3" s="9">
        <v>0.64</v>
      </c>
      <c r="S3" s="9">
        <v>0.58</v>
      </c>
      <c r="T3" s="9">
        <v>0.569999999</v>
      </c>
      <c r="U3" s="9">
        <v>0.569999993</v>
      </c>
      <c r="V3" s="9">
        <v>0.1</v>
      </c>
      <c r="W3" s="9">
        <v>0.57</v>
      </c>
      <c r="X3" s="9">
        <v>0.56</v>
      </c>
      <c r="Y3" s="9">
        <v>0.56</v>
      </c>
      <c r="Z3" s="9">
        <v>0.578000009</v>
      </c>
      <c r="AA3" s="9">
        <v>0.6</v>
      </c>
      <c r="AB3" s="9">
        <v>0.59</v>
      </c>
      <c r="AC3" s="9">
        <v>0.608</v>
      </c>
      <c r="AD3" s="9">
        <v>0.62</v>
      </c>
      <c r="AE3" s="9">
        <v>0.76</v>
      </c>
      <c r="AF3" s="9">
        <v>0.604000002</v>
      </c>
      <c r="AG3" s="9">
        <v>0.62</v>
      </c>
      <c r="AH3" s="9">
        <v>0.72</v>
      </c>
      <c r="AI3" s="9">
        <v>0.494</v>
      </c>
      <c r="AJ3" s="9">
        <v>0.5</v>
      </c>
      <c r="AK3" s="9">
        <v>0.55</v>
      </c>
      <c r="AL3" s="9">
        <v>0.45</v>
      </c>
      <c r="AM3" s="9">
        <v>0.42</v>
      </c>
      <c r="AN3" s="9">
        <v>0.4</v>
      </c>
      <c r="AO3" s="9">
        <v>0.549999988</v>
      </c>
      <c r="AP3" s="9">
        <v>0.53</v>
      </c>
      <c r="AQ3" s="9">
        <v>0.47</v>
      </c>
      <c r="AR3" s="9">
        <v>0.588000011</v>
      </c>
      <c r="AS3" s="9">
        <v>0.61</v>
      </c>
      <c r="AT3" s="9">
        <v>0.66</v>
      </c>
      <c r="AU3" s="9">
        <v>0.462</v>
      </c>
      <c r="AV3" s="9">
        <v>0.48</v>
      </c>
      <c r="AW3" s="9">
        <v>0.5</v>
      </c>
      <c r="AX3" s="9">
        <v>0.466</v>
      </c>
      <c r="AY3" s="9">
        <v>0.47</v>
      </c>
      <c r="AZ3" s="9">
        <v>0.38</v>
      </c>
      <c r="BA3" s="9">
        <v>0.63</v>
      </c>
      <c r="BB3" s="9">
        <v>0.65</v>
      </c>
      <c r="BC3" s="9">
        <v>0.62</v>
      </c>
      <c r="BD3" s="9">
        <v>0.636000001</v>
      </c>
      <c r="BE3" s="9">
        <v>0.64</v>
      </c>
      <c r="BF3" s="9">
        <v>0.73</v>
      </c>
      <c r="BG3" s="9">
        <v>0.416</v>
      </c>
      <c r="BH3" s="9">
        <v>0.43</v>
      </c>
      <c r="BI3" s="9">
        <v>0.3</v>
      </c>
      <c r="BJ3" s="9">
        <v>0.36</v>
      </c>
      <c r="BK3" s="9">
        <v>0.35</v>
      </c>
      <c r="BL3" s="9">
        <v>0.49</v>
      </c>
      <c r="BM3" s="9">
        <v>0.654</v>
      </c>
      <c r="BN3" s="9">
        <v>0.65</v>
      </c>
      <c r="BO3" s="9">
        <v>0.68</v>
      </c>
      <c r="BP3" s="9">
        <v>0.226</v>
      </c>
      <c r="BQ3" s="9">
        <v>0.2</v>
      </c>
      <c r="BR3" s="9">
        <v>0.22</v>
      </c>
      <c r="BS3" s="10" t="s">
        <v>85</v>
      </c>
      <c r="BT3" s="10" t="s">
        <v>85</v>
      </c>
      <c r="BU3" s="9">
        <v>0.46</v>
      </c>
      <c r="BV3" s="6"/>
      <c r="BW3" s="6" t="str">
        <f t="shared" ref="BW3:BW100" si="1">INDEX($B$2:$BU$2,0,MATCH(MAX(B3:BU3),B3:BU3,0))</f>
        <v>HIVE-COTE v1,0</v>
      </c>
      <c r="BX3" s="6" t="str">
        <f t="shared" ref="BX3:BX100" si="2">INDEX($B$2:$BU$2,0,MATCH(LARGE(B3:BU3,2),B3:BU3,0))</f>
        <v>STC</v>
      </c>
      <c r="BY3" s="6" t="str">
        <f t="shared" ref="BY3:BY100" si="3">INDEX($B$2:$BU$2,0,MATCH(LARGE(B3:BU3,3),B3:BU3,0))</f>
        <v>InceptionTime</v>
      </c>
      <c r="BZ3" s="6"/>
      <c r="CA3" s="11" t="str">
        <f t="shared" ref="CA3:CA100" si="4">MINUS(B3, MAX(Q3:BU3))</f>
        <v>#VALUE!</v>
      </c>
      <c r="CC3" s="6" t="s">
        <v>88</v>
      </c>
      <c r="CD3" s="6"/>
      <c r="CE3" s="6"/>
    </row>
    <row r="4" ht="15.75" customHeight="1">
      <c r="A4" s="1" t="s">
        <v>89</v>
      </c>
      <c r="B4" s="7" t="s">
        <v>211</v>
      </c>
      <c r="C4" s="16">
        <v>0.779710144927536</v>
      </c>
      <c r="D4" s="16">
        <v>0.796248934356351</v>
      </c>
      <c r="E4" s="16">
        <v>0.771952259164535</v>
      </c>
      <c r="F4" s="16">
        <v>0.822080136402387</v>
      </c>
      <c r="G4" s="16">
        <v>0.793179880647911</v>
      </c>
      <c r="H4" s="16">
        <v>0.8154305200341</v>
      </c>
      <c r="I4" s="16">
        <v>0.722165387894288</v>
      </c>
      <c r="J4" s="16">
        <v>0.798806479113384</v>
      </c>
      <c r="K4" s="16">
        <v>0.742710997442455</v>
      </c>
      <c r="L4" s="16">
        <v>0.746291560102301</v>
      </c>
      <c r="M4" s="16">
        <v>0.749019607843137</v>
      </c>
      <c r="N4" s="16">
        <v>0.757971014492753</v>
      </c>
      <c r="O4" s="16">
        <v>0.711935208866155</v>
      </c>
      <c r="P4" s="16">
        <v>0.6846547314578</v>
      </c>
      <c r="Q4" s="9">
        <v>0.30179</v>
      </c>
      <c r="R4" s="9">
        <v>0.29156</v>
      </c>
      <c r="S4" s="9">
        <v>0.283887</v>
      </c>
      <c r="T4" s="9">
        <v>0.264450124</v>
      </c>
      <c r="U4" s="9">
        <v>0.319693089</v>
      </c>
      <c r="V4" s="9">
        <v>0.02046</v>
      </c>
      <c r="W4" s="9">
        <v>0.195396</v>
      </c>
      <c r="X4" s="9">
        <v>0.186701</v>
      </c>
      <c r="Y4" s="9">
        <v>0.350384</v>
      </c>
      <c r="Z4" s="9">
        <v>0.128900258</v>
      </c>
      <c r="AA4" s="9">
        <v>0.074169</v>
      </c>
      <c r="AB4" s="9">
        <v>0.161125</v>
      </c>
      <c r="AC4" s="9">
        <v>0.246036</v>
      </c>
      <c r="AD4" s="9">
        <v>0.232737</v>
      </c>
      <c r="AE4" s="9">
        <v>0.365729</v>
      </c>
      <c r="AF4" s="9">
        <v>0.264450133</v>
      </c>
      <c r="AG4" s="9">
        <v>0.248082</v>
      </c>
      <c r="AH4" s="9">
        <v>0.296675</v>
      </c>
      <c r="AI4" s="9">
        <v>0.163171</v>
      </c>
      <c r="AJ4" s="9">
        <v>0.199488</v>
      </c>
      <c r="AK4" s="9">
        <v>0.30179</v>
      </c>
      <c r="AL4" s="9">
        <v>0.180563</v>
      </c>
      <c r="AM4" s="9">
        <v>0.219949</v>
      </c>
      <c r="AN4" s="9">
        <v>0.242967</v>
      </c>
      <c r="AO4" s="9">
        <v>0.246035802</v>
      </c>
      <c r="AP4" s="9">
        <v>0.237852</v>
      </c>
      <c r="AQ4" s="9">
        <v>0.265985</v>
      </c>
      <c r="AR4" s="9">
        <v>0.265473145</v>
      </c>
      <c r="AS4" s="9">
        <v>0.237852</v>
      </c>
      <c r="AT4" s="9">
        <v>0.409207</v>
      </c>
      <c r="AU4" s="9">
        <v>0.105882</v>
      </c>
      <c r="AV4" s="9">
        <v>0.069054</v>
      </c>
      <c r="AW4" s="9">
        <v>0.332481</v>
      </c>
      <c r="AX4" s="9">
        <v>0.13913</v>
      </c>
      <c r="AY4" s="9">
        <v>0.150895</v>
      </c>
      <c r="AZ4" s="9">
        <v>0.28133</v>
      </c>
      <c r="BA4" s="9">
        <v>0.285934</v>
      </c>
      <c r="BB4" s="9">
        <v>0.31202</v>
      </c>
      <c r="BC4" s="9">
        <v>0.235294</v>
      </c>
      <c r="BD4" s="9">
        <v>0.276726341</v>
      </c>
      <c r="BE4" s="9">
        <v>0.317136</v>
      </c>
      <c r="BF4" s="9">
        <v>0.381074</v>
      </c>
      <c r="BG4" s="9">
        <v>0.070077</v>
      </c>
      <c r="BH4" s="9">
        <v>0.063939</v>
      </c>
      <c r="BI4" s="9">
        <v>0.084399</v>
      </c>
      <c r="BJ4" s="9">
        <v>0.142711</v>
      </c>
      <c r="BK4" s="9">
        <v>0.140665</v>
      </c>
      <c r="BL4" s="9">
        <v>0.120205</v>
      </c>
      <c r="BM4" s="9">
        <v>0.190793</v>
      </c>
      <c r="BN4" s="9">
        <v>0.16624</v>
      </c>
      <c r="BO4" s="9">
        <v>0.263427</v>
      </c>
      <c r="BP4" s="9">
        <v>0.175448</v>
      </c>
      <c r="BQ4" s="9">
        <v>0.176471</v>
      </c>
      <c r="BR4" s="9">
        <v>0.168798</v>
      </c>
      <c r="BS4" s="10" t="s">
        <v>85</v>
      </c>
      <c r="BT4" s="10" t="s">
        <v>85</v>
      </c>
      <c r="BU4" s="9">
        <v>0.16624</v>
      </c>
      <c r="BV4" s="6"/>
      <c r="BW4" s="6" t="str">
        <f t="shared" si="1"/>
        <v>InceptionTime</v>
      </c>
      <c r="BX4" s="6" t="str">
        <f t="shared" si="2"/>
        <v>ResNet</v>
      </c>
      <c r="BY4" s="6" t="str">
        <f t="shared" si="3"/>
        <v>WEASEL</v>
      </c>
      <c r="BZ4" s="6"/>
      <c r="CA4" s="11" t="str">
        <f t="shared" si="4"/>
        <v>#VALUE!</v>
      </c>
      <c r="CC4" s="6" t="s">
        <v>90</v>
      </c>
      <c r="CD4" s="6"/>
      <c r="CE4" s="6"/>
    </row>
    <row r="5" ht="15.75" customHeight="1">
      <c r="A5" s="1" t="s">
        <v>91</v>
      </c>
      <c r="B5" s="7" t="s">
        <v>211</v>
      </c>
      <c r="C5" s="16">
        <v>0.881142857142857</v>
      </c>
      <c r="D5" s="16">
        <v>0.876</v>
      </c>
      <c r="E5" s="16">
        <v>0.859047619047619</v>
      </c>
      <c r="F5" s="16">
        <v>0.880380952380952</v>
      </c>
      <c r="G5" s="16">
        <v>0.806666666666666</v>
      </c>
      <c r="H5" s="16">
        <v>0.858666666666666</v>
      </c>
      <c r="I5" s="16">
        <v>0.883619047619047</v>
      </c>
      <c r="J5" s="16">
        <v>0.848380952380952</v>
      </c>
      <c r="K5" s="16">
        <v>0.887809523809523</v>
      </c>
      <c r="L5" s="16">
        <v>0.877904761904762</v>
      </c>
      <c r="M5" s="16">
        <v>0.868761904761904</v>
      </c>
      <c r="N5" s="16">
        <v>0.828190476190476</v>
      </c>
      <c r="O5" s="16">
        <v>0.796761904761904</v>
      </c>
      <c r="P5" s="16">
        <v>0.750285714285714</v>
      </c>
      <c r="Q5" s="9">
        <v>0.617143</v>
      </c>
      <c r="R5" s="9">
        <v>0.634286</v>
      </c>
      <c r="S5" s="9">
        <v>0.617143</v>
      </c>
      <c r="T5" s="9">
        <v>0.629714286</v>
      </c>
      <c r="U5" s="9">
        <v>0.617142856</v>
      </c>
      <c r="V5" s="9">
        <v>0.302857</v>
      </c>
      <c r="W5" s="9">
        <v>0.666286</v>
      </c>
      <c r="X5" s="9">
        <v>0.668571</v>
      </c>
      <c r="Y5" s="9">
        <v>0.731429</v>
      </c>
      <c r="Z5" s="9">
        <v>0.67428571</v>
      </c>
      <c r="AA5" s="9">
        <v>0.68</v>
      </c>
      <c r="AB5" s="9">
        <v>0.725714</v>
      </c>
      <c r="AC5" s="9">
        <v>0.650286</v>
      </c>
      <c r="AD5" s="9">
        <v>0.645714</v>
      </c>
      <c r="AE5" s="9">
        <v>0.657143</v>
      </c>
      <c r="AF5" s="9">
        <v>0.656000006</v>
      </c>
      <c r="AG5" s="9">
        <v>0.64</v>
      </c>
      <c r="AH5" s="9">
        <v>0.725714</v>
      </c>
      <c r="AI5" s="9">
        <v>0.661714</v>
      </c>
      <c r="AJ5" s="9">
        <v>0.68</v>
      </c>
      <c r="AK5" s="9">
        <v>0.68</v>
      </c>
      <c r="AL5" s="9">
        <v>0.689143</v>
      </c>
      <c r="AM5" s="9">
        <v>0.697143</v>
      </c>
      <c r="AN5" s="9">
        <v>0.674286</v>
      </c>
      <c r="AO5" s="9">
        <v>0.672000015</v>
      </c>
      <c r="AP5" s="9">
        <v>0.708571</v>
      </c>
      <c r="AQ5" s="9">
        <v>0.737143</v>
      </c>
      <c r="AR5" s="9">
        <v>0.677714288</v>
      </c>
      <c r="AS5" s="9">
        <v>0.68</v>
      </c>
      <c r="AT5" s="9">
        <v>0.742857</v>
      </c>
      <c r="AU5" s="9">
        <v>0.630857</v>
      </c>
      <c r="AV5" s="9">
        <v>0.6</v>
      </c>
      <c r="AW5" s="9">
        <v>0.685714</v>
      </c>
      <c r="AX5" s="9">
        <v>0.669714</v>
      </c>
      <c r="AY5" s="9">
        <v>0.691429</v>
      </c>
      <c r="AZ5" s="9">
        <v>0.64</v>
      </c>
      <c r="BA5" s="9">
        <v>0.714286</v>
      </c>
      <c r="BB5" s="9">
        <v>0.708571</v>
      </c>
      <c r="BC5" s="9">
        <v>0.731429</v>
      </c>
      <c r="BD5" s="9" t="s">
        <v>85</v>
      </c>
      <c r="BE5" s="9" t="s">
        <v>85</v>
      </c>
      <c r="BF5" s="1" t="s">
        <v>85</v>
      </c>
      <c r="BG5" s="9">
        <v>0.694857</v>
      </c>
      <c r="BH5" s="9">
        <v>0.714286</v>
      </c>
      <c r="BI5" s="9">
        <v>0.72</v>
      </c>
      <c r="BJ5" s="9">
        <v>0.706286</v>
      </c>
      <c r="BK5" s="9">
        <v>0.737143</v>
      </c>
      <c r="BL5" s="9">
        <v>0.754286</v>
      </c>
      <c r="BM5" s="9">
        <v>0.690286</v>
      </c>
      <c r="BN5" s="9">
        <v>0.662857</v>
      </c>
      <c r="BO5" s="9">
        <v>0.788571</v>
      </c>
      <c r="BP5" s="9">
        <v>0.752</v>
      </c>
      <c r="BQ5" s="9">
        <v>0.748571</v>
      </c>
      <c r="BR5" s="9">
        <v>0.765714</v>
      </c>
      <c r="BS5" s="9">
        <v>0.643429</v>
      </c>
      <c r="BT5" s="9">
        <v>0.634286</v>
      </c>
      <c r="BU5" s="9">
        <v>0.582857</v>
      </c>
      <c r="BV5" s="6"/>
      <c r="BW5" s="6" t="str">
        <f t="shared" si="1"/>
        <v>S-BOSS</v>
      </c>
      <c r="BX5" s="6" t="str">
        <f t="shared" si="2"/>
        <v>ProximityForest</v>
      </c>
      <c r="BY5" s="6" t="str">
        <f t="shared" si="3"/>
        <v>TS-CHIEF</v>
      </c>
      <c r="BZ5" s="6"/>
      <c r="CA5" s="11" t="str">
        <f t="shared" si="4"/>
        <v>#VALUE!</v>
      </c>
      <c r="CC5" s="6" t="s">
        <v>92</v>
      </c>
      <c r="CD5" s="6"/>
      <c r="CE5" s="6"/>
    </row>
    <row r="6" ht="15.75" customHeight="1">
      <c r="A6" s="1" t="s">
        <v>93</v>
      </c>
      <c r="B6" s="7" t="s">
        <v>211</v>
      </c>
      <c r="C6" s="16">
        <v>0.632222222222222</v>
      </c>
      <c r="D6" s="16">
        <v>0.735555555555555</v>
      </c>
      <c r="E6" s="16">
        <v>0.76</v>
      </c>
      <c r="F6" s="16">
        <v>0.682222222222222</v>
      </c>
      <c r="G6" s="16">
        <v>0.735555555555555</v>
      </c>
      <c r="H6" s="16">
        <v>0.676666666666666</v>
      </c>
      <c r="I6" s="16">
        <v>0.594444444444444</v>
      </c>
      <c r="J6" s="16">
        <v>0.74</v>
      </c>
      <c r="K6" s="16">
        <v>0.655555555555555</v>
      </c>
      <c r="L6" s="16">
        <v>0.571111111111111</v>
      </c>
      <c r="M6" s="16">
        <v>0.612222222222222</v>
      </c>
      <c r="N6" s="16">
        <v>0.742222222222222</v>
      </c>
      <c r="O6" s="16">
        <v>0.688888888888888</v>
      </c>
      <c r="P6" s="16">
        <v>0.473333333333333</v>
      </c>
      <c r="Q6" s="9">
        <v>0.353333</v>
      </c>
      <c r="R6" s="9">
        <v>0.433333</v>
      </c>
      <c r="S6" s="9">
        <v>0.5</v>
      </c>
      <c r="T6" s="9">
        <v>0.493333346</v>
      </c>
      <c r="U6" s="9">
        <v>0.466666669</v>
      </c>
      <c r="V6" s="9">
        <v>0.233333</v>
      </c>
      <c r="W6" s="9">
        <v>0.333333</v>
      </c>
      <c r="X6" s="9">
        <v>0.366667</v>
      </c>
      <c r="Y6" s="9">
        <v>0.433333</v>
      </c>
      <c r="Z6" s="9">
        <v>0.326666677</v>
      </c>
      <c r="AA6" s="9">
        <v>0.333333</v>
      </c>
      <c r="AB6" s="9">
        <v>0.366667</v>
      </c>
      <c r="AC6" s="9">
        <v>0.5</v>
      </c>
      <c r="AD6" s="9">
        <v>0.5</v>
      </c>
      <c r="AE6" s="9">
        <v>0.533333</v>
      </c>
      <c r="AF6" s="9">
        <v>0.453333339</v>
      </c>
      <c r="AG6" s="9">
        <v>0.5</v>
      </c>
      <c r="AH6" s="9">
        <v>0.5</v>
      </c>
      <c r="AI6" s="9">
        <v>0.393333</v>
      </c>
      <c r="AJ6" s="9">
        <v>0.4</v>
      </c>
      <c r="AK6" s="9">
        <v>0.366667</v>
      </c>
      <c r="AL6" s="9">
        <v>0.44</v>
      </c>
      <c r="AM6" s="9">
        <v>0.466667</v>
      </c>
      <c r="AN6" s="9">
        <v>0.533333</v>
      </c>
      <c r="AO6" s="9">
        <v>0.44666667</v>
      </c>
      <c r="AP6" s="9">
        <v>0.5</v>
      </c>
      <c r="AQ6" s="9">
        <v>0.6</v>
      </c>
      <c r="AR6" s="9">
        <v>0.366666669</v>
      </c>
      <c r="AS6" s="9">
        <v>0.4</v>
      </c>
      <c r="AT6" s="9">
        <v>0.566667</v>
      </c>
      <c r="AU6" s="9">
        <v>0.48</v>
      </c>
      <c r="AV6" s="9">
        <v>0.466667</v>
      </c>
      <c r="AW6" s="9">
        <v>0.466667</v>
      </c>
      <c r="AX6" s="9">
        <v>0.426667</v>
      </c>
      <c r="AY6" s="9">
        <v>0.433333</v>
      </c>
      <c r="AZ6" s="9">
        <v>0.433333</v>
      </c>
      <c r="BA6" s="9">
        <v>0.446667</v>
      </c>
      <c r="BB6" s="9">
        <v>0.433333</v>
      </c>
      <c r="BC6" s="9">
        <v>0.433333</v>
      </c>
      <c r="BD6" s="9">
        <v>0.43333334</v>
      </c>
      <c r="BE6" s="9">
        <v>0.466667</v>
      </c>
      <c r="BF6" s="9">
        <v>0.466667</v>
      </c>
      <c r="BG6" s="9">
        <v>0.36</v>
      </c>
      <c r="BH6" s="9">
        <v>0.4</v>
      </c>
      <c r="BI6" s="9">
        <v>0.433333</v>
      </c>
      <c r="BJ6" s="9">
        <v>0.38</v>
      </c>
      <c r="BK6" s="9">
        <v>0.4</v>
      </c>
      <c r="BL6" s="9">
        <v>0.366667</v>
      </c>
      <c r="BM6" s="9">
        <v>0.426667</v>
      </c>
      <c r="BN6" s="9">
        <v>0.5</v>
      </c>
      <c r="BO6" s="9">
        <v>0.566667</v>
      </c>
      <c r="BP6" s="9">
        <v>0.393333</v>
      </c>
      <c r="BQ6" s="9">
        <v>0.4</v>
      </c>
      <c r="BR6" s="9">
        <v>0.5</v>
      </c>
      <c r="BS6" s="9">
        <v>0.466667</v>
      </c>
      <c r="BT6" s="9">
        <v>0.466667</v>
      </c>
      <c r="BU6" s="9">
        <v>0.533333</v>
      </c>
      <c r="BV6" s="6"/>
      <c r="BW6" s="6" t="str">
        <f t="shared" si="1"/>
        <v>ROCKET</v>
      </c>
      <c r="BX6" s="6" t="str">
        <f t="shared" si="2"/>
        <v>RISE</v>
      </c>
      <c r="BY6" s="6" t="str">
        <f t="shared" si="3"/>
        <v>WEASEL</v>
      </c>
      <c r="BZ6" s="6"/>
      <c r="CA6" s="11" t="str">
        <f t="shared" si="4"/>
        <v>#VALUE!</v>
      </c>
      <c r="CC6" s="6" t="s">
        <v>94</v>
      </c>
      <c r="CD6" s="6"/>
      <c r="CE6" s="6"/>
    </row>
    <row r="7" ht="15.75" customHeight="1">
      <c r="A7" s="1" t="s">
        <v>95</v>
      </c>
      <c r="B7" s="7" t="s">
        <v>211</v>
      </c>
      <c r="C7" s="16">
        <v>0.958333333333333</v>
      </c>
      <c r="D7" s="16">
        <v>0.963333333333333</v>
      </c>
      <c r="E7" s="16">
        <v>0.885</v>
      </c>
      <c r="F7" s="16">
        <v>0.893333333333333</v>
      </c>
      <c r="G7" s="16">
        <v>0.933333333333333</v>
      </c>
      <c r="H7" s="16">
        <v>0.853333333333333</v>
      </c>
      <c r="I7" s="16">
        <v>0.86</v>
      </c>
      <c r="J7" s="16">
        <v>0.886666666666666</v>
      </c>
      <c r="K7" s="16">
        <v>0.936666666666666</v>
      </c>
      <c r="L7" s="16">
        <v>0.974999999999999</v>
      </c>
      <c r="M7" s="16">
        <v>0.943333333333333</v>
      </c>
      <c r="N7" s="16">
        <v>0.871666666666666</v>
      </c>
      <c r="O7" s="16">
        <v>0.833333333333333</v>
      </c>
      <c r="P7" s="16">
        <v>0.84</v>
      </c>
      <c r="Q7" s="9">
        <v>0.68</v>
      </c>
      <c r="R7" s="9">
        <v>0.7</v>
      </c>
      <c r="S7" s="9">
        <v>0.85</v>
      </c>
      <c r="T7" s="9">
        <v>0.830000019</v>
      </c>
      <c r="U7" s="9">
        <v>0.850000024</v>
      </c>
      <c r="V7" s="9">
        <v>0.5</v>
      </c>
      <c r="W7" s="9">
        <v>0.71</v>
      </c>
      <c r="X7" s="9">
        <v>0.7</v>
      </c>
      <c r="Y7" s="9">
        <v>0.9</v>
      </c>
      <c r="Z7" s="9">
        <v>0.719999993</v>
      </c>
      <c r="AA7" s="9">
        <v>0.75</v>
      </c>
      <c r="AB7" s="9">
        <v>0.9</v>
      </c>
      <c r="AC7" s="9">
        <v>0.76</v>
      </c>
      <c r="AD7" s="9">
        <v>0.8</v>
      </c>
      <c r="AE7" s="9">
        <v>0.85</v>
      </c>
      <c r="AF7" s="9">
        <v>0.810000002</v>
      </c>
      <c r="AG7" s="9">
        <v>0.8</v>
      </c>
      <c r="AH7" s="9">
        <v>0.85</v>
      </c>
      <c r="AI7" s="9">
        <v>0.65</v>
      </c>
      <c r="AJ7" s="9">
        <v>0.65</v>
      </c>
      <c r="AK7" s="9">
        <v>0.6</v>
      </c>
      <c r="AL7" s="9">
        <v>0.63</v>
      </c>
      <c r="AM7" s="9">
        <v>0.65</v>
      </c>
      <c r="AN7" s="9">
        <v>0.6</v>
      </c>
      <c r="AO7" s="9">
        <v>0.75</v>
      </c>
      <c r="AP7" s="9">
        <v>0.75</v>
      </c>
      <c r="AQ7" s="9">
        <v>0.9</v>
      </c>
      <c r="AR7" s="9">
        <v>0.639999998</v>
      </c>
      <c r="AS7" s="9">
        <v>0.5</v>
      </c>
      <c r="AT7" s="9">
        <v>0.9</v>
      </c>
      <c r="AU7" s="9">
        <v>0.65</v>
      </c>
      <c r="AV7" s="9">
        <v>0.65</v>
      </c>
      <c r="AW7" s="9">
        <v>0.75</v>
      </c>
      <c r="AX7" s="9">
        <v>0.63</v>
      </c>
      <c r="AY7" s="9">
        <v>0.65</v>
      </c>
      <c r="AZ7" s="9">
        <v>0.6</v>
      </c>
      <c r="BA7" s="9">
        <v>0.64</v>
      </c>
      <c r="BB7" s="9">
        <v>0.55</v>
      </c>
      <c r="BC7" s="9">
        <v>0.8</v>
      </c>
      <c r="BD7" s="9">
        <v>0.7</v>
      </c>
      <c r="BE7" s="9">
        <v>0.75</v>
      </c>
      <c r="BF7" s="9">
        <v>0.7</v>
      </c>
      <c r="BG7" s="9">
        <v>0.74</v>
      </c>
      <c r="BH7" s="9">
        <v>0.8</v>
      </c>
      <c r="BI7" s="9">
        <v>0.85</v>
      </c>
      <c r="BJ7" s="9">
        <v>0.69</v>
      </c>
      <c r="BK7" s="9">
        <v>0.8</v>
      </c>
      <c r="BL7" s="9">
        <v>0.85</v>
      </c>
      <c r="BM7" s="9">
        <v>0.82</v>
      </c>
      <c r="BN7" s="9">
        <v>0.85</v>
      </c>
      <c r="BO7" s="9">
        <v>0.8</v>
      </c>
      <c r="BP7" s="9">
        <v>0.9</v>
      </c>
      <c r="BQ7" s="9">
        <v>0.9</v>
      </c>
      <c r="BR7" s="9">
        <v>0.9</v>
      </c>
      <c r="BS7" s="9">
        <v>0.62</v>
      </c>
      <c r="BT7" s="9">
        <v>0.55</v>
      </c>
      <c r="BU7" s="9">
        <v>0.75</v>
      </c>
      <c r="BV7" s="6"/>
      <c r="BW7" s="6" t="str">
        <f t="shared" si="1"/>
        <v>cBOSS</v>
      </c>
      <c r="BX7" s="6" t="str">
        <f t="shared" si="2"/>
        <v>HIVE-COTE v1,0</v>
      </c>
      <c r="BY7" s="6" t="str">
        <f t="shared" si="3"/>
        <v>TS-CHIEF</v>
      </c>
      <c r="BZ7" s="6"/>
      <c r="CA7" s="11" t="str">
        <f t="shared" si="4"/>
        <v>#VALUE!</v>
      </c>
      <c r="CC7" s="6" t="s">
        <v>96</v>
      </c>
      <c r="CD7" s="6"/>
      <c r="CE7" s="6"/>
    </row>
    <row r="8" ht="15.75" customHeight="1">
      <c r="A8" s="1" t="s">
        <v>97</v>
      </c>
      <c r="B8" s="7" t="s">
        <v>211</v>
      </c>
      <c r="C8" s="16">
        <v>0.963333333333333</v>
      </c>
      <c r="D8" s="16">
        <v>0.939999999999999</v>
      </c>
      <c r="E8" s="16">
        <v>0.881666666666666</v>
      </c>
      <c r="F8" s="16">
        <v>0.951666666666666</v>
      </c>
      <c r="G8" s="16">
        <v>0.869999999999999</v>
      </c>
      <c r="H8" s="16">
        <v>0.945</v>
      </c>
      <c r="I8" s="16">
        <v>0.903333333333333</v>
      </c>
      <c r="J8" s="16">
        <v>0.864999999999999</v>
      </c>
      <c r="K8" s="16">
        <v>0.968333333333333</v>
      </c>
      <c r="L8" s="16">
        <v>0.976666666666666</v>
      </c>
      <c r="M8" s="16">
        <v>0.983333333333333</v>
      </c>
      <c r="N8" s="16">
        <v>0.868333333333333</v>
      </c>
      <c r="O8" s="16">
        <v>0.815</v>
      </c>
      <c r="P8" s="16">
        <v>0.893333333333333</v>
      </c>
      <c r="Q8" s="9">
        <v>0.68</v>
      </c>
      <c r="R8" s="9">
        <v>0.7</v>
      </c>
      <c r="S8" s="9">
        <v>0.75</v>
      </c>
      <c r="T8" s="9">
        <v>0.6</v>
      </c>
      <c r="U8" s="9">
        <v>0.600000024</v>
      </c>
      <c r="V8" s="9">
        <v>0.5</v>
      </c>
      <c r="W8" s="9">
        <v>0.75</v>
      </c>
      <c r="X8" s="9">
        <v>0.8</v>
      </c>
      <c r="Y8" s="9">
        <v>0.8</v>
      </c>
      <c r="Z8" s="9">
        <v>0.7</v>
      </c>
      <c r="AA8" s="9">
        <v>0.7</v>
      </c>
      <c r="AB8" s="9">
        <v>0.85</v>
      </c>
      <c r="AC8" s="9">
        <v>0.58</v>
      </c>
      <c r="AD8" s="9">
        <v>0.55</v>
      </c>
      <c r="AE8" s="9">
        <v>0.6</v>
      </c>
      <c r="AF8" s="9">
        <v>0.560000002</v>
      </c>
      <c r="AG8" s="9">
        <v>0.55</v>
      </c>
      <c r="AH8" s="9">
        <v>0.75</v>
      </c>
      <c r="AI8" s="9">
        <v>0.66</v>
      </c>
      <c r="AJ8" s="9">
        <v>0.7</v>
      </c>
      <c r="AK8" s="9">
        <v>0.7</v>
      </c>
      <c r="AL8" s="9">
        <v>0.7</v>
      </c>
      <c r="AM8" s="9">
        <v>0.7</v>
      </c>
      <c r="AN8" s="9">
        <v>0.75</v>
      </c>
      <c r="AO8" s="9">
        <v>0.679999995</v>
      </c>
      <c r="AP8" s="9">
        <v>0.7</v>
      </c>
      <c r="AQ8" s="9">
        <v>0.65</v>
      </c>
      <c r="AR8" s="9">
        <v>0.719999993</v>
      </c>
      <c r="AS8" s="9">
        <v>0.75</v>
      </c>
      <c r="AT8" s="9">
        <v>0.8</v>
      </c>
      <c r="AU8" s="9">
        <v>0.72</v>
      </c>
      <c r="AV8" s="9">
        <v>0.85</v>
      </c>
      <c r="AW8" s="9">
        <v>0.9</v>
      </c>
      <c r="AX8" s="9">
        <v>0.79</v>
      </c>
      <c r="AY8" s="9">
        <v>0.8</v>
      </c>
      <c r="AZ8" s="9">
        <v>0.9</v>
      </c>
      <c r="BA8" s="9">
        <v>0.61</v>
      </c>
      <c r="BB8" s="9">
        <v>0.6</v>
      </c>
      <c r="BC8" s="9">
        <v>0.7</v>
      </c>
      <c r="BD8" s="9">
        <v>0.60999999</v>
      </c>
      <c r="BE8" s="9">
        <v>0.65</v>
      </c>
      <c r="BF8" s="9">
        <v>0.7</v>
      </c>
      <c r="BG8" s="9">
        <v>0.67</v>
      </c>
      <c r="BH8" s="9">
        <v>0.7</v>
      </c>
      <c r="BI8" s="9">
        <v>0.75</v>
      </c>
      <c r="BJ8" s="9">
        <v>0.68</v>
      </c>
      <c r="BK8" s="9">
        <v>0.7</v>
      </c>
      <c r="BL8" s="9">
        <v>0.75</v>
      </c>
      <c r="BM8" s="9">
        <v>0.64</v>
      </c>
      <c r="BN8" s="9">
        <v>0.65</v>
      </c>
      <c r="BO8" s="9">
        <v>0.75</v>
      </c>
      <c r="BP8" s="9">
        <v>0.63</v>
      </c>
      <c r="BQ8" s="9">
        <v>0.65</v>
      </c>
      <c r="BR8" s="9">
        <v>0.7</v>
      </c>
      <c r="BS8" s="9">
        <v>0.56</v>
      </c>
      <c r="BT8" s="9">
        <v>0.55</v>
      </c>
      <c r="BU8" s="9">
        <v>0.55</v>
      </c>
      <c r="BV8" s="6"/>
      <c r="BW8" s="6" t="str">
        <f t="shared" si="1"/>
        <v>BOSS</v>
      </c>
      <c r="BX8" s="6" t="str">
        <f t="shared" si="2"/>
        <v>cBOSS</v>
      </c>
      <c r="BY8" s="6" t="str">
        <f t="shared" si="3"/>
        <v>S-BOSS</v>
      </c>
      <c r="BZ8" s="6"/>
      <c r="CA8" s="11" t="str">
        <f t="shared" si="4"/>
        <v>#VALUE!</v>
      </c>
      <c r="CC8" s="13" t="str">
        <f t="array" ref="CC8">INDEX($1:$1,0,COLUMN()-MOD(COLUMN()-1,2))</f>
        <v/>
      </c>
      <c r="CD8" s="6"/>
      <c r="CE8" s="6"/>
    </row>
    <row r="9" ht="15.75" customHeight="1">
      <c r="A9" s="1" t="s">
        <v>98</v>
      </c>
      <c r="B9" s="7" t="s">
        <v>211</v>
      </c>
      <c r="C9" s="16">
        <v>0.996444444444444</v>
      </c>
      <c r="D9" s="16">
        <v>0.982222222222222</v>
      </c>
      <c r="E9" s="16">
        <v>0.997333333333333</v>
      </c>
      <c r="F9" s="16">
        <v>0.996444444444444</v>
      </c>
      <c r="G9" s="16">
        <v>0.929777777777777</v>
      </c>
      <c r="H9" s="16">
        <v>0.999111111111111</v>
      </c>
      <c r="I9" s="16">
        <v>0.999111111111111</v>
      </c>
      <c r="J9" s="16">
        <v>0.947777777777778</v>
      </c>
      <c r="K9" s="16">
        <v>0.86511111111111</v>
      </c>
      <c r="L9" s="16">
        <v>0.784666666666666</v>
      </c>
      <c r="M9" s="16">
        <v>0.865777777777777</v>
      </c>
      <c r="N9" s="16">
        <v>0.786</v>
      </c>
      <c r="O9" s="16">
        <v>0.962444444444444</v>
      </c>
      <c r="P9" s="16">
        <v>0.904888888888888</v>
      </c>
      <c r="Q9" s="9">
        <v>0.798667</v>
      </c>
      <c r="R9" s="9">
        <v>0.886667</v>
      </c>
      <c r="S9" s="9">
        <v>0.9</v>
      </c>
      <c r="T9" s="9">
        <v>0.874666655</v>
      </c>
      <c r="U9" s="9">
        <v>0.886666656</v>
      </c>
      <c r="V9" s="9">
        <v>0.346667</v>
      </c>
      <c r="W9" s="9">
        <v>0.949333</v>
      </c>
      <c r="X9" s="9">
        <v>0.953333</v>
      </c>
      <c r="Y9" s="9">
        <v>0.966667</v>
      </c>
      <c r="Z9" s="9">
        <v>0.961333323</v>
      </c>
      <c r="AA9" s="9">
        <v>0.96</v>
      </c>
      <c r="AB9" s="9">
        <v>0.986667</v>
      </c>
      <c r="AC9" s="9">
        <v>0.784</v>
      </c>
      <c r="AD9" s="9">
        <v>0.88</v>
      </c>
      <c r="AE9" s="9">
        <v>0.9</v>
      </c>
      <c r="AF9" s="9">
        <v>0.886666667</v>
      </c>
      <c r="AG9" s="9">
        <v>0.9</v>
      </c>
      <c r="AH9" s="9">
        <v>0.906667</v>
      </c>
      <c r="AI9" s="9">
        <v>0.901333</v>
      </c>
      <c r="AJ9" s="9">
        <v>0.92</v>
      </c>
      <c r="AK9" s="9">
        <v>0.973333</v>
      </c>
      <c r="AL9" s="9">
        <v>0.938667</v>
      </c>
      <c r="AM9" s="9">
        <v>0.953333</v>
      </c>
      <c r="AN9" s="9">
        <v>0.96</v>
      </c>
      <c r="AO9" s="9">
        <v>0.881333327</v>
      </c>
      <c r="AP9" s="9">
        <v>0.886667</v>
      </c>
      <c r="AQ9" s="9">
        <v>0.886667</v>
      </c>
      <c r="AR9" s="9">
        <v>0.846666658</v>
      </c>
      <c r="AS9" s="9">
        <v>0.893333</v>
      </c>
      <c r="AT9" s="9">
        <v>0.9</v>
      </c>
      <c r="AU9" s="9">
        <v>0.925333</v>
      </c>
      <c r="AV9" s="9">
        <v>0.933333</v>
      </c>
      <c r="AW9" s="9">
        <v>0.946667</v>
      </c>
      <c r="AX9" s="9">
        <v>0.918667</v>
      </c>
      <c r="AY9" s="9">
        <v>0.92</v>
      </c>
      <c r="AZ9" s="9">
        <v>0.9</v>
      </c>
      <c r="BA9" s="9">
        <v>0.802667</v>
      </c>
      <c r="BB9" s="9">
        <v>0.873333</v>
      </c>
      <c r="BC9" s="9">
        <v>0.9</v>
      </c>
      <c r="BD9" s="9">
        <v>0.876000011</v>
      </c>
      <c r="BE9" s="9">
        <v>0.893333</v>
      </c>
      <c r="BF9" s="9">
        <v>0.9</v>
      </c>
      <c r="BG9" s="9">
        <v>0.88</v>
      </c>
      <c r="BH9" s="9">
        <v>0.866667</v>
      </c>
      <c r="BI9" s="9">
        <v>0.893333</v>
      </c>
      <c r="BJ9" s="9">
        <v>0.901333</v>
      </c>
      <c r="BK9" s="9">
        <v>0.906667</v>
      </c>
      <c r="BL9" s="9">
        <v>0.893333</v>
      </c>
      <c r="BM9" s="9">
        <v>0.829333</v>
      </c>
      <c r="BN9" s="9">
        <v>0.833333</v>
      </c>
      <c r="BO9" s="9">
        <v>0.86</v>
      </c>
      <c r="BP9" s="9">
        <v>0.92</v>
      </c>
      <c r="BQ9" s="9">
        <v>0.926667</v>
      </c>
      <c r="BR9" s="9">
        <v>0.94</v>
      </c>
      <c r="BS9" s="9">
        <v>0.974667</v>
      </c>
      <c r="BT9" s="9">
        <v>0.986667</v>
      </c>
      <c r="BU9" s="9">
        <v>0.993333</v>
      </c>
      <c r="BV9" s="6"/>
      <c r="BW9" s="6" t="str">
        <f t="shared" si="1"/>
        <v>ResNet</v>
      </c>
      <c r="BX9" s="6" t="str">
        <f t="shared" si="2"/>
        <v>ResNet</v>
      </c>
      <c r="BY9" s="6" t="str">
        <f t="shared" si="3"/>
        <v>ROCKET</v>
      </c>
      <c r="BZ9" s="6"/>
      <c r="CA9" s="11" t="str">
        <f t="shared" si="4"/>
        <v>#VALUE!</v>
      </c>
      <c r="CC9" s="6"/>
      <c r="CD9" s="6"/>
      <c r="CE9" s="6"/>
    </row>
    <row r="10" ht="15.75" customHeight="1">
      <c r="A10" s="1" t="s">
        <v>99</v>
      </c>
      <c r="B10" s="7" t="s">
        <v>211</v>
      </c>
      <c r="C10" s="16">
        <v>0.878888888888888</v>
      </c>
      <c r="D10" s="16">
        <v>0.868888888888889</v>
      </c>
      <c r="E10" s="16">
        <v>0.911666666666666</v>
      </c>
      <c r="F10" s="16">
        <v>0.901111111111111</v>
      </c>
      <c r="G10" s="16">
        <v>0.858333333333333</v>
      </c>
      <c r="H10" s="16">
        <v>0.908333333333333</v>
      </c>
      <c r="I10" s="16">
        <v>0.805555555555555</v>
      </c>
      <c r="J10" s="16">
        <v>0.834444444444444</v>
      </c>
      <c r="K10" s="16">
        <v>0.859444444444444</v>
      </c>
      <c r="L10" s="16">
        <v>0.843333333333333</v>
      </c>
      <c r="M10" s="16">
        <v>0.848333333333333</v>
      </c>
      <c r="N10" s="16">
        <v>0.753333333333333</v>
      </c>
      <c r="O10" s="16">
        <v>0.766111111111111</v>
      </c>
      <c r="P10" s="16">
        <v>0.746111111111111</v>
      </c>
      <c r="Q10" s="9">
        <v>0.536667</v>
      </c>
      <c r="R10" s="9">
        <v>0.55</v>
      </c>
      <c r="S10" s="9">
        <v>0.55</v>
      </c>
      <c r="T10" s="9">
        <v>0.543333328</v>
      </c>
      <c r="U10" s="9">
        <v>0.566666663</v>
      </c>
      <c r="V10" s="9">
        <v>0.2</v>
      </c>
      <c r="W10" s="9">
        <v>0.69</v>
      </c>
      <c r="X10" s="9">
        <v>0.683333</v>
      </c>
      <c r="Y10" s="9">
        <v>0.683333</v>
      </c>
      <c r="Z10" s="9">
        <v>0.636666667</v>
      </c>
      <c r="AA10" s="9">
        <v>0.633333</v>
      </c>
      <c r="AB10" s="9">
        <v>0.666667</v>
      </c>
      <c r="AC10" s="9">
        <v>0.556667</v>
      </c>
      <c r="AD10" s="9">
        <v>0.55</v>
      </c>
      <c r="AE10" s="9">
        <v>0.583333</v>
      </c>
      <c r="AF10" s="9">
        <v>0.543333334</v>
      </c>
      <c r="AG10" s="9">
        <v>0.566667</v>
      </c>
      <c r="AH10" s="9">
        <v>0.583333</v>
      </c>
      <c r="AI10" s="9">
        <v>0.656667</v>
      </c>
      <c r="AJ10" s="9">
        <v>0.65</v>
      </c>
      <c r="AK10" s="9">
        <v>0.716667</v>
      </c>
      <c r="AL10" s="9">
        <v>0.63</v>
      </c>
      <c r="AM10" s="9">
        <v>0.616667</v>
      </c>
      <c r="AN10" s="9">
        <v>0.666667</v>
      </c>
      <c r="AO10" s="9">
        <v>0.566666657</v>
      </c>
      <c r="AP10" s="9">
        <v>0.583333</v>
      </c>
      <c r="AQ10" s="9">
        <v>0.583333</v>
      </c>
      <c r="AR10" s="9">
        <v>0.566666675</v>
      </c>
      <c r="AS10" s="9">
        <v>0.566667</v>
      </c>
      <c r="AT10" s="9">
        <v>0.55</v>
      </c>
      <c r="AU10" s="9">
        <v>0.65</v>
      </c>
      <c r="AV10" s="9">
        <v>0.633333</v>
      </c>
      <c r="AW10" s="9">
        <v>0.65</v>
      </c>
      <c r="AX10" s="9">
        <v>0.663333</v>
      </c>
      <c r="AY10" s="9">
        <v>0.666667</v>
      </c>
      <c r="AZ10" s="9">
        <v>0.7</v>
      </c>
      <c r="BA10" s="9">
        <v>0.633333</v>
      </c>
      <c r="BB10" s="9">
        <v>0.633333</v>
      </c>
      <c r="BC10" s="9">
        <v>0.633333</v>
      </c>
      <c r="BD10" s="9">
        <v>0.593333352</v>
      </c>
      <c r="BE10" s="9">
        <v>0.6</v>
      </c>
      <c r="BF10" s="9">
        <v>0.6</v>
      </c>
      <c r="BG10" s="9">
        <v>0.653333</v>
      </c>
      <c r="BH10" s="9">
        <v>0.633333</v>
      </c>
      <c r="BI10" s="9">
        <v>0.766667</v>
      </c>
      <c r="BJ10" s="9">
        <v>0.7</v>
      </c>
      <c r="BK10" s="9">
        <v>0.7</v>
      </c>
      <c r="BL10" s="9">
        <v>0.7</v>
      </c>
      <c r="BM10" s="9">
        <v>0.576667</v>
      </c>
      <c r="BN10" s="9">
        <v>0.6</v>
      </c>
      <c r="BO10" s="9">
        <v>0.55</v>
      </c>
      <c r="BP10" s="9">
        <v>0.65</v>
      </c>
      <c r="BQ10" s="9">
        <v>0.666667</v>
      </c>
      <c r="BR10" s="9">
        <v>0.683333</v>
      </c>
      <c r="BS10" s="9">
        <v>0.613333</v>
      </c>
      <c r="BT10" s="9">
        <v>0.566667</v>
      </c>
      <c r="BU10" s="9">
        <v>0.583333</v>
      </c>
      <c r="BV10" s="6"/>
      <c r="BW10" s="6" t="str">
        <f t="shared" si="1"/>
        <v>ROCKET</v>
      </c>
      <c r="BX10" s="6" t="str">
        <f t="shared" si="2"/>
        <v>ResNet</v>
      </c>
      <c r="BY10" s="6" t="str">
        <f t="shared" si="3"/>
        <v>InceptionTime</v>
      </c>
      <c r="BZ10" s="6"/>
      <c r="CA10" s="11" t="str">
        <f t="shared" si="4"/>
        <v>#VALUE!</v>
      </c>
      <c r="CC10" s="6" t="s">
        <v>100</v>
      </c>
      <c r="CD10" s="6"/>
      <c r="CE10" s="6"/>
    </row>
    <row r="11" ht="15.75" customHeight="1">
      <c r="A11" s="1" t="s">
        <v>101</v>
      </c>
      <c r="B11" s="7" t="s">
        <v>211</v>
      </c>
      <c r="C11" s="16">
        <v>0.998444444444444</v>
      </c>
      <c r="D11" s="16">
        <v>0.998259259259259</v>
      </c>
      <c r="E11" s="16">
        <v>0.995925925925925</v>
      </c>
      <c r="F11" s="16">
        <v>0.996111111111111</v>
      </c>
      <c r="G11" s="16">
        <v>0.985296296296296</v>
      </c>
      <c r="H11" s="16">
        <v>0.988222222222222</v>
      </c>
      <c r="I11" s="16">
        <v>0.993629629629629</v>
      </c>
      <c r="J11" s="16">
        <v>0.979777777777777</v>
      </c>
      <c r="K11" s="16">
        <v>0.999074074074074</v>
      </c>
      <c r="L11" s="16">
        <v>0.99837037037037</v>
      </c>
      <c r="M11" s="16">
        <v>0.998925925925925</v>
      </c>
      <c r="N11" s="16">
        <v>0.949037037037036</v>
      </c>
      <c r="O11" s="16">
        <v>0.971851851851852</v>
      </c>
      <c r="P11" s="16">
        <v>0.953666666666666</v>
      </c>
      <c r="Q11" s="9">
        <v>0.933556</v>
      </c>
      <c r="R11" s="9">
        <v>0.941111</v>
      </c>
      <c r="S11" s="9">
        <v>0.955556</v>
      </c>
      <c r="T11" s="9">
        <v>0.922888887</v>
      </c>
      <c r="U11" s="9">
        <v>0.930000007</v>
      </c>
      <c r="V11" s="9">
        <v>0.331111</v>
      </c>
      <c r="W11" s="9">
        <v>0.948222</v>
      </c>
      <c r="X11" s="9">
        <v>0.958889</v>
      </c>
      <c r="Y11" s="9">
        <v>0.984444</v>
      </c>
      <c r="Z11" s="9">
        <v>0.968444455</v>
      </c>
      <c r="AA11" s="9">
        <v>0.967778</v>
      </c>
      <c r="AB11" s="9">
        <v>0.975556</v>
      </c>
      <c r="AC11" s="9">
        <v>0.910889</v>
      </c>
      <c r="AD11" s="9">
        <v>0.916667</v>
      </c>
      <c r="AE11" s="9">
        <v>0.935556</v>
      </c>
      <c r="AF11" s="9">
        <v>0.917333341</v>
      </c>
      <c r="AG11" s="9">
        <v>0.935556</v>
      </c>
      <c r="AH11" s="9">
        <v>0.938889</v>
      </c>
      <c r="AI11" s="9">
        <v>0.936667</v>
      </c>
      <c r="AJ11" s="9">
        <v>0.944444</v>
      </c>
      <c r="AK11" s="9">
        <v>0.945556</v>
      </c>
      <c r="AL11" s="9">
        <v>0.932444</v>
      </c>
      <c r="AM11" s="9">
        <v>0.932222</v>
      </c>
      <c r="AN11" s="9">
        <v>0.956667</v>
      </c>
      <c r="AO11" s="9">
        <v>0.949333322</v>
      </c>
      <c r="AP11" s="9">
        <v>0.95</v>
      </c>
      <c r="AQ11" s="9">
        <v>0.965556</v>
      </c>
      <c r="AR11" s="9">
        <v>0.942888892</v>
      </c>
      <c r="AS11" s="9">
        <v>0.958889</v>
      </c>
      <c r="AT11" s="9">
        <v>0.96</v>
      </c>
      <c r="AU11" s="9">
        <v>0.964</v>
      </c>
      <c r="AV11" s="9">
        <v>0.964444</v>
      </c>
      <c r="AW11" s="9">
        <v>0.974444</v>
      </c>
      <c r="AX11" s="9">
        <v>0.965556</v>
      </c>
      <c r="AY11" s="9">
        <v>0.97</v>
      </c>
      <c r="AZ11" s="9">
        <v>0.975556</v>
      </c>
      <c r="BA11" s="9">
        <v>0.952667</v>
      </c>
      <c r="BB11" s="9">
        <v>0.948889</v>
      </c>
      <c r="BC11" s="9">
        <v>0.961111</v>
      </c>
      <c r="BD11" s="9" t="s">
        <v>85</v>
      </c>
      <c r="BE11" s="9" t="s">
        <v>85</v>
      </c>
      <c r="BF11" s="1" t="s">
        <v>85</v>
      </c>
      <c r="BG11" s="9">
        <v>0.899556</v>
      </c>
      <c r="BH11" s="9">
        <v>0.902222</v>
      </c>
      <c r="BI11" s="9">
        <v>0.933333</v>
      </c>
      <c r="BJ11" s="9">
        <v>0.938222</v>
      </c>
      <c r="BK11" s="9">
        <v>0.938889</v>
      </c>
      <c r="BL11" s="9">
        <v>0.948889</v>
      </c>
      <c r="BM11" s="9">
        <v>0.957333</v>
      </c>
      <c r="BN11" s="9">
        <v>0.961111</v>
      </c>
      <c r="BO11" s="9">
        <v>0.971111</v>
      </c>
      <c r="BP11" s="9">
        <v>0.924667</v>
      </c>
      <c r="BQ11" s="9">
        <v>0.921111</v>
      </c>
      <c r="BR11" s="9">
        <v>0.94</v>
      </c>
      <c r="BS11" s="9">
        <v>0.849556</v>
      </c>
      <c r="BT11" s="9">
        <v>0.856667</v>
      </c>
      <c r="BU11" s="9">
        <v>0.861111</v>
      </c>
      <c r="BV11" s="6"/>
      <c r="BW11" s="6" t="str">
        <f t="shared" si="1"/>
        <v>S-BOSS</v>
      </c>
      <c r="BX11" s="6" t="str">
        <f t="shared" si="2"/>
        <v>BOSS</v>
      </c>
      <c r="BY11" s="6" t="str">
        <f t="shared" si="3"/>
        <v>TS-CHIEF</v>
      </c>
      <c r="BZ11" s="6"/>
      <c r="CA11" s="11" t="str">
        <f t="shared" si="4"/>
        <v>#VALUE!</v>
      </c>
      <c r="CC11" s="6" t="s">
        <v>102</v>
      </c>
      <c r="CD11" s="6"/>
      <c r="CE11" s="6"/>
    </row>
    <row r="12" ht="15.75" customHeight="1">
      <c r="A12" s="1" t="s">
        <v>103</v>
      </c>
      <c r="B12" s="7" t="s">
        <v>211</v>
      </c>
      <c r="C12" s="16">
        <v>0.96183574879227</v>
      </c>
      <c r="D12" s="16">
        <v>0.962779397473275</v>
      </c>
      <c r="E12" s="16">
        <v>0.966861030126336</v>
      </c>
      <c r="F12" s="16">
        <v>0.964820213799805</v>
      </c>
      <c r="G12" s="16">
        <v>0.962973760932944</v>
      </c>
      <c r="H12" s="16">
        <v>0.970144927536232</v>
      </c>
      <c r="I12" s="16">
        <v>0.948019323671497</v>
      </c>
      <c r="J12" s="16">
        <v>0.957337220602526</v>
      </c>
      <c r="K12" s="16">
        <v>0.879105928085519</v>
      </c>
      <c r="L12" s="16">
        <v>0.947632850241545</v>
      </c>
      <c r="M12" s="16">
        <v>0.877065111758989</v>
      </c>
      <c r="N12" s="16">
        <v>0.888532555879494</v>
      </c>
      <c r="O12" s="16">
        <v>0.952964042759961</v>
      </c>
      <c r="P12" s="16">
        <v>0.934492753623188</v>
      </c>
      <c r="Q12" s="9">
        <v>0.960933</v>
      </c>
      <c r="R12" s="9">
        <v>0.965015</v>
      </c>
      <c r="S12" s="9">
        <v>0.976676</v>
      </c>
      <c r="T12" s="9">
        <v>0.958017504</v>
      </c>
      <c r="U12" s="9">
        <v>0.965014577</v>
      </c>
      <c r="V12" s="9">
        <v>0.717201</v>
      </c>
      <c r="W12" s="9">
        <v>0.961516</v>
      </c>
      <c r="X12" s="9">
        <v>0.959184</v>
      </c>
      <c r="Y12" s="9">
        <v>0.962099</v>
      </c>
      <c r="Z12" s="9">
        <v>0.962682223</v>
      </c>
      <c r="AA12" s="9">
        <v>0.965015</v>
      </c>
      <c r="AB12" s="9">
        <v>0.965015</v>
      </c>
      <c r="AC12" s="9">
        <v>0.967347</v>
      </c>
      <c r="AD12" s="9">
        <v>0.96793</v>
      </c>
      <c r="AE12" s="9">
        <v>0.96793</v>
      </c>
      <c r="AF12" s="9">
        <v>0.956268227</v>
      </c>
      <c r="AG12" s="9">
        <v>0.976676</v>
      </c>
      <c r="AH12" s="9">
        <v>0.979592</v>
      </c>
      <c r="AI12" s="9">
        <v>0.848397</v>
      </c>
      <c r="AJ12" s="9">
        <v>0.953353</v>
      </c>
      <c r="AK12" s="9">
        <v>0.944606</v>
      </c>
      <c r="AL12" s="9">
        <v>0.948105</v>
      </c>
      <c r="AM12" s="9">
        <v>0.953353</v>
      </c>
      <c r="AN12" s="9">
        <v>0.944606</v>
      </c>
      <c r="AO12" s="9">
        <v>0.967930019</v>
      </c>
      <c r="AP12" s="9">
        <v>0.970845</v>
      </c>
      <c r="AQ12" s="9">
        <v>0.982507</v>
      </c>
      <c r="AR12" s="9">
        <v>0.976676393</v>
      </c>
      <c r="AS12" s="9">
        <v>0.973761</v>
      </c>
      <c r="AT12" s="9">
        <v>0.982507</v>
      </c>
      <c r="AU12" s="9">
        <v>0.937609</v>
      </c>
      <c r="AV12" s="9">
        <v>0.938776</v>
      </c>
      <c r="AW12" s="9">
        <v>0.947522</v>
      </c>
      <c r="AX12" s="9">
        <v>0.938192</v>
      </c>
      <c r="AY12" s="9">
        <v>0.941691</v>
      </c>
      <c r="AZ12" s="9">
        <v>0.932945</v>
      </c>
      <c r="BA12" s="9">
        <v>0.955685</v>
      </c>
      <c r="BB12" s="9">
        <v>0.973761</v>
      </c>
      <c r="BC12" s="9">
        <v>0.979592</v>
      </c>
      <c r="BD12" s="9">
        <v>0.962682223</v>
      </c>
      <c r="BE12" s="9">
        <v>0.959184</v>
      </c>
      <c r="BF12" s="9">
        <v>0.982507</v>
      </c>
      <c r="BG12" s="9">
        <v>0.940525</v>
      </c>
      <c r="BH12" s="9">
        <v>0.941691</v>
      </c>
      <c r="BI12" s="9">
        <v>0.932945</v>
      </c>
      <c r="BJ12" s="9">
        <v>0.941691</v>
      </c>
      <c r="BK12" s="9">
        <v>0.941691</v>
      </c>
      <c r="BL12" s="9">
        <v>0.956268</v>
      </c>
      <c r="BM12" s="9">
        <v>0.903207</v>
      </c>
      <c r="BN12" s="9">
        <v>0.895044</v>
      </c>
      <c r="BO12" s="9">
        <v>0.947522</v>
      </c>
      <c r="BP12" s="9">
        <v>0.935277</v>
      </c>
      <c r="BQ12" s="9">
        <v>0.944606</v>
      </c>
      <c r="BR12" s="9">
        <v>0.947522</v>
      </c>
      <c r="BS12" s="9">
        <v>0.443732</v>
      </c>
      <c r="BT12" s="9">
        <v>0.44898</v>
      </c>
      <c r="BU12" s="9">
        <v>0.970845</v>
      </c>
      <c r="BV12" s="6"/>
      <c r="BW12" s="6" t="str">
        <f t="shared" si="1"/>
        <v>10B_One_Acc</v>
      </c>
      <c r="BX12" s="6" t="str">
        <f t="shared" si="2"/>
        <v>10B_One_Acc</v>
      </c>
      <c r="BY12" s="6" t="str">
        <f t="shared" si="3"/>
        <v>10B_One_Acc</v>
      </c>
      <c r="BZ12" s="6"/>
      <c r="CA12" s="11" t="str">
        <f t="shared" si="4"/>
        <v>#VALUE!</v>
      </c>
      <c r="CC12" s="6" t="s">
        <v>104</v>
      </c>
      <c r="CD12" s="6"/>
      <c r="CE12" s="6"/>
    </row>
    <row r="13" ht="15.75" customHeight="1">
      <c r="A13" s="1" t="s">
        <v>105</v>
      </c>
      <c r="B13" s="7" t="s">
        <v>211</v>
      </c>
      <c r="C13" s="16">
        <v>0.660842013888889</v>
      </c>
      <c r="D13" s="16">
        <v>0.733949652777777</v>
      </c>
      <c r="E13" s="16">
        <v>0.796137152777778</v>
      </c>
      <c r="F13" s="16">
        <v>0.863611111111111</v>
      </c>
      <c r="G13" s="16">
        <v>0.735225694444444</v>
      </c>
      <c r="H13" s="16">
        <v>0.841006944444444</v>
      </c>
      <c r="I13" s="16">
        <v>0.631137152777777</v>
      </c>
      <c r="J13" s="16">
        <v>0.754861111111111</v>
      </c>
      <c r="K13" s="16">
        <v>0.659114583333333</v>
      </c>
      <c r="L13" s="16">
        <v>0.664956597222222</v>
      </c>
      <c r="M13" s="16">
        <v>0.658246527777777</v>
      </c>
      <c r="N13" s="16">
        <v>0.764756944444444</v>
      </c>
      <c r="O13" s="16">
        <v>0.723064236111111</v>
      </c>
      <c r="P13" s="16">
        <v>0.597951388888889</v>
      </c>
      <c r="Q13" s="9">
        <v>0.540052</v>
      </c>
      <c r="R13" s="9">
        <v>0.532552</v>
      </c>
      <c r="S13" s="9">
        <v>0.547917</v>
      </c>
      <c r="T13" s="9">
        <v>0.545260406</v>
      </c>
      <c r="U13" s="9">
        <v>0.540624976</v>
      </c>
      <c r="V13" s="9">
        <v>0.532552</v>
      </c>
      <c r="W13" s="9">
        <v>0.546823</v>
      </c>
      <c r="X13" s="9">
        <v>0.532552</v>
      </c>
      <c r="Y13" s="9">
        <v>0.532552</v>
      </c>
      <c r="Z13" s="9">
        <v>0.536770821</v>
      </c>
      <c r="AA13" s="9">
        <v>0.532552</v>
      </c>
      <c r="AB13" s="9">
        <v>0.532552</v>
      </c>
      <c r="AC13" s="9">
        <v>0.53875</v>
      </c>
      <c r="AD13" s="9">
        <v>0.532552</v>
      </c>
      <c r="AE13" s="9">
        <v>0.535677</v>
      </c>
      <c r="AF13" s="9">
        <v>0.550572908</v>
      </c>
      <c r="AG13" s="9">
        <v>0.532552</v>
      </c>
      <c r="AH13" s="9">
        <v>0.532552</v>
      </c>
      <c r="AI13" s="9">
        <v>0.540156</v>
      </c>
      <c r="AJ13" s="9">
        <v>0.532552</v>
      </c>
      <c r="AK13" s="9">
        <v>0.56276</v>
      </c>
      <c r="AL13" s="9">
        <v>0.538854</v>
      </c>
      <c r="AM13" s="9">
        <v>0.532552</v>
      </c>
      <c r="AN13" s="9">
        <v>0.532552</v>
      </c>
      <c r="AO13" s="9">
        <v>0.551874983</v>
      </c>
      <c r="AP13" s="9">
        <v>0.540104</v>
      </c>
      <c r="AQ13" s="9">
        <v>0.579427</v>
      </c>
      <c r="AR13" s="9">
        <v>0.546822906</v>
      </c>
      <c r="AS13" s="9">
        <v>0.532552</v>
      </c>
      <c r="AT13" s="9">
        <v>0.532552</v>
      </c>
      <c r="AU13" s="9">
        <v>0.532552</v>
      </c>
      <c r="AV13" s="9">
        <v>0.532552</v>
      </c>
      <c r="AW13" s="9">
        <v>0.532552</v>
      </c>
      <c r="AX13" s="9">
        <v>0.532552</v>
      </c>
      <c r="AY13" s="9">
        <v>0.532552</v>
      </c>
      <c r="AZ13" s="9">
        <v>0.532552</v>
      </c>
      <c r="BA13" s="9">
        <v>0.566562</v>
      </c>
      <c r="BB13" s="9">
        <v>0.571094</v>
      </c>
      <c r="BC13" s="9">
        <v>0.579427</v>
      </c>
      <c r="BD13" s="9">
        <v>0.571406245</v>
      </c>
      <c r="BE13" s="9">
        <v>0.569792</v>
      </c>
      <c r="BF13" s="9">
        <v>0.578385</v>
      </c>
      <c r="BG13" s="9">
        <v>0.541562</v>
      </c>
      <c r="BH13" s="9">
        <v>0.532552</v>
      </c>
      <c r="BI13" s="9">
        <v>0.59974</v>
      </c>
      <c r="BJ13" s="9">
        <v>0.551146</v>
      </c>
      <c r="BK13" s="9">
        <v>0.532552</v>
      </c>
      <c r="BL13" s="9">
        <v>0.532552</v>
      </c>
      <c r="BM13" s="9">
        <v>0.57875</v>
      </c>
      <c r="BN13" s="9">
        <v>0.580208</v>
      </c>
      <c r="BO13" s="9">
        <v>0.588542</v>
      </c>
      <c r="BP13" s="9">
        <v>0.532552</v>
      </c>
      <c r="BQ13" s="9">
        <v>0.532552</v>
      </c>
      <c r="BR13" s="9">
        <v>0.532552</v>
      </c>
      <c r="BS13" s="9">
        <v>0.553698</v>
      </c>
      <c r="BT13" s="9">
        <v>0.558333</v>
      </c>
      <c r="BU13" s="9">
        <v>0.5625</v>
      </c>
      <c r="BV13" s="6"/>
      <c r="BW13" s="6" t="str">
        <f t="shared" si="1"/>
        <v>InceptionTime</v>
      </c>
      <c r="BX13" s="6" t="str">
        <f t="shared" si="2"/>
        <v>ResNet</v>
      </c>
      <c r="BY13" s="6" t="str">
        <f t="shared" si="3"/>
        <v>ROCKET</v>
      </c>
      <c r="BZ13" s="6"/>
      <c r="CA13" s="11" t="str">
        <f t="shared" si="4"/>
        <v>#VALUE!</v>
      </c>
      <c r="CC13" s="6" t="s">
        <v>106</v>
      </c>
      <c r="CD13" s="6"/>
      <c r="CE13" s="6"/>
    </row>
    <row r="14" ht="15.75" customHeight="1">
      <c r="A14" s="1" t="s">
        <v>107</v>
      </c>
      <c r="B14" s="7" t="s">
        <v>211</v>
      </c>
      <c r="C14" s="16">
        <v>0.953429951690821</v>
      </c>
      <c r="D14" s="16">
        <v>0.993743961352657</v>
      </c>
      <c r="E14" s="16">
        <v>0.864130434782608</v>
      </c>
      <c r="F14" s="16">
        <v>0.832125603864734</v>
      </c>
      <c r="G14" s="16">
        <v>0.977777777777778</v>
      </c>
      <c r="H14" s="16">
        <v>0.767874396135265</v>
      </c>
      <c r="I14" s="16">
        <v>0.937657004830917</v>
      </c>
      <c r="J14" s="16">
        <v>0.984975845410628</v>
      </c>
      <c r="K14" s="16">
        <v>0.942632850241546</v>
      </c>
      <c r="L14" s="16">
        <v>0.82915458937198</v>
      </c>
      <c r="M14" s="16">
        <v>0.91475845410628</v>
      </c>
      <c r="N14" s="16">
        <v>0.947439613526569</v>
      </c>
      <c r="O14" s="16">
        <v>0.958188405797101</v>
      </c>
      <c r="P14" s="16">
        <v>0.802995169082125</v>
      </c>
      <c r="Q14" s="9">
        <v>0.371159</v>
      </c>
      <c r="R14" s="9">
        <v>0.381159</v>
      </c>
      <c r="S14" s="9">
        <v>0.435507</v>
      </c>
      <c r="T14" s="9">
        <v>0.514927524</v>
      </c>
      <c r="U14" s="9">
        <v>0.505072474</v>
      </c>
      <c r="V14" s="9">
        <v>0.247826</v>
      </c>
      <c r="W14" s="9">
        <v>0.402899</v>
      </c>
      <c r="X14" s="9">
        <v>0.403623</v>
      </c>
      <c r="Y14" s="9">
        <v>0.496377</v>
      </c>
      <c r="Z14" s="9">
        <v>0.350000006</v>
      </c>
      <c r="AA14" s="9">
        <v>0.32971</v>
      </c>
      <c r="AB14" s="9">
        <v>0.494203</v>
      </c>
      <c r="AC14" s="9">
        <v>0.535362</v>
      </c>
      <c r="AD14" s="9">
        <v>0.597101</v>
      </c>
      <c r="AE14" s="9">
        <v>0.643478</v>
      </c>
      <c r="AF14" s="9">
        <v>0.564347827</v>
      </c>
      <c r="AG14" s="9">
        <v>0.544928</v>
      </c>
      <c r="AH14" s="9">
        <v>0.603623</v>
      </c>
      <c r="AI14" s="9">
        <v>0.561594</v>
      </c>
      <c r="AJ14" s="9">
        <v>0.565942</v>
      </c>
      <c r="AK14" s="9">
        <v>0.628261</v>
      </c>
      <c r="AL14" s="9">
        <v>0.586522</v>
      </c>
      <c r="AM14" s="9">
        <v>0.578986</v>
      </c>
      <c r="AN14" s="9">
        <v>0.602899</v>
      </c>
      <c r="AO14" s="9">
        <v>0.563623178</v>
      </c>
      <c r="AP14" s="9">
        <v>0.561594</v>
      </c>
      <c r="AQ14" s="9">
        <v>0.656522</v>
      </c>
      <c r="AR14" s="9">
        <v>0.602608693</v>
      </c>
      <c r="AS14" s="9">
        <v>0.601449</v>
      </c>
      <c r="AT14" s="9">
        <v>0.668841</v>
      </c>
      <c r="AU14" s="9">
        <v>0.638406</v>
      </c>
      <c r="AV14" s="9">
        <v>0.644203</v>
      </c>
      <c r="AW14" s="9">
        <v>0.641304</v>
      </c>
      <c r="AX14" s="9">
        <v>0.606667</v>
      </c>
      <c r="AY14" s="9">
        <v>0.607971</v>
      </c>
      <c r="AZ14" s="9">
        <v>0.634058</v>
      </c>
      <c r="BA14" s="9">
        <v>0.60971</v>
      </c>
      <c r="BB14" s="9">
        <v>0.619565</v>
      </c>
      <c r="BC14" s="9">
        <v>0.63913</v>
      </c>
      <c r="BD14" s="9">
        <v>0.601884055</v>
      </c>
      <c r="BE14" s="9">
        <v>0.605797</v>
      </c>
      <c r="BF14" s="9">
        <v>0.646377</v>
      </c>
      <c r="BG14" s="9">
        <v>0.701014</v>
      </c>
      <c r="BH14" s="9">
        <v>0.700725</v>
      </c>
      <c r="BI14" s="9">
        <v>0.697826</v>
      </c>
      <c r="BJ14" s="9">
        <v>0.691739</v>
      </c>
      <c r="BK14" s="9">
        <v>0.693478</v>
      </c>
      <c r="BL14" s="9">
        <v>0.742029</v>
      </c>
      <c r="BM14" s="9">
        <v>0.733478</v>
      </c>
      <c r="BN14" s="9">
        <v>0.743478</v>
      </c>
      <c r="BO14" s="9">
        <v>0.787681</v>
      </c>
      <c r="BP14" s="9">
        <v>0.77942</v>
      </c>
      <c r="BQ14" s="9">
        <v>0.782609</v>
      </c>
      <c r="BR14" s="9">
        <v>0.797101</v>
      </c>
      <c r="BS14" s="9">
        <v>0.279855</v>
      </c>
      <c r="BT14" s="9">
        <v>0.284058</v>
      </c>
      <c r="BU14" s="9">
        <v>0.281884</v>
      </c>
      <c r="BV14" s="6"/>
      <c r="BW14" s="6" t="str">
        <f t="shared" si="1"/>
        <v>HIVE-COTE v1,0</v>
      </c>
      <c r="BX14" s="6" t="str">
        <f t="shared" si="2"/>
        <v>WEASEL</v>
      </c>
      <c r="BY14" s="6" t="str">
        <f t="shared" si="3"/>
        <v>STC</v>
      </c>
      <c r="BZ14" s="6"/>
      <c r="CA14" s="11" t="str">
        <f t="shared" si="4"/>
        <v>#VALUE!</v>
      </c>
      <c r="CC14" s="6" t="s">
        <v>108</v>
      </c>
      <c r="CD14" s="6"/>
      <c r="CE14" s="6"/>
    </row>
    <row r="15" ht="15.75" customHeight="1">
      <c r="A15" s="1" t="s">
        <v>109</v>
      </c>
      <c r="B15" s="7" t="s">
        <v>211</v>
      </c>
      <c r="C15" s="16">
        <v>0.99047619047619</v>
      </c>
      <c r="D15" s="16">
        <v>0.992857142857143</v>
      </c>
      <c r="E15" s="16">
        <v>1.0</v>
      </c>
      <c r="F15" s="16">
        <v>0.998809523809523</v>
      </c>
      <c r="G15" s="16">
        <v>0.989285714285714</v>
      </c>
      <c r="H15" s="16">
        <v>0.996428571428571</v>
      </c>
      <c r="I15" s="16">
        <v>0.991666666666666</v>
      </c>
      <c r="J15" s="16">
        <v>0.989285714285714</v>
      </c>
      <c r="K15" s="16">
        <v>0.98095238095238</v>
      </c>
      <c r="L15" s="16">
        <v>0.99047619047619</v>
      </c>
      <c r="M15" s="16">
        <v>0.985714285714285</v>
      </c>
      <c r="N15" s="16">
        <v>0.984523809523809</v>
      </c>
      <c r="O15" s="16">
        <v>0.986904761904762</v>
      </c>
      <c r="P15" s="16">
        <v>0.979761904761904</v>
      </c>
      <c r="Q15" s="9">
        <v>0.742857</v>
      </c>
      <c r="R15" s="9">
        <v>0.785714</v>
      </c>
      <c r="S15" s="9">
        <v>0.75</v>
      </c>
      <c r="T15" s="9">
        <v>0.764285707</v>
      </c>
      <c r="U15" s="9">
        <v>0.785714269</v>
      </c>
      <c r="V15" s="9">
        <v>0.464286</v>
      </c>
      <c r="W15" s="9">
        <v>0.828571</v>
      </c>
      <c r="X15" s="9">
        <v>0.821429</v>
      </c>
      <c r="Y15" s="9">
        <v>0.821429</v>
      </c>
      <c r="Z15" s="9">
        <v>0.757142866</v>
      </c>
      <c r="AA15" s="9">
        <v>0.75</v>
      </c>
      <c r="AB15" s="9">
        <v>0.75</v>
      </c>
      <c r="AC15" s="9">
        <v>0.721429</v>
      </c>
      <c r="AD15" s="9">
        <v>0.714286</v>
      </c>
      <c r="AE15" s="9">
        <v>0.714286</v>
      </c>
      <c r="AF15" s="9">
        <v>0.742857134</v>
      </c>
      <c r="AG15" s="9">
        <v>0.75</v>
      </c>
      <c r="AH15" s="9">
        <v>0.75</v>
      </c>
      <c r="AI15" s="9">
        <v>0.985714</v>
      </c>
      <c r="AJ15" s="9">
        <v>1.0</v>
      </c>
      <c r="AK15" s="9">
        <v>0.964286</v>
      </c>
      <c r="AL15" s="9">
        <v>0.985714</v>
      </c>
      <c r="AM15" s="9">
        <v>1.0</v>
      </c>
      <c r="AN15" s="9">
        <v>1.0</v>
      </c>
      <c r="AO15" s="9">
        <v>0.849999988</v>
      </c>
      <c r="AP15" s="9">
        <v>0.857143</v>
      </c>
      <c r="AQ15" s="9">
        <v>0.857143</v>
      </c>
      <c r="AR15" s="9">
        <v>0.864285707</v>
      </c>
      <c r="AS15" s="9">
        <v>0.892857</v>
      </c>
      <c r="AT15" s="9">
        <v>0.857143</v>
      </c>
      <c r="AU15" s="9">
        <v>0.771429</v>
      </c>
      <c r="AV15" s="9">
        <v>0.857143</v>
      </c>
      <c r="AW15" s="9">
        <v>0.857143</v>
      </c>
      <c r="AX15" s="9">
        <v>0.835714</v>
      </c>
      <c r="AY15" s="9">
        <v>0.857143</v>
      </c>
      <c r="AZ15" s="9">
        <v>0.857143</v>
      </c>
      <c r="BA15" s="9">
        <v>0.864286</v>
      </c>
      <c r="BB15" s="9">
        <v>0.892857</v>
      </c>
      <c r="BC15" s="9">
        <v>0.928571</v>
      </c>
      <c r="BD15" s="9">
        <v>0.892857134</v>
      </c>
      <c r="BE15" s="9">
        <v>0.928571</v>
      </c>
      <c r="BF15" s="9">
        <v>0.928571</v>
      </c>
      <c r="BG15" s="9">
        <v>0.935714</v>
      </c>
      <c r="BH15" s="9">
        <v>0.964286</v>
      </c>
      <c r="BI15" s="9">
        <v>0.964286</v>
      </c>
      <c r="BJ15" s="9">
        <v>0.935714</v>
      </c>
      <c r="BK15" s="9">
        <v>0.928571</v>
      </c>
      <c r="BL15" s="9">
        <v>0.964286</v>
      </c>
      <c r="BM15" s="9">
        <v>0.885714</v>
      </c>
      <c r="BN15" s="9">
        <v>0.928571</v>
      </c>
      <c r="BO15" s="9">
        <v>0.928571</v>
      </c>
      <c r="BP15" s="9">
        <v>0.964286</v>
      </c>
      <c r="BQ15" s="9">
        <v>0.964286</v>
      </c>
      <c r="BR15" s="9">
        <v>0.964286</v>
      </c>
      <c r="BS15" s="9">
        <v>0.65</v>
      </c>
      <c r="BT15" s="9">
        <v>0.642857</v>
      </c>
      <c r="BU15" s="9">
        <v>0.928571</v>
      </c>
      <c r="BV15" s="6"/>
      <c r="BW15" s="6" t="str">
        <f t="shared" si="1"/>
        <v>ROCKET</v>
      </c>
      <c r="BX15" s="6" t="str">
        <f t="shared" si="2"/>
        <v>ROCKET</v>
      </c>
      <c r="BY15" s="6" t="str">
        <f t="shared" si="3"/>
        <v>ROCKET</v>
      </c>
      <c r="BZ15" s="6"/>
      <c r="CA15" s="11" t="str">
        <f t="shared" si="4"/>
        <v>#VALUE!</v>
      </c>
      <c r="CC15" s="6"/>
      <c r="CD15" s="6"/>
      <c r="CE15" s="6"/>
    </row>
    <row r="16" ht="15.75" customHeight="1">
      <c r="A16" s="1" t="s">
        <v>110</v>
      </c>
      <c r="B16" s="7" t="s">
        <v>211</v>
      </c>
      <c r="C16" s="16">
        <v>0.753866666666666</v>
      </c>
      <c r="D16" s="16">
        <v>0.811066666666666</v>
      </c>
      <c r="E16" s="16">
        <v>0.842933333333333</v>
      </c>
      <c r="F16" s="16">
        <v>0.865866666666666</v>
      </c>
      <c r="G16" s="16">
        <v>0.799066666666666</v>
      </c>
      <c r="H16" s="16">
        <v>0.860399999999999</v>
      </c>
      <c r="I16" s="16">
        <v>0.714266666666666</v>
      </c>
      <c r="J16" s="16">
        <v>0.778533333333333</v>
      </c>
      <c r="K16" s="16">
        <v>0.82</v>
      </c>
      <c r="L16" s="16">
        <v>0.7788</v>
      </c>
      <c r="M16" s="16">
        <v>0.800533333333333</v>
      </c>
      <c r="N16" s="16">
        <v>0.778933333333333</v>
      </c>
      <c r="O16" s="16">
        <v>0.648799999999999</v>
      </c>
      <c r="P16" s="16">
        <v>0.780266666666666</v>
      </c>
      <c r="Q16" s="9">
        <v>0.8104</v>
      </c>
      <c r="R16" s="9">
        <v>0.812</v>
      </c>
      <c r="S16" s="9">
        <v>0.812</v>
      </c>
      <c r="T16" s="9">
        <v>0.73039999</v>
      </c>
      <c r="U16" s="9">
        <v>0.736000001</v>
      </c>
      <c r="V16" s="9">
        <v>0.5</v>
      </c>
      <c r="W16" s="9">
        <v>0.6848</v>
      </c>
      <c r="X16" s="9">
        <v>0.672</v>
      </c>
      <c r="Y16" s="9">
        <v>0.684</v>
      </c>
      <c r="Z16" s="9">
        <v>0.669599998</v>
      </c>
      <c r="AA16" s="9">
        <v>0.676</v>
      </c>
      <c r="AB16" s="9">
        <v>0.672</v>
      </c>
      <c r="AC16" s="9">
        <v>0.8112</v>
      </c>
      <c r="AD16" s="9">
        <v>0.808</v>
      </c>
      <c r="AE16" s="9">
        <v>0.836</v>
      </c>
      <c r="AF16" s="9">
        <v>0.8176</v>
      </c>
      <c r="AG16" s="9">
        <v>0.816</v>
      </c>
      <c r="AH16" s="9">
        <v>0.824</v>
      </c>
      <c r="AI16" s="9">
        <v>0.7032</v>
      </c>
      <c r="AJ16" s="9">
        <v>0.704</v>
      </c>
      <c r="AK16" s="9">
        <v>0.712</v>
      </c>
      <c r="AL16" s="9">
        <v>0.692</v>
      </c>
      <c r="AM16" s="9">
        <v>0.688</v>
      </c>
      <c r="AN16" s="9">
        <v>0.692</v>
      </c>
      <c r="AO16" s="9">
        <v>0.828000009</v>
      </c>
      <c r="AP16" s="9">
        <v>0.832</v>
      </c>
      <c r="AQ16" s="9">
        <v>0.824</v>
      </c>
      <c r="AR16" s="9">
        <v>0.823199987</v>
      </c>
      <c r="AS16" s="9">
        <v>0.824</v>
      </c>
      <c r="AT16" s="9">
        <v>0.828</v>
      </c>
      <c r="AU16" s="9">
        <v>0.6616</v>
      </c>
      <c r="AV16" s="9">
        <v>0.66</v>
      </c>
      <c r="AW16" s="9">
        <v>0.616</v>
      </c>
      <c r="AX16" s="9">
        <v>0.6584</v>
      </c>
      <c r="AY16" s="9">
        <v>0.656</v>
      </c>
      <c r="AZ16" s="9">
        <v>0.676</v>
      </c>
      <c r="BA16" s="9">
        <v>0.8136</v>
      </c>
      <c r="BB16" s="9">
        <v>0.812</v>
      </c>
      <c r="BC16" s="9">
        <v>0.8</v>
      </c>
      <c r="BD16" s="9">
        <v>0.809600008</v>
      </c>
      <c r="BE16" s="9">
        <v>0.808</v>
      </c>
      <c r="BF16" s="9">
        <v>0.812</v>
      </c>
      <c r="BG16" s="9">
        <v>0.6728</v>
      </c>
      <c r="BH16" s="9">
        <v>0.672</v>
      </c>
      <c r="BI16" s="9">
        <v>0.648</v>
      </c>
      <c r="BJ16" s="9">
        <v>0.6416</v>
      </c>
      <c r="BK16" s="9">
        <v>0.632</v>
      </c>
      <c r="BL16" s="9">
        <v>0.644</v>
      </c>
      <c r="BM16" s="9">
        <v>0.7872</v>
      </c>
      <c r="BN16" s="9">
        <v>0.792</v>
      </c>
      <c r="BO16" s="9">
        <v>0.784</v>
      </c>
      <c r="BP16" s="9">
        <v>0.6688</v>
      </c>
      <c r="BQ16" s="9">
        <v>0.68</v>
      </c>
      <c r="BR16" s="9">
        <v>0.684</v>
      </c>
      <c r="BS16" s="9">
        <v>0.5728</v>
      </c>
      <c r="BT16" s="9">
        <v>0.588</v>
      </c>
      <c r="BU16" s="9">
        <v>0.604</v>
      </c>
      <c r="BV16" s="6"/>
      <c r="BW16" s="6" t="str">
        <f t="shared" si="1"/>
        <v>InceptionTime</v>
      </c>
      <c r="BX16" s="6" t="str">
        <f t="shared" si="2"/>
        <v>ResNet</v>
      </c>
      <c r="BY16" s="6" t="str">
        <f t="shared" si="3"/>
        <v>ROCKET</v>
      </c>
      <c r="BZ16" s="6"/>
      <c r="CA16" s="11" t="str">
        <f t="shared" si="4"/>
        <v>#VALUE!</v>
      </c>
      <c r="CC16" s="6"/>
      <c r="CD16" s="6"/>
      <c r="CE16" s="6"/>
    </row>
    <row r="17" ht="15.75" customHeight="1">
      <c r="A17" s="1" t="s">
        <v>111</v>
      </c>
      <c r="B17" s="7" t="s">
        <v>211</v>
      </c>
      <c r="C17" s="16">
        <v>0.76210119047619</v>
      </c>
      <c r="D17" s="16">
        <v>0.768162698412698</v>
      </c>
      <c r="E17" s="16">
        <v>0.751684523809523</v>
      </c>
      <c r="F17" s="16">
        <v>0.793255952380952</v>
      </c>
      <c r="G17" s="16">
        <v>0.736700396825396</v>
      </c>
      <c r="H17" s="16">
        <v>0.763801587301587</v>
      </c>
      <c r="I17" s="16">
        <v>0.753109126984127</v>
      </c>
      <c r="J17" s="16">
        <v>0.723825396825396</v>
      </c>
      <c r="K17" s="16">
        <v>0.707785714285714</v>
      </c>
      <c r="L17" s="16">
        <v>0.700888888888889</v>
      </c>
      <c r="M17" s="16">
        <v>0.685688492063492</v>
      </c>
      <c r="N17" s="16">
        <v>0.73</v>
      </c>
      <c r="O17" s="16">
        <v>0.745593253968254</v>
      </c>
      <c r="P17" s="16">
        <v>0.653140873015873</v>
      </c>
      <c r="Q17" s="9">
        <v>0.409798</v>
      </c>
      <c r="R17" s="9">
        <v>0.406548</v>
      </c>
      <c r="S17" s="9">
        <v>0.445952</v>
      </c>
      <c r="T17" s="9">
        <v>0.425797617</v>
      </c>
      <c r="U17" s="9">
        <v>0.441726178</v>
      </c>
      <c r="V17" s="9">
        <v>0.041667</v>
      </c>
      <c r="W17" s="9">
        <v>0.401869</v>
      </c>
      <c r="X17" s="9">
        <v>0.399048</v>
      </c>
      <c r="Y17" s="9">
        <v>0.253274</v>
      </c>
      <c r="Z17" s="9">
        <v>0.413392866</v>
      </c>
      <c r="AA17" s="9">
        <v>0.451548</v>
      </c>
      <c r="AB17" s="9">
        <v>0.37631</v>
      </c>
      <c r="AC17" s="9">
        <v>0.454262</v>
      </c>
      <c r="AD17" s="9">
        <v>0.43619</v>
      </c>
      <c r="AE17" s="9">
        <v>0.352976</v>
      </c>
      <c r="AF17" s="9">
        <v>0.490238106</v>
      </c>
      <c r="AG17" s="9">
        <v>0.501071</v>
      </c>
      <c r="AH17" s="9">
        <v>0.471131</v>
      </c>
      <c r="AI17" s="9">
        <v>0.363964</v>
      </c>
      <c r="AJ17" s="9">
        <v>0.35625</v>
      </c>
      <c r="AK17" s="9">
        <v>0.489762</v>
      </c>
      <c r="AL17" s="9">
        <v>0.411381</v>
      </c>
      <c r="AM17" s="9">
        <v>0.4275</v>
      </c>
      <c r="AN17" s="9">
        <v>0.255119</v>
      </c>
      <c r="AO17" s="9">
        <v>0.451357144</v>
      </c>
      <c r="AP17" s="9">
        <v>0.458274</v>
      </c>
      <c r="AQ17" s="9">
        <v>0.475595</v>
      </c>
      <c r="AR17" s="9">
        <v>0.390392855</v>
      </c>
      <c r="AS17" s="9">
        <v>0.431786</v>
      </c>
      <c r="AT17" s="9">
        <v>0.224286</v>
      </c>
      <c r="AU17" s="9">
        <v>0.301881</v>
      </c>
      <c r="AV17" s="9">
        <v>0.236786</v>
      </c>
      <c r="AW17" s="9">
        <v>0.407679</v>
      </c>
      <c r="AX17" s="9">
        <v>0.249524</v>
      </c>
      <c r="AY17" s="9">
        <v>0.207679</v>
      </c>
      <c r="AZ17" s="9">
        <v>0.2325</v>
      </c>
      <c r="BA17" s="9">
        <v>0.483131</v>
      </c>
      <c r="BB17" s="9">
        <v>0.496012</v>
      </c>
      <c r="BC17" s="9">
        <v>0.560119</v>
      </c>
      <c r="BD17" s="9">
        <v>0.489238095</v>
      </c>
      <c r="BE17" s="9">
        <v>0.504881</v>
      </c>
      <c r="BF17" s="9">
        <v>0.472381</v>
      </c>
      <c r="BG17" s="9">
        <v>0.373298</v>
      </c>
      <c r="BH17" s="9">
        <v>0.363512</v>
      </c>
      <c r="BI17" s="9">
        <v>0.593988</v>
      </c>
      <c r="BJ17" s="9">
        <v>0.31631</v>
      </c>
      <c r="BK17" s="9">
        <v>0.317976</v>
      </c>
      <c r="BL17" s="9">
        <v>0.354048</v>
      </c>
      <c r="BM17" s="9">
        <v>0.409679</v>
      </c>
      <c r="BN17" s="9">
        <v>0.425774</v>
      </c>
      <c r="BO17" s="9">
        <v>0.49875</v>
      </c>
      <c r="BP17" s="9">
        <v>0.292607</v>
      </c>
      <c r="BQ17" s="9">
        <v>0.270179</v>
      </c>
      <c r="BR17" s="9">
        <v>0.254405</v>
      </c>
      <c r="BS17" s="9">
        <v>0.643631</v>
      </c>
      <c r="BT17" s="9">
        <v>0.645357</v>
      </c>
      <c r="BU17" s="9">
        <v>0.598333</v>
      </c>
      <c r="BV17" s="6"/>
      <c r="BW17" s="6" t="str">
        <f t="shared" si="1"/>
        <v>InceptionTime</v>
      </c>
      <c r="BX17" s="6" t="str">
        <f t="shared" si="2"/>
        <v>HIVE-COTE v1,0</v>
      </c>
      <c r="BY17" s="6" t="str">
        <f t="shared" si="3"/>
        <v>ResNet</v>
      </c>
      <c r="BZ17" s="6"/>
      <c r="CA17" s="11" t="str">
        <f t="shared" si="4"/>
        <v>#VALUE!</v>
      </c>
      <c r="CC17" s="6"/>
      <c r="CD17" s="6"/>
      <c r="CE17" s="6"/>
    </row>
    <row r="18" ht="15.75" customHeight="1">
      <c r="A18" s="1" t="s">
        <v>112</v>
      </c>
      <c r="B18" s="7" t="s">
        <v>211</v>
      </c>
      <c r="C18" s="16">
        <v>0.945860566448801</v>
      </c>
      <c r="D18" s="16">
        <v>0.914270152505446</v>
      </c>
      <c r="E18" s="16">
        <v>0.957952069716775</v>
      </c>
      <c r="F18" s="16">
        <v>0.950871459694989</v>
      </c>
      <c r="G18" s="16">
        <v>0.859259259259259</v>
      </c>
      <c r="H18" s="16">
        <v>0.306209150326797</v>
      </c>
      <c r="I18" s="16">
        <v>0.956753812636165</v>
      </c>
      <c r="J18" s="16">
        <v>0.908061002178648</v>
      </c>
      <c r="K18" s="16">
        <v>0.945424836601307</v>
      </c>
      <c r="L18" s="16">
        <v>0.88355119825708</v>
      </c>
      <c r="M18" s="16">
        <v>0.945206971677559</v>
      </c>
      <c r="N18" s="16">
        <v>0.932135076252723</v>
      </c>
      <c r="O18" s="16">
        <v>0.941721132897603</v>
      </c>
      <c r="P18" s="16">
        <v>0.924727668845315</v>
      </c>
      <c r="Q18" s="9">
        <v>0.865359</v>
      </c>
      <c r="R18" s="9">
        <v>0.882353</v>
      </c>
      <c r="S18" s="9">
        <v>0.905229</v>
      </c>
      <c r="T18" s="9">
        <v>0.858823514</v>
      </c>
      <c r="U18" s="9">
        <v>0.879084945</v>
      </c>
      <c r="V18" s="9">
        <v>0.300654</v>
      </c>
      <c r="W18" s="9">
        <v>0.859477</v>
      </c>
      <c r="X18" s="9">
        <v>0.885621</v>
      </c>
      <c r="Y18" s="9">
        <v>0.892157</v>
      </c>
      <c r="Z18" s="9">
        <v>0.794117641</v>
      </c>
      <c r="AA18" s="9">
        <v>0.843137</v>
      </c>
      <c r="AB18" s="9">
        <v>0.892157</v>
      </c>
      <c r="AC18" s="9">
        <v>0.881046</v>
      </c>
      <c r="AD18" s="9">
        <v>0.879085</v>
      </c>
      <c r="AE18" s="9">
        <v>0.892157</v>
      </c>
      <c r="AF18" s="9">
        <v>0.774509794</v>
      </c>
      <c r="AG18" s="9">
        <v>0.892157</v>
      </c>
      <c r="AH18" s="9">
        <v>0.905229</v>
      </c>
      <c r="AI18" s="9">
        <v>0.885621</v>
      </c>
      <c r="AJ18" s="9">
        <v>0.892157</v>
      </c>
      <c r="AK18" s="9">
        <v>0.892157</v>
      </c>
      <c r="AL18" s="9">
        <v>0.889542</v>
      </c>
      <c r="AM18" s="9">
        <v>0.892157</v>
      </c>
      <c r="AN18" s="9">
        <v>0.892157</v>
      </c>
      <c r="AO18" s="9">
        <v>0.884313715</v>
      </c>
      <c r="AP18" s="9">
        <v>0.888889</v>
      </c>
      <c r="AQ18" s="9">
        <v>0.875817</v>
      </c>
      <c r="AR18" s="9">
        <v>0.879084969</v>
      </c>
      <c r="AS18" s="9">
        <v>0.882353</v>
      </c>
      <c r="AT18" s="9">
        <v>0.885621</v>
      </c>
      <c r="AU18" s="9">
        <v>0.891503</v>
      </c>
      <c r="AV18" s="9">
        <v>0.888889</v>
      </c>
      <c r="AW18" s="9">
        <v>0.915033</v>
      </c>
      <c r="AX18" s="9">
        <v>0.869935</v>
      </c>
      <c r="AY18" s="9">
        <v>0.892157</v>
      </c>
      <c r="AZ18" s="9">
        <v>0.892157</v>
      </c>
      <c r="BA18" s="9">
        <v>0.890196</v>
      </c>
      <c r="BB18" s="9">
        <v>0.888889</v>
      </c>
      <c r="BC18" s="9">
        <v>0.888889</v>
      </c>
      <c r="BD18" s="9">
        <v>0.871895421</v>
      </c>
      <c r="BE18" s="9">
        <v>0.892157</v>
      </c>
      <c r="BF18" s="9">
        <v>0.901961</v>
      </c>
      <c r="BG18" s="9">
        <v>0.861438</v>
      </c>
      <c r="BH18" s="9">
        <v>0.875817</v>
      </c>
      <c r="BI18" s="9">
        <v>0.888889</v>
      </c>
      <c r="BJ18" s="9">
        <v>0.833987</v>
      </c>
      <c r="BK18" s="9">
        <v>0.888889</v>
      </c>
      <c r="BL18" s="9">
        <v>0.888889</v>
      </c>
      <c r="BM18" s="9">
        <v>0.89281</v>
      </c>
      <c r="BN18" s="9">
        <v>0.892157</v>
      </c>
      <c r="BO18" s="9">
        <v>0.898693</v>
      </c>
      <c r="BP18" s="9">
        <v>0.896078</v>
      </c>
      <c r="BQ18" s="9">
        <v>0.892157</v>
      </c>
      <c r="BR18" s="9">
        <v>0.895425</v>
      </c>
      <c r="BS18" s="9">
        <v>0.296078</v>
      </c>
      <c r="BT18" s="9">
        <v>0.30719</v>
      </c>
      <c r="BU18" s="9">
        <v>0.330065</v>
      </c>
      <c r="BV18" s="6"/>
      <c r="BW18" s="6" t="str">
        <f t="shared" si="1"/>
        <v>ROCKET</v>
      </c>
      <c r="BX18" s="6" t="str">
        <f t="shared" si="2"/>
        <v>ProximityForest</v>
      </c>
      <c r="BY18" s="6" t="str">
        <f t="shared" si="3"/>
        <v>InceptionTime</v>
      </c>
      <c r="BZ18" s="6"/>
      <c r="CA18" s="11" t="str">
        <f t="shared" si="4"/>
        <v>#VALUE!</v>
      </c>
      <c r="CC18" s="6"/>
      <c r="CD18" s="6"/>
      <c r="CE18" s="6"/>
    </row>
    <row r="19" ht="15.75" customHeight="1">
      <c r="A19" s="1" t="s">
        <v>113</v>
      </c>
      <c r="B19" s="7" t="s">
        <v>211</v>
      </c>
      <c r="C19" s="16">
        <v>0.828057553956834</v>
      </c>
      <c r="D19" s="16">
        <v>0.823980815347721</v>
      </c>
      <c r="E19" s="16">
        <v>0.811510791366906</v>
      </c>
      <c r="F19" s="16">
        <v>0.765707434052757</v>
      </c>
      <c r="G19" s="16">
        <v>0.796163069544364</v>
      </c>
      <c r="H19" s="16">
        <v>0.776019184652278</v>
      </c>
      <c r="I19" s="16">
        <v>0.802158273381294</v>
      </c>
      <c r="J19" s="16">
        <v>0.792805755395683</v>
      </c>
      <c r="K19" s="16">
        <v>0.821342925659472</v>
      </c>
      <c r="L19" s="16">
        <v>0.805515587529975</v>
      </c>
      <c r="M19" s="16">
        <v>0.82062350119904</v>
      </c>
      <c r="N19" s="16">
        <v>0.821582733812949</v>
      </c>
      <c r="O19" s="16">
        <v>0.809352517985611</v>
      </c>
      <c r="P19" s="16">
        <v>0.782973621103117</v>
      </c>
      <c r="Q19" s="9">
        <v>0.664748</v>
      </c>
      <c r="R19" s="9">
        <v>0.669065</v>
      </c>
      <c r="S19" s="9">
        <v>0.625899</v>
      </c>
      <c r="T19" s="9">
        <v>0.682014382</v>
      </c>
      <c r="U19" s="9">
        <v>0.676258981</v>
      </c>
      <c r="V19" s="9">
        <v>0.467626</v>
      </c>
      <c r="W19" s="9">
        <v>0.735252</v>
      </c>
      <c r="X19" s="9">
        <v>0.741007</v>
      </c>
      <c r="Y19" s="9">
        <v>0.733813</v>
      </c>
      <c r="Z19" s="9">
        <v>0.710791361</v>
      </c>
      <c r="AA19" s="9">
        <v>0.733813</v>
      </c>
      <c r="AB19" s="9">
        <v>0.654676</v>
      </c>
      <c r="AC19" s="9">
        <v>0.683453</v>
      </c>
      <c r="AD19" s="9">
        <v>0.683453</v>
      </c>
      <c r="AE19" s="9">
        <v>0.640288</v>
      </c>
      <c r="AF19" s="9">
        <v>0.684892106</v>
      </c>
      <c r="AG19" s="9">
        <v>0.683453</v>
      </c>
      <c r="AH19" s="9">
        <v>0.705036</v>
      </c>
      <c r="AI19" s="9">
        <v>0.693525</v>
      </c>
      <c r="AJ19" s="9">
        <v>0.683453</v>
      </c>
      <c r="AK19" s="9">
        <v>0.726619</v>
      </c>
      <c r="AL19" s="9">
        <v>0.689209</v>
      </c>
      <c r="AM19" s="9">
        <v>0.683453</v>
      </c>
      <c r="AN19" s="9">
        <v>0.705036</v>
      </c>
      <c r="AO19" s="9">
        <v>0.69784174</v>
      </c>
      <c r="AP19" s="9">
        <v>0.683453</v>
      </c>
      <c r="AQ19" s="9">
        <v>0.676259</v>
      </c>
      <c r="AR19" s="9">
        <v>0.702158272</v>
      </c>
      <c r="AS19" s="9">
        <v>0.71223</v>
      </c>
      <c r="AT19" s="9">
        <v>0.669065</v>
      </c>
      <c r="AU19" s="9">
        <v>0.706475</v>
      </c>
      <c r="AV19" s="9">
        <v>0.705036</v>
      </c>
      <c r="AW19" s="9">
        <v>0.669065</v>
      </c>
      <c r="AX19" s="9">
        <v>0.697842</v>
      </c>
      <c r="AY19" s="9">
        <v>0.683453</v>
      </c>
      <c r="AZ19" s="9">
        <v>0.719424</v>
      </c>
      <c r="BA19" s="9">
        <v>0.686331</v>
      </c>
      <c r="BB19" s="9">
        <v>0.683453</v>
      </c>
      <c r="BC19" s="9">
        <v>0.690647</v>
      </c>
      <c r="BD19" s="9">
        <v>0.700719428</v>
      </c>
      <c r="BE19" s="9">
        <v>0.697842</v>
      </c>
      <c r="BF19" s="9">
        <v>0.66187</v>
      </c>
      <c r="BG19" s="9">
        <v>0.67482</v>
      </c>
      <c r="BH19" s="9">
        <v>0.683453</v>
      </c>
      <c r="BI19" s="9">
        <v>0.733813</v>
      </c>
      <c r="BJ19" s="9">
        <v>0.67482</v>
      </c>
      <c r="BK19" s="9">
        <v>0.683453</v>
      </c>
      <c r="BL19" s="9">
        <v>0.748201</v>
      </c>
      <c r="BM19" s="9">
        <v>0.664748</v>
      </c>
      <c r="BN19" s="9">
        <v>0.669065</v>
      </c>
      <c r="BO19" s="9">
        <v>0.71223</v>
      </c>
      <c r="BP19" s="9">
        <v>0.690647</v>
      </c>
      <c r="BQ19" s="9">
        <v>0.683453</v>
      </c>
      <c r="BR19" s="9">
        <v>0.654676</v>
      </c>
      <c r="BS19" s="9">
        <v>0.697842</v>
      </c>
      <c r="BT19" s="9">
        <v>0.683453</v>
      </c>
      <c r="BU19" s="9">
        <v>0.719424</v>
      </c>
      <c r="BV19" s="6"/>
      <c r="BW19" s="6" t="str">
        <f t="shared" si="1"/>
        <v>TS-CHIEF</v>
      </c>
      <c r="BX19" s="6" t="str">
        <f t="shared" si="2"/>
        <v>HIVE-COTE v1,0</v>
      </c>
      <c r="BY19" s="6" t="str">
        <f t="shared" si="3"/>
        <v>RISE</v>
      </c>
      <c r="BZ19" s="6"/>
      <c r="CA19" s="11" t="str">
        <f t="shared" si="4"/>
        <v>#VALUE!</v>
      </c>
      <c r="CC19" s="6"/>
      <c r="CD19" s="6"/>
      <c r="CE19" s="6"/>
    </row>
    <row r="20" ht="15.75" customHeight="1">
      <c r="A20" s="1" t="s">
        <v>114</v>
      </c>
      <c r="B20" s="7" t="s">
        <v>211</v>
      </c>
      <c r="C20" s="16">
        <v>0.819323671497584</v>
      </c>
      <c r="D20" s="16">
        <v>0.823550724637681</v>
      </c>
      <c r="E20" s="16">
        <v>0.8243961352657</v>
      </c>
      <c r="F20" s="16">
        <v>0.815338164251207</v>
      </c>
      <c r="G20" s="16">
        <v>0.827294685990338</v>
      </c>
      <c r="H20" s="16">
        <v>0.809178743961352</v>
      </c>
      <c r="I20" s="16">
        <v>0.823429951690821</v>
      </c>
      <c r="J20" s="16">
        <v>0.819202898550724</v>
      </c>
      <c r="K20" s="16">
        <v>0.810990338164251</v>
      </c>
      <c r="L20" s="16">
        <v>0.780193236714975</v>
      </c>
      <c r="M20" s="16">
        <v>0.81171497584541</v>
      </c>
      <c r="N20" s="16">
        <v>0.811231884057971</v>
      </c>
      <c r="O20" s="16">
        <v>0.805797101449275</v>
      </c>
      <c r="P20" s="16">
        <v>0.81207729468599</v>
      </c>
      <c r="Q20" s="9">
        <v>0.726087</v>
      </c>
      <c r="R20" s="9">
        <v>0.728261</v>
      </c>
      <c r="S20" s="9">
        <v>0.724638</v>
      </c>
      <c r="T20" s="9">
        <v>0.7268116</v>
      </c>
      <c r="U20" s="9">
        <v>0.728260875</v>
      </c>
      <c r="V20" s="9">
        <v>0.583333</v>
      </c>
      <c r="W20" s="9">
        <v>0.747826</v>
      </c>
      <c r="X20" s="9">
        <v>0.75</v>
      </c>
      <c r="Y20" s="9">
        <v>0.768116</v>
      </c>
      <c r="Z20" s="9">
        <v>0.754347825</v>
      </c>
      <c r="AA20" s="9">
        <v>0.75</v>
      </c>
      <c r="AB20" s="9">
        <v>0.764493</v>
      </c>
      <c r="AC20" s="9">
        <v>0.734058</v>
      </c>
      <c r="AD20" s="9">
        <v>0.735507</v>
      </c>
      <c r="AE20" s="9">
        <v>0.713768</v>
      </c>
      <c r="AF20" s="9">
        <v>0.7326087</v>
      </c>
      <c r="AG20" s="9">
        <v>0.728261</v>
      </c>
      <c r="AH20" s="9">
        <v>0.695652</v>
      </c>
      <c r="AI20" s="9">
        <v>0.755072</v>
      </c>
      <c r="AJ20" s="9">
        <v>0.757246</v>
      </c>
      <c r="AK20" s="9">
        <v>0.76087</v>
      </c>
      <c r="AL20" s="9">
        <v>0.75942</v>
      </c>
      <c r="AM20" s="9">
        <v>0.757246</v>
      </c>
      <c r="AN20" s="9">
        <v>0.757246</v>
      </c>
      <c r="AO20" s="9">
        <v>0.744927537</v>
      </c>
      <c r="AP20" s="9">
        <v>0.742754</v>
      </c>
      <c r="AQ20" s="9">
        <v>0.75</v>
      </c>
      <c r="AR20" s="9">
        <v>0.747826087</v>
      </c>
      <c r="AS20" s="9">
        <v>0.75</v>
      </c>
      <c r="AT20" s="9">
        <v>0.742754</v>
      </c>
      <c r="AU20" s="9">
        <v>0.736957</v>
      </c>
      <c r="AV20" s="9">
        <v>0.735507</v>
      </c>
      <c r="AW20" s="9">
        <v>0.75</v>
      </c>
      <c r="AX20" s="9">
        <v>0.728986</v>
      </c>
      <c r="AY20" s="9">
        <v>0.724638</v>
      </c>
      <c r="AZ20" s="9">
        <v>0.75</v>
      </c>
      <c r="BA20" s="9">
        <v>0.757246</v>
      </c>
      <c r="BB20" s="9">
        <v>0.764493</v>
      </c>
      <c r="BC20" s="9">
        <v>0.764493</v>
      </c>
      <c r="BD20" s="9">
        <v>0.760869563</v>
      </c>
      <c r="BE20" s="9">
        <v>0.757246</v>
      </c>
      <c r="BF20" s="9">
        <v>0.753623</v>
      </c>
      <c r="BG20" s="9">
        <v>0.765217</v>
      </c>
      <c r="BH20" s="9">
        <v>0.764493</v>
      </c>
      <c r="BI20" s="9">
        <v>0.771739</v>
      </c>
      <c r="BJ20" s="9">
        <v>0.762319</v>
      </c>
      <c r="BK20" s="9">
        <v>0.764493</v>
      </c>
      <c r="BL20" s="9">
        <v>0.753623</v>
      </c>
      <c r="BM20" s="9">
        <v>0.751449</v>
      </c>
      <c r="BN20" s="9">
        <v>0.753623</v>
      </c>
      <c r="BO20" s="9">
        <v>0.753623</v>
      </c>
      <c r="BP20" s="9">
        <v>0.752174</v>
      </c>
      <c r="BQ20" s="9">
        <v>0.757246</v>
      </c>
      <c r="BR20" s="9">
        <v>0.735507</v>
      </c>
      <c r="BS20" s="9">
        <v>0.742754</v>
      </c>
      <c r="BT20" s="9">
        <v>0.73913</v>
      </c>
      <c r="BU20" s="9">
        <v>0.75</v>
      </c>
      <c r="BV20" s="6"/>
      <c r="BW20" s="6" t="str">
        <f t="shared" si="1"/>
        <v>STC</v>
      </c>
      <c r="BX20" s="6" t="str">
        <f t="shared" si="2"/>
        <v>ROCKET</v>
      </c>
      <c r="BY20" s="6" t="str">
        <f t="shared" si="3"/>
        <v>HIVE-COTE v1,0</v>
      </c>
      <c r="BZ20" s="6"/>
      <c r="CA20" s="11" t="str">
        <f t="shared" si="4"/>
        <v>#VALUE!</v>
      </c>
      <c r="CC20" s="6"/>
      <c r="CD20" s="6"/>
      <c r="CE20" s="6"/>
    </row>
    <row r="21" ht="15.75" customHeight="1">
      <c r="A21" s="1" t="s">
        <v>115</v>
      </c>
      <c r="B21" s="7" t="s">
        <v>211</v>
      </c>
      <c r="C21" s="16">
        <v>0.691846522781774</v>
      </c>
      <c r="D21" s="16">
        <v>0.696163069544364</v>
      </c>
      <c r="E21" s="16">
        <v>0.701199040767386</v>
      </c>
      <c r="F21" s="16">
        <v>0.66546762589928</v>
      </c>
      <c r="G21" s="16">
        <v>0.689928057553956</v>
      </c>
      <c r="H21" s="16">
        <v>0.66714628297362</v>
      </c>
      <c r="I21" s="16">
        <v>0.692086330935251</v>
      </c>
      <c r="J21" s="16">
        <v>0.678657074340527</v>
      </c>
      <c r="K21" s="16">
        <v>0.669544364508393</v>
      </c>
      <c r="L21" s="16">
        <v>0.673141486810551</v>
      </c>
      <c r="M21" s="16">
        <v>0.671462829736211</v>
      </c>
      <c r="N21" s="16">
        <v>0.694484412470023</v>
      </c>
      <c r="O21" s="16">
        <v>0.691127098321342</v>
      </c>
      <c r="P21" s="16">
        <v>0.681055155875299</v>
      </c>
      <c r="Q21" s="9">
        <v>0.594245</v>
      </c>
      <c r="R21" s="9">
        <v>0.597122</v>
      </c>
      <c r="S21" s="9">
        <v>0.582734</v>
      </c>
      <c r="T21" s="9">
        <v>0.597122312</v>
      </c>
      <c r="U21" s="9">
        <v>0.597122312</v>
      </c>
      <c r="V21" s="9">
        <v>0.302158</v>
      </c>
      <c r="W21" s="9">
        <v>0.666187</v>
      </c>
      <c r="X21" s="9">
        <v>0.669065</v>
      </c>
      <c r="Y21" s="9">
        <v>0.669065</v>
      </c>
      <c r="Z21" s="9">
        <v>0.641726613</v>
      </c>
      <c r="AA21" s="9">
        <v>0.654676</v>
      </c>
      <c r="AB21" s="9">
        <v>0.676259</v>
      </c>
      <c r="AC21" s="9">
        <v>0.61295</v>
      </c>
      <c r="AD21" s="9">
        <v>0.589928</v>
      </c>
      <c r="AE21" s="9">
        <v>0.640288</v>
      </c>
      <c r="AF21" s="9">
        <v>0.61438849</v>
      </c>
      <c r="AG21" s="9">
        <v>0.611511</v>
      </c>
      <c r="AH21" s="9">
        <v>0.597122</v>
      </c>
      <c r="AI21" s="9">
        <v>0.653237</v>
      </c>
      <c r="AJ21" s="9">
        <v>0.66187</v>
      </c>
      <c r="AK21" s="9">
        <v>0.669065</v>
      </c>
      <c r="AL21" s="9">
        <v>0.656115</v>
      </c>
      <c r="AM21" s="9">
        <v>0.669065</v>
      </c>
      <c r="AN21" s="9">
        <v>0.669065</v>
      </c>
      <c r="AO21" s="9">
        <v>0.607194245</v>
      </c>
      <c r="AP21" s="9">
        <v>0.582734</v>
      </c>
      <c r="AQ21" s="9">
        <v>0.654676</v>
      </c>
      <c r="AR21" s="9">
        <v>0.615827334</v>
      </c>
      <c r="AS21" s="9">
        <v>0.604317</v>
      </c>
      <c r="AT21" s="9">
        <v>0.633094</v>
      </c>
      <c r="AU21" s="9">
        <v>0.614389</v>
      </c>
      <c r="AV21" s="9">
        <v>0.633094</v>
      </c>
      <c r="AW21" s="9">
        <v>0.654676</v>
      </c>
      <c r="AX21" s="9">
        <v>0.647482</v>
      </c>
      <c r="AY21" s="9">
        <v>0.647482</v>
      </c>
      <c r="AZ21" s="9">
        <v>0.582734</v>
      </c>
      <c r="BA21" s="9">
        <v>0.620144</v>
      </c>
      <c r="BB21" s="9">
        <v>0.625899</v>
      </c>
      <c r="BC21" s="9">
        <v>0.690647</v>
      </c>
      <c r="BD21" s="9">
        <v>0.618705034</v>
      </c>
      <c r="BE21" s="9">
        <v>0.582734</v>
      </c>
      <c r="BF21" s="9">
        <v>0.654676</v>
      </c>
      <c r="BG21" s="9">
        <v>0.65036</v>
      </c>
      <c r="BH21" s="9">
        <v>0.654676</v>
      </c>
      <c r="BI21" s="9">
        <v>0.676259</v>
      </c>
      <c r="BJ21" s="9">
        <v>0.634532</v>
      </c>
      <c r="BK21" s="9">
        <v>0.654676</v>
      </c>
      <c r="BL21" s="9">
        <v>0.654676</v>
      </c>
      <c r="BM21" s="9">
        <v>0.62446</v>
      </c>
      <c r="BN21" s="9">
        <v>0.633094</v>
      </c>
      <c r="BO21" s="9">
        <v>0.625899</v>
      </c>
      <c r="BP21" s="9">
        <v>0.638849</v>
      </c>
      <c r="BQ21" s="9">
        <v>0.654676</v>
      </c>
      <c r="BR21" s="9">
        <v>0.625899</v>
      </c>
      <c r="BS21" s="9">
        <v>0.686331</v>
      </c>
      <c r="BT21" s="9">
        <v>0.690647</v>
      </c>
      <c r="BU21" s="9">
        <v>0.690647</v>
      </c>
      <c r="BV21" s="6"/>
      <c r="BW21" s="6" t="str">
        <f t="shared" si="1"/>
        <v>ROCKET</v>
      </c>
      <c r="BX21" s="6" t="str">
        <f t="shared" si="2"/>
        <v>HIVE-COTE v1,0</v>
      </c>
      <c r="BY21" s="6" t="str">
        <f t="shared" si="3"/>
        <v>RISE</v>
      </c>
      <c r="BZ21" s="6"/>
      <c r="CA21" s="11" t="str">
        <f t="shared" si="4"/>
        <v>#VALUE!</v>
      </c>
      <c r="CC21" s="6"/>
      <c r="CD21" s="6"/>
      <c r="CE21" s="6"/>
    </row>
    <row r="22" ht="15.75" customHeight="1">
      <c r="A22" s="1" t="s">
        <v>116</v>
      </c>
      <c r="B22" s="7" t="s">
        <v>211</v>
      </c>
      <c r="C22" s="16">
        <v>0.74820143884892</v>
      </c>
      <c r="D22" s="16">
        <v>0.747482014388489</v>
      </c>
      <c r="E22" s="16">
        <v>0.748441247002398</v>
      </c>
      <c r="F22" s="16">
        <v>0.731175059952038</v>
      </c>
      <c r="G22" s="16">
        <v>0.741966426858513</v>
      </c>
      <c r="H22" s="16">
        <v>0.717026378896882</v>
      </c>
      <c r="I22" s="16">
        <v>0.749640287769784</v>
      </c>
      <c r="J22" s="16">
        <v>0.747482014388489</v>
      </c>
      <c r="K22" s="16">
        <v>0.747482014388489</v>
      </c>
      <c r="L22" s="16">
        <v>0.747482014388489</v>
      </c>
      <c r="M22" s="16">
        <v>0.746043165467625</v>
      </c>
      <c r="N22" s="16">
        <v>0.74820143884892</v>
      </c>
      <c r="O22" s="16">
        <v>0.747482014388489</v>
      </c>
      <c r="P22" s="16">
        <v>0.738848920863309</v>
      </c>
      <c r="Q22" s="9">
        <v>0.748201</v>
      </c>
      <c r="R22" s="9">
        <v>0.748201</v>
      </c>
      <c r="S22" s="9">
        <v>0.741007</v>
      </c>
      <c r="T22" s="9">
        <v>0.74820143</v>
      </c>
      <c r="U22" s="9">
        <v>0.74820143</v>
      </c>
      <c r="V22" s="9">
        <v>0.748201</v>
      </c>
      <c r="W22" s="9">
        <v>0.748201</v>
      </c>
      <c r="X22" s="9">
        <v>0.748201</v>
      </c>
      <c r="Y22" s="9">
        <v>0.748201</v>
      </c>
      <c r="Z22" s="9">
        <v>0.74820143</v>
      </c>
      <c r="AA22" s="9">
        <v>0.748201</v>
      </c>
      <c r="AB22" s="9">
        <v>0.748201</v>
      </c>
      <c r="AC22" s="9">
        <v>0.748201</v>
      </c>
      <c r="AD22" s="9">
        <v>0.748201</v>
      </c>
      <c r="AE22" s="9">
        <v>0.748201</v>
      </c>
      <c r="AF22" s="9">
        <v>0.74820143</v>
      </c>
      <c r="AG22" s="9">
        <v>0.748201</v>
      </c>
      <c r="AH22" s="9">
        <v>0.748201</v>
      </c>
      <c r="AI22" s="9">
        <v>0.748201</v>
      </c>
      <c r="AJ22" s="9">
        <v>0.748201</v>
      </c>
      <c r="AK22" s="9">
        <v>0.748201</v>
      </c>
      <c r="AL22" s="9">
        <v>0.748201</v>
      </c>
      <c r="AM22" s="9">
        <v>0.748201</v>
      </c>
      <c r="AN22" s="9">
        <v>0.748201</v>
      </c>
      <c r="AO22" s="9">
        <v>0.74820143</v>
      </c>
      <c r="AP22" s="9">
        <v>0.748201</v>
      </c>
      <c r="AQ22" s="9">
        <v>0.741007</v>
      </c>
      <c r="AR22" s="9">
        <v>0.74820143</v>
      </c>
      <c r="AS22" s="9">
        <v>0.748201</v>
      </c>
      <c r="AT22" s="9">
        <v>0.748201</v>
      </c>
      <c r="AU22" s="9">
        <v>0.748201</v>
      </c>
      <c r="AV22" s="9">
        <v>0.748201</v>
      </c>
      <c r="AW22" s="9">
        <v>0.748201</v>
      </c>
      <c r="AX22" s="9">
        <v>0.748201</v>
      </c>
      <c r="AY22" s="9">
        <v>0.748201</v>
      </c>
      <c r="AZ22" s="9">
        <v>0.748201</v>
      </c>
      <c r="BA22" s="9">
        <v>0.748201</v>
      </c>
      <c r="BB22" s="9">
        <v>0.748201</v>
      </c>
      <c r="BC22" s="9">
        <v>0.705036</v>
      </c>
      <c r="BD22" s="9">
        <v>0.74820143</v>
      </c>
      <c r="BE22" s="9">
        <v>0.748201</v>
      </c>
      <c r="BF22" s="9">
        <v>0.748201</v>
      </c>
      <c r="BG22" s="9">
        <v>0.748201</v>
      </c>
      <c r="BH22" s="9">
        <v>0.748201</v>
      </c>
      <c r="BI22" s="9">
        <v>0.748201</v>
      </c>
      <c r="BJ22" s="9">
        <v>0.748201</v>
      </c>
      <c r="BK22" s="9">
        <v>0.748201</v>
      </c>
      <c r="BL22" s="9">
        <v>0.748201</v>
      </c>
      <c r="BM22" s="9">
        <v>0.748201</v>
      </c>
      <c r="BN22" s="9">
        <v>0.748201</v>
      </c>
      <c r="BO22" s="9">
        <v>0.748201</v>
      </c>
      <c r="BP22" s="9">
        <v>0.748201</v>
      </c>
      <c r="BQ22" s="9">
        <v>0.748201</v>
      </c>
      <c r="BR22" s="9">
        <v>0.748201</v>
      </c>
      <c r="BS22" s="9">
        <v>0.748201</v>
      </c>
      <c r="BT22" s="9">
        <v>0.748201</v>
      </c>
      <c r="BU22" s="9">
        <v>0.66187</v>
      </c>
      <c r="BV22" s="6"/>
      <c r="BW22" s="6" t="str">
        <f t="shared" si="1"/>
        <v>ProximityForest</v>
      </c>
      <c r="BX22" s="6" t="str">
        <f t="shared" si="2"/>
        <v>ROCKET</v>
      </c>
      <c r="BY22" s="6" t="str">
        <f t="shared" si="3"/>
        <v>TS-CHIEF</v>
      </c>
      <c r="BZ22" s="6"/>
      <c r="CA22" s="11" t="str">
        <f t="shared" si="4"/>
        <v>#VALUE!</v>
      </c>
      <c r="CC22" s="6"/>
      <c r="CD22" s="6"/>
      <c r="CE22" s="6"/>
    </row>
    <row r="23" ht="15.75" customHeight="1">
      <c r="A23" s="1" t="s">
        <v>117</v>
      </c>
      <c r="B23" s="7" t="s">
        <v>211</v>
      </c>
      <c r="C23" s="16">
        <v>0.854999999999999</v>
      </c>
      <c r="D23" s="16">
        <v>0.858666666666666</v>
      </c>
      <c r="E23" s="16">
        <v>0.899</v>
      </c>
      <c r="F23" s="16">
        <v>0.896666666666666</v>
      </c>
      <c r="G23" s="16">
        <v>0.839</v>
      </c>
      <c r="H23" s="16">
        <v>0.883666666666666</v>
      </c>
      <c r="I23" s="16">
        <v>0.873</v>
      </c>
      <c r="J23" s="16">
        <v>0.858999999999999</v>
      </c>
      <c r="K23" s="16">
        <v>0.871666666666666</v>
      </c>
      <c r="L23" s="16">
        <v>0.829666666666666</v>
      </c>
      <c r="M23" s="16">
        <v>0.878333333333333</v>
      </c>
      <c r="N23" s="16">
        <v>0.850999999999999</v>
      </c>
      <c r="O23" s="16">
        <v>0.86</v>
      </c>
      <c r="P23" s="16">
        <v>0.788666666666667</v>
      </c>
      <c r="Q23" s="9">
        <v>0.64</v>
      </c>
      <c r="R23" s="9">
        <v>0.64</v>
      </c>
      <c r="S23" s="9">
        <v>0.64</v>
      </c>
      <c r="T23" s="9">
        <v>0.639999986</v>
      </c>
      <c r="U23" s="9">
        <v>0.639999986</v>
      </c>
      <c r="V23" s="9">
        <v>0.64</v>
      </c>
      <c r="W23" s="9">
        <v>0.64</v>
      </c>
      <c r="X23" s="9">
        <v>0.64</v>
      </c>
      <c r="Y23" s="9">
        <v>0.64</v>
      </c>
      <c r="Z23" s="9">
        <v>0.639999986</v>
      </c>
      <c r="AA23" s="9">
        <v>0.64</v>
      </c>
      <c r="AB23" s="9">
        <v>0.64</v>
      </c>
      <c r="AC23" s="9">
        <v>0.64</v>
      </c>
      <c r="AD23" s="9">
        <v>0.64</v>
      </c>
      <c r="AE23" s="9">
        <v>0.64</v>
      </c>
      <c r="AF23" s="9">
        <v>0.639999986</v>
      </c>
      <c r="AG23" s="9">
        <v>0.64</v>
      </c>
      <c r="AH23" s="9">
        <v>0.64</v>
      </c>
      <c r="AI23" s="9">
        <v>0.64</v>
      </c>
      <c r="AJ23" s="9">
        <v>0.64</v>
      </c>
      <c r="AK23" s="9">
        <v>0.64</v>
      </c>
      <c r="AL23" s="9">
        <v>0.64</v>
      </c>
      <c r="AM23" s="9">
        <v>0.64</v>
      </c>
      <c r="AN23" s="9">
        <v>0.64</v>
      </c>
      <c r="AO23" s="9">
        <v>0.639999986</v>
      </c>
      <c r="AP23" s="9">
        <v>0.64</v>
      </c>
      <c r="AQ23" s="9">
        <v>0.64</v>
      </c>
      <c r="AR23" s="9">
        <v>0.639999986</v>
      </c>
      <c r="AS23" s="9">
        <v>0.64</v>
      </c>
      <c r="AT23" s="9">
        <v>0.64</v>
      </c>
      <c r="AU23" s="9">
        <v>0.64</v>
      </c>
      <c r="AV23" s="9">
        <v>0.64</v>
      </c>
      <c r="AW23" s="9">
        <v>0.64</v>
      </c>
      <c r="AX23" s="9">
        <v>0.64</v>
      </c>
      <c r="AY23" s="9">
        <v>0.64</v>
      </c>
      <c r="AZ23" s="9">
        <v>0.64</v>
      </c>
      <c r="BA23" s="9">
        <v>0.64</v>
      </c>
      <c r="BB23" s="9">
        <v>0.64</v>
      </c>
      <c r="BC23" s="9">
        <v>0.64</v>
      </c>
      <c r="BD23" s="9">
        <v>0.639999986</v>
      </c>
      <c r="BE23" s="9">
        <v>0.64</v>
      </c>
      <c r="BF23" s="9">
        <v>0.64</v>
      </c>
      <c r="BG23" s="9">
        <v>0.64</v>
      </c>
      <c r="BH23" s="9">
        <v>0.64</v>
      </c>
      <c r="BI23" s="9">
        <v>0.64</v>
      </c>
      <c r="BJ23" s="9">
        <v>0.64</v>
      </c>
      <c r="BK23" s="9">
        <v>0.64</v>
      </c>
      <c r="BL23" s="9">
        <v>0.64</v>
      </c>
      <c r="BM23" s="9">
        <v>0.64</v>
      </c>
      <c r="BN23" s="9">
        <v>0.64</v>
      </c>
      <c r="BO23" s="9">
        <v>0.64</v>
      </c>
      <c r="BP23" s="9">
        <v>0.64</v>
      </c>
      <c r="BQ23" s="9">
        <v>0.64</v>
      </c>
      <c r="BR23" s="9">
        <v>0.64</v>
      </c>
      <c r="BS23" s="9">
        <v>0.64</v>
      </c>
      <c r="BT23" s="9">
        <v>0.64</v>
      </c>
      <c r="BU23" s="9">
        <v>0.64</v>
      </c>
      <c r="BV23" s="6"/>
      <c r="BW23" s="6" t="str">
        <f t="shared" si="1"/>
        <v>ROCKET</v>
      </c>
      <c r="BX23" s="6" t="str">
        <f t="shared" si="2"/>
        <v>InceptionTime</v>
      </c>
      <c r="BY23" s="6" t="str">
        <f t="shared" si="3"/>
        <v>ResNet</v>
      </c>
      <c r="BZ23" s="6"/>
      <c r="CA23" s="11" t="str">
        <f t="shared" si="4"/>
        <v>#VALUE!</v>
      </c>
      <c r="CC23" s="6"/>
      <c r="CD23" s="6"/>
      <c r="CE23" s="6"/>
    </row>
    <row r="24" ht="15.75" customHeight="1">
      <c r="A24" s="1" t="s">
        <v>118</v>
      </c>
      <c r="B24" s="7" t="s">
        <v>211</v>
      </c>
      <c r="C24" s="16">
        <v>0.948459259259259</v>
      </c>
      <c r="D24" s="16">
        <v>0.945622222222222</v>
      </c>
      <c r="E24" s="16">
        <v>0.947385185185185</v>
      </c>
      <c r="F24" s="16">
        <v>0.942118518518518</v>
      </c>
      <c r="G24" s="16">
        <v>0.941777777777777</v>
      </c>
      <c r="H24" s="16">
        <v>0.937022222222222</v>
      </c>
      <c r="I24" s="16">
        <v>0.939511111111111</v>
      </c>
      <c r="J24" s="16">
        <v>0.945881481481481</v>
      </c>
      <c r="K24" s="16">
        <v>0.940696296296296</v>
      </c>
      <c r="L24" s="16">
        <v>0.943214814814814</v>
      </c>
      <c r="M24" s="16">
        <v>0.940059259259259</v>
      </c>
      <c r="N24" s="16">
        <v>0.936688888888889</v>
      </c>
      <c r="O24" s="16">
        <v>0.943377777777777</v>
      </c>
      <c r="P24" s="16">
        <v>0.936237037037037</v>
      </c>
      <c r="Q24" s="9">
        <v>0.911467</v>
      </c>
      <c r="R24" s="9">
        <v>0.913333</v>
      </c>
      <c r="S24" s="9">
        <v>0.922444</v>
      </c>
      <c r="T24" s="9">
        <v>0.913199985</v>
      </c>
      <c r="U24" s="9">
        <v>0.914444447</v>
      </c>
      <c r="V24" s="9">
        <v>0.583778</v>
      </c>
      <c r="W24" s="9">
        <v>0.916356</v>
      </c>
      <c r="X24" s="9">
        <v>0.917556</v>
      </c>
      <c r="Y24" s="9">
        <v>0.918444</v>
      </c>
      <c r="Z24" s="9">
        <v>0.912177777</v>
      </c>
      <c r="AA24" s="9">
        <v>0.915111</v>
      </c>
      <c r="AB24" s="9">
        <v>0.919556</v>
      </c>
      <c r="AC24" s="9">
        <v>0.9136</v>
      </c>
      <c r="AD24" s="9">
        <v>0.915111</v>
      </c>
      <c r="AE24" s="9">
        <v>0.922</v>
      </c>
      <c r="AF24" s="9">
        <v>0.913866675</v>
      </c>
      <c r="AG24" s="9">
        <v>0.914889</v>
      </c>
      <c r="AH24" s="9">
        <v>0.922</v>
      </c>
      <c r="AI24" s="9">
        <v>0.920044</v>
      </c>
      <c r="AJ24" s="9">
        <v>0.921333</v>
      </c>
      <c r="AK24" s="9">
        <v>0.921778</v>
      </c>
      <c r="AL24" s="9">
        <v>0.920089</v>
      </c>
      <c r="AM24" s="9">
        <v>0.920222</v>
      </c>
      <c r="AN24" s="9">
        <v>0.925778</v>
      </c>
      <c r="AO24" s="9">
        <v>0.916044438</v>
      </c>
      <c r="AP24" s="9">
        <v>0.916222</v>
      </c>
      <c r="AQ24" s="9">
        <v>0.928444</v>
      </c>
      <c r="AR24" s="9">
        <v>0.916266656</v>
      </c>
      <c r="AS24" s="9">
        <v>0.916222</v>
      </c>
      <c r="AT24" s="9">
        <v>0.924889</v>
      </c>
      <c r="AU24" s="9">
        <v>0.920489</v>
      </c>
      <c r="AV24" s="9">
        <v>0.920444</v>
      </c>
      <c r="AW24" s="9">
        <v>0.924</v>
      </c>
      <c r="AX24" s="9">
        <v>0.920844</v>
      </c>
      <c r="AY24" s="9">
        <v>0.920889</v>
      </c>
      <c r="AZ24" s="9">
        <v>0.924222</v>
      </c>
      <c r="BA24" s="9">
        <v>0.917733</v>
      </c>
      <c r="BB24" s="9">
        <v>0.916667</v>
      </c>
      <c r="BC24" s="9">
        <v>0.928222</v>
      </c>
      <c r="BD24" s="9">
        <v>0.915911126</v>
      </c>
      <c r="BE24" s="9">
        <v>0.916</v>
      </c>
      <c r="BF24" s="9">
        <v>0.925333</v>
      </c>
      <c r="BG24" s="9">
        <v>0.920978</v>
      </c>
      <c r="BH24" s="9">
        <v>0.920667</v>
      </c>
      <c r="BI24" s="9">
        <v>0.924667</v>
      </c>
      <c r="BJ24" s="9">
        <v>0.920222</v>
      </c>
      <c r="BK24" s="9">
        <v>0.920444</v>
      </c>
      <c r="BL24" s="9">
        <v>0.931111</v>
      </c>
      <c r="BM24" s="9">
        <v>0.913778</v>
      </c>
      <c r="BN24" s="9">
        <v>0.914222</v>
      </c>
      <c r="BO24" s="9">
        <v>0.921556</v>
      </c>
      <c r="BP24" s="9">
        <v>0.919778</v>
      </c>
      <c r="BQ24" s="9">
        <v>0.920444</v>
      </c>
      <c r="BR24" s="9">
        <v>0.926667</v>
      </c>
      <c r="BS24" s="9">
        <v>0.924756</v>
      </c>
      <c r="BT24" s="9">
        <v>0.924889</v>
      </c>
      <c r="BU24" s="9">
        <v>0.926444</v>
      </c>
      <c r="BV24" s="6"/>
      <c r="BW24" s="6" t="str">
        <f t="shared" si="1"/>
        <v>TS-CHIEF</v>
      </c>
      <c r="BX24" s="6" t="str">
        <f t="shared" si="2"/>
        <v>ROCKET</v>
      </c>
      <c r="BY24" s="6" t="str">
        <f t="shared" si="3"/>
        <v>WEASEL</v>
      </c>
      <c r="BZ24" s="6"/>
      <c r="CA24" s="11" t="str">
        <f t="shared" si="4"/>
        <v>#VALUE!</v>
      </c>
      <c r="CC24" s="6"/>
      <c r="CD24" s="6"/>
      <c r="CE24" s="6"/>
    </row>
    <row r="25" ht="15.75" customHeight="1">
      <c r="A25" s="1" t="s">
        <v>119</v>
      </c>
      <c r="B25" s="7" t="s">
        <v>211</v>
      </c>
      <c r="C25" s="16">
        <v>0.994425087108014</v>
      </c>
      <c r="D25" s="16">
        <v>0.993766937669376</v>
      </c>
      <c r="E25" s="16">
        <v>0.995973674022454</v>
      </c>
      <c r="F25" s="16">
        <v>0.995857530003871</v>
      </c>
      <c r="G25" s="16">
        <v>0.97789392179636</v>
      </c>
      <c r="H25" s="16">
        <v>0.951025938830816</v>
      </c>
      <c r="I25" s="16">
        <v>0.882810685249709</v>
      </c>
      <c r="J25" s="16">
        <v>0.99353464963221</v>
      </c>
      <c r="K25" s="16">
        <v>0.992218350754936</v>
      </c>
      <c r="L25" s="16">
        <v>0.983933410762679</v>
      </c>
      <c r="M25" s="16">
        <v>0.992295780100658</v>
      </c>
      <c r="N25" s="16">
        <v>0.972861014324429</v>
      </c>
      <c r="O25" s="16">
        <v>0.951955090979481</v>
      </c>
      <c r="P25" s="16">
        <v>0.815873015873015</v>
      </c>
      <c r="Q25" s="9">
        <v>0.75633</v>
      </c>
      <c r="R25" s="9">
        <v>0.785134</v>
      </c>
      <c r="S25" s="9">
        <v>0.796748</v>
      </c>
      <c r="T25" s="9">
        <v>0.592102212</v>
      </c>
      <c r="U25" s="9">
        <v>0.59814167</v>
      </c>
      <c r="V25" s="9">
        <v>0.497096</v>
      </c>
      <c r="W25" s="9">
        <v>0.881998</v>
      </c>
      <c r="X25" s="9">
        <v>0.888502</v>
      </c>
      <c r="Y25" s="9">
        <v>0.885017</v>
      </c>
      <c r="Z25" s="9">
        <v>0.876655042</v>
      </c>
      <c r="AA25" s="9">
        <v>0.878049</v>
      </c>
      <c r="AB25" s="9">
        <v>0.912892</v>
      </c>
      <c r="AC25" s="9">
        <v>0.702207</v>
      </c>
      <c r="AD25" s="9">
        <v>0.765389</v>
      </c>
      <c r="AE25" s="9">
        <v>0.789779</v>
      </c>
      <c r="AF25" s="9">
        <v>0.719628346</v>
      </c>
      <c r="AG25" s="9">
        <v>0.704994</v>
      </c>
      <c r="AH25" s="9">
        <v>0.81417</v>
      </c>
      <c r="AI25" s="9">
        <v>0.837863</v>
      </c>
      <c r="AJ25" s="9">
        <v>0.858304</v>
      </c>
      <c r="AK25" s="9">
        <v>0.872242</v>
      </c>
      <c r="AL25" s="9">
        <v>0.75122</v>
      </c>
      <c r="AM25" s="9">
        <v>0.826945</v>
      </c>
      <c r="AN25" s="9">
        <v>0.875726</v>
      </c>
      <c r="AO25" s="9">
        <v>0.675029039</v>
      </c>
      <c r="AP25" s="9">
        <v>0.745645</v>
      </c>
      <c r="AQ25" s="9">
        <v>0.851336</v>
      </c>
      <c r="AR25" s="9">
        <v>0.690127766</v>
      </c>
      <c r="AS25" s="9">
        <v>0.71777</v>
      </c>
      <c r="AT25" s="9">
        <v>0.84669</v>
      </c>
      <c r="AU25" s="9">
        <v>0.672242</v>
      </c>
      <c r="AV25" s="9">
        <v>0.68525</v>
      </c>
      <c r="AW25" s="9">
        <v>0.836237</v>
      </c>
      <c r="AX25" s="9">
        <v>0.650174</v>
      </c>
      <c r="AY25" s="9">
        <v>0.627178</v>
      </c>
      <c r="AZ25" s="9">
        <v>0.801394</v>
      </c>
      <c r="BA25" s="9">
        <v>0.769106</v>
      </c>
      <c r="BB25" s="9">
        <v>0.807201</v>
      </c>
      <c r="BC25" s="9">
        <v>0.826945</v>
      </c>
      <c r="BD25" s="9">
        <v>0.65574913</v>
      </c>
      <c r="BE25" s="9">
        <v>0.735192</v>
      </c>
      <c r="BF25" s="9">
        <v>0.811847</v>
      </c>
      <c r="BG25" s="9">
        <v>0.728455</v>
      </c>
      <c r="BH25" s="9">
        <v>0.810685</v>
      </c>
      <c r="BI25" s="9">
        <v>0.831591</v>
      </c>
      <c r="BJ25" s="9">
        <v>0.818815</v>
      </c>
      <c r="BK25" s="9">
        <v>0.829268</v>
      </c>
      <c r="BL25" s="9">
        <v>0.824623</v>
      </c>
      <c r="BM25" s="9">
        <v>0.774913</v>
      </c>
      <c r="BN25" s="9">
        <v>0.790941</v>
      </c>
      <c r="BO25" s="9">
        <v>0.8223</v>
      </c>
      <c r="BP25" s="9">
        <v>0.560279</v>
      </c>
      <c r="BQ25" s="9">
        <v>0.497096</v>
      </c>
      <c r="BR25" s="9">
        <v>0.658537</v>
      </c>
      <c r="BS25" s="9">
        <v>0.723345</v>
      </c>
      <c r="BT25" s="9">
        <v>0.745645</v>
      </c>
      <c r="BU25" s="9">
        <v>0.816492</v>
      </c>
      <c r="BV25" s="6"/>
      <c r="BW25" s="6" t="str">
        <f t="shared" si="1"/>
        <v>ROCKET</v>
      </c>
      <c r="BX25" s="6" t="str">
        <f t="shared" si="2"/>
        <v>InceptionTime</v>
      </c>
      <c r="BY25" s="6" t="str">
        <f t="shared" si="3"/>
        <v>TS-CHIEF</v>
      </c>
      <c r="BZ25" s="6"/>
      <c r="CA25" s="11" t="str">
        <f t="shared" si="4"/>
        <v>#VALUE!</v>
      </c>
      <c r="CC25" s="6"/>
      <c r="CD25" s="6"/>
      <c r="CE25" s="6"/>
    </row>
    <row r="26" ht="15.75" customHeight="1">
      <c r="A26" s="1" t="s">
        <v>120</v>
      </c>
      <c r="B26" s="7" t="s">
        <v>211</v>
      </c>
      <c r="C26" s="16">
        <v>0.865041283015605</v>
      </c>
      <c r="D26" s="16">
        <v>0.879708641334889</v>
      </c>
      <c r="E26" s="16">
        <v>0.893156961915877</v>
      </c>
      <c r="F26" s="16">
        <v>0.890169887174166</v>
      </c>
      <c r="G26" s="16">
        <v>0.881774953529589</v>
      </c>
      <c r="H26" s="16">
        <v>0.888380236026455</v>
      </c>
      <c r="I26" s="16">
        <v>0.842441533739679</v>
      </c>
      <c r="J26" s="16">
        <v>0.871698439458781</v>
      </c>
      <c r="K26" s="16">
        <v>0.805969826654562</v>
      </c>
      <c r="L26" s="16">
        <v>0.813145722560843</v>
      </c>
      <c r="M26" s="16">
        <v>0.79738468854018</v>
      </c>
      <c r="N26" s="16">
        <v>0.824030605628323</v>
      </c>
      <c r="O26" s="16">
        <v>0.793061859680975</v>
      </c>
      <c r="P26" s="16">
        <v>0.872143690831279</v>
      </c>
      <c r="Q26" s="9">
        <v>0.620568</v>
      </c>
      <c r="R26" s="9">
        <v>0.630787</v>
      </c>
      <c r="S26" s="9">
        <v>0.632343</v>
      </c>
      <c r="T26" s="9">
        <v>0.560368311</v>
      </c>
      <c r="U26" s="9">
        <v>0.556866825</v>
      </c>
      <c r="V26" s="9">
        <v>0.242381</v>
      </c>
      <c r="W26" s="9">
        <v>0.628998</v>
      </c>
      <c r="X26" s="9">
        <v>0.628712</v>
      </c>
      <c r="Y26" s="9">
        <v>0.607574</v>
      </c>
      <c r="Z26" s="9">
        <v>0.63862015</v>
      </c>
      <c r="AA26" s="9">
        <v>0.637012</v>
      </c>
      <c r="AB26" s="9">
        <v>0.650499</v>
      </c>
      <c r="AC26" s="9">
        <v>0.637271</v>
      </c>
      <c r="AD26" s="9">
        <v>0.648165</v>
      </c>
      <c r="AE26" s="9">
        <v>0.677474</v>
      </c>
      <c r="AF26" s="9">
        <v>0.640876675</v>
      </c>
      <c r="AG26" s="9">
        <v>0.652056</v>
      </c>
      <c r="AH26" s="9">
        <v>0.670341</v>
      </c>
      <c r="AI26" s="9">
        <v>0.635352</v>
      </c>
      <c r="AJ26" s="9">
        <v>0.635975</v>
      </c>
      <c r="AK26" s="9">
        <v>0.643237</v>
      </c>
      <c r="AL26" s="9">
        <v>0.648502</v>
      </c>
      <c r="AM26" s="9">
        <v>0.651277</v>
      </c>
      <c r="AN26" s="9">
        <v>0.606017</v>
      </c>
      <c r="AO26" s="9">
        <v>0.632473087</v>
      </c>
      <c r="AP26" s="9">
        <v>0.635067</v>
      </c>
      <c r="AQ26" s="9">
        <v>0.627415</v>
      </c>
      <c r="AR26" s="9">
        <v>0.655894172</v>
      </c>
      <c r="AS26" s="9">
        <v>0.664765</v>
      </c>
      <c r="AT26" s="9">
        <v>0.66671</v>
      </c>
      <c r="AU26" s="9">
        <v>0.65203</v>
      </c>
      <c r="AV26" s="9">
        <v>0.651018</v>
      </c>
      <c r="AW26" s="9">
        <v>0.652445</v>
      </c>
      <c r="AX26" s="9">
        <v>0.644612</v>
      </c>
      <c r="AY26" s="9">
        <v>0.638698</v>
      </c>
      <c r="AZ26" s="9">
        <v>0.634937</v>
      </c>
      <c r="BA26" s="9">
        <v>0.611309</v>
      </c>
      <c r="BB26" s="9">
        <v>0.622487</v>
      </c>
      <c r="BC26" s="9">
        <v>0.67488</v>
      </c>
      <c r="BD26" s="9">
        <v>0.613876283</v>
      </c>
      <c r="BE26" s="9">
        <v>0.61328</v>
      </c>
      <c r="BF26" s="9">
        <v>0.638568</v>
      </c>
      <c r="BG26" s="9">
        <v>0.630398</v>
      </c>
      <c r="BH26" s="9">
        <v>0.631436</v>
      </c>
      <c r="BI26" s="9">
        <v>0.626248</v>
      </c>
      <c r="BJ26" s="9">
        <v>0.639684</v>
      </c>
      <c r="BK26" s="9">
        <v>0.638179</v>
      </c>
      <c r="BL26" s="9">
        <v>0.658151</v>
      </c>
      <c r="BM26" s="9">
        <v>0.62892</v>
      </c>
      <c r="BN26" s="9">
        <v>0.62158</v>
      </c>
      <c r="BO26" s="9">
        <v>0.609519</v>
      </c>
      <c r="BP26" s="9">
        <v>0.638205</v>
      </c>
      <c r="BQ26" s="9">
        <v>0.641551</v>
      </c>
      <c r="BR26" s="9">
        <v>0.600571</v>
      </c>
      <c r="BS26" s="9">
        <v>0.589029</v>
      </c>
      <c r="BT26" s="9">
        <v>0.585657</v>
      </c>
      <c r="BU26" s="9">
        <v>0.610686</v>
      </c>
      <c r="BV26" s="6"/>
      <c r="BW26" s="6" t="str">
        <f t="shared" si="1"/>
        <v>ROCKET</v>
      </c>
      <c r="BX26" s="6" t="str">
        <f t="shared" si="2"/>
        <v>InceptionTime</v>
      </c>
      <c r="BY26" s="6" t="str">
        <f t="shared" si="3"/>
        <v>ResNet</v>
      </c>
      <c r="BZ26" s="6"/>
      <c r="CA26" s="11" t="str">
        <f t="shared" si="4"/>
        <v>#VALUE!</v>
      </c>
      <c r="CC26" s="6"/>
      <c r="CD26" s="6"/>
      <c r="CE26" s="6"/>
    </row>
    <row r="27" ht="15.75" customHeight="1">
      <c r="A27" s="1" t="s">
        <v>121</v>
      </c>
      <c r="B27" s="7" t="s">
        <v>211</v>
      </c>
      <c r="C27" s="16">
        <v>0.6056</v>
      </c>
      <c r="D27" s="16">
        <v>0.849</v>
      </c>
      <c r="E27" s="16">
        <v>0.625266666666666</v>
      </c>
      <c r="F27" s="16">
        <v>0.875133333333333</v>
      </c>
      <c r="G27" s="16">
        <v>0.855733333333333</v>
      </c>
      <c r="H27" s="16">
        <v>0.852533333333333</v>
      </c>
      <c r="I27" s="16">
        <v>0.324066666666666</v>
      </c>
      <c r="J27" s="16">
        <v>0.705066666666666</v>
      </c>
      <c r="K27" s="16">
        <v>0.5056</v>
      </c>
      <c r="L27" s="16">
        <v>0.490733333333333</v>
      </c>
      <c r="M27" s="16">
        <v>0.508733333333333</v>
      </c>
      <c r="N27" s="16">
        <v>0.661066666666666</v>
      </c>
      <c r="O27" s="16">
        <v>0.669266666666666</v>
      </c>
      <c r="P27" s="16">
        <v>0.3974</v>
      </c>
      <c r="Q27" s="9">
        <v>0.2672</v>
      </c>
      <c r="R27" s="9">
        <v>0.252</v>
      </c>
      <c r="S27" s="9">
        <v>0.248</v>
      </c>
      <c r="T27" s="9">
        <v>0.266000009</v>
      </c>
      <c r="U27" s="9">
        <v>0.256000012</v>
      </c>
      <c r="V27" s="9">
        <v>0.252</v>
      </c>
      <c r="W27" s="9">
        <v>0.2496</v>
      </c>
      <c r="X27" s="9">
        <v>0.25</v>
      </c>
      <c r="Y27" s="9">
        <v>0.248</v>
      </c>
      <c r="Z27" s="9">
        <v>0.253999996</v>
      </c>
      <c r="AA27" s="9">
        <v>0.248</v>
      </c>
      <c r="AB27" s="9">
        <v>0.276</v>
      </c>
      <c r="AC27" s="9">
        <v>0.2932</v>
      </c>
      <c r="AD27" s="9">
        <v>0.284</v>
      </c>
      <c r="AE27" s="9">
        <v>0.252</v>
      </c>
      <c r="AF27" s="9">
        <v>0.253599995</v>
      </c>
      <c r="AG27" s="9">
        <v>0.248</v>
      </c>
      <c r="AH27" s="9">
        <v>0.248</v>
      </c>
      <c r="AI27" s="9">
        <v>0.2524</v>
      </c>
      <c r="AJ27" s="9">
        <v>0.252</v>
      </c>
      <c r="AK27" s="9">
        <v>0.248</v>
      </c>
      <c r="AL27" s="9">
        <v>0.2476</v>
      </c>
      <c r="AM27" s="9">
        <v>0.252</v>
      </c>
      <c r="AN27" s="9">
        <v>0.248</v>
      </c>
      <c r="AO27" s="9">
        <v>0.285599995</v>
      </c>
      <c r="AP27" s="9">
        <v>0.268</v>
      </c>
      <c r="AQ27" s="9">
        <v>0.248</v>
      </c>
      <c r="AR27" s="9">
        <v>0.288000003</v>
      </c>
      <c r="AS27" s="9">
        <v>0.284</v>
      </c>
      <c r="AT27" s="9">
        <v>0.252</v>
      </c>
      <c r="AU27" s="9">
        <v>0.3264</v>
      </c>
      <c r="AV27" s="9">
        <v>0.294</v>
      </c>
      <c r="AW27" s="9">
        <v>0.38</v>
      </c>
      <c r="AX27" s="9">
        <v>0.3488</v>
      </c>
      <c r="AY27" s="9">
        <v>0.356</v>
      </c>
      <c r="AZ27" s="9">
        <v>0.402</v>
      </c>
      <c r="BA27" s="9">
        <v>0.2496</v>
      </c>
      <c r="BB27" s="9">
        <v>0.248</v>
      </c>
      <c r="BC27" s="9">
        <v>0.258</v>
      </c>
      <c r="BD27" s="9">
        <v>0.281999993</v>
      </c>
      <c r="BE27" s="9">
        <v>0.258</v>
      </c>
      <c r="BF27" s="9">
        <v>0.286</v>
      </c>
      <c r="BG27" s="9">
        <v>0.2476</v>
      </c>
      <c r="BH27" s="9">
        <v>0.248</v>
      </c>
      <c r="BI27" s="9">
        <v>0.288</v>
      </c>
      <c r="BJ27" s="9">
        <v>0.25</v>
      </c>
      <c r="BK27" s="9">
        <v>0.248</v>
      </c>
      <c r="BL27" s="9">
        <v>0.248</v>
      </c>
      <c r="BM27" s="9">
        <v>0.2536</v>
      </c>
      <c r="BN27" s="9">
        <v>0.248</v>
      </c>
      <c r="BO27" s="9">
        <v>0.278</v>
      </c>
      <c r="BP27" s="9">
        <v>0.286</v>
      </c>
      <c r="BQ27" s="9">
        <v>0.26</v>
      </c>
      <c r="BR27" s="9">
        <v>0.252</v>
      </c>
      <c r="BS27" s="9">
        <v>0.3056</v>
      </c>
      <c r="BT27" s="9">
        <v>0.314</v>
      </c>
      <c r="BU27" s="9">
        <v>0.272</v>
      </c>
      <c r="BV27" s="6"/>
      <c r="BW27" s="6" t="str">
        <f t="shared" si="1"/>
        <v>InceptionTime</v>
      </c>
      <c r="BX27" s="6" t="str">
        <f t="shared" si="2"/>
        <v>STC</v>
      </c>
      <c r="BY27" s="6" t="str">
        <f t="shared" si="3"/>
        <v>ResNet</v>
      </c>
      <c r="BZ27" s="6"/>
      <c r="CA27" s="11" t="str">
        <f t="shared" si="4"/>
        <v>#VALUE!</v>
      </c>
      <c r="CC27" s="6"/>
      <c r="CD27" s="6"/>
      <c r="CE27" s="6"/>
    </row>
    <row r="28" ht="15.75" customHeight="1">
      <c r="A28" s="1" t="s">
        <v>122</v>
      </c>
      <c r="B28" s="7" t="s">
        <v>211</v>
      </c>
      <c r="C28" s="16">
        <v>0.982721893491124</v>
      </c>
      <c r="D28" s="16">
        <v>0.979723865877712</v>
      </c>
      <c r="E28" s="16">
        <v>0.988007889546351</v>
      </c>
      <c r="F28" s="16">
        <v>0.983195266272189</v>
      </c>
      <c r="G28" s="16">
        <v>0.953688362919132</v>
      </c>
      <c r="H28" s="16">
        <v>0.981854043392505</v>
      </c>
      <c r="I28" s="16">
        <v>0.977061143984221</v>
      </c>
      <c r="J28" s="16">
        <v>0.973116370808678</v>
      </c>
      <c r="K28" s="16">
        <v>0.975069033530572</v>
      </c>
      <c r="L28" s="16">
        <v>0.969033530571992</v>
      </c>
      <c r="M28" s="16">
        <v>0.970098619329388</v>
      </c>
      <c r="N28" s="16">
        <v>0.964852071005917</v>
      </c>
      <c r="O28" s="16">
        <v>0.949960552268244</v>
      </c>
      <c r="P28" s="16">
        <v>0.810848126232741</v>
      </c>
      <c r="Q28" s="9">
        <v>0.393728</v>
      </c>
      <c r="R28" s="9">
        <v>0.395266</v>
      </c>
      <c r="S28" s="9">
        <v>0.466864</v>
      </c>
      <c r="T28" s="9">
        <v>0.400710058</v>
      </c>
      <c r="U28" s="9">
        <v>0.411834329</v>
      </c>
      <c r="V28" s="9">
        <v>0.064497</v>
      </c>
      <c r="W28" s="9">
        <v>0.539527</v>
      </c>
      <c r="X28" s="9">
        <v>0.554438</v>
      </c>
      <c r="Y28" s="9">
        <v>0.602959</v>
      </c>
      <c r="Z28" s="9">
        <v>0.371124262</v>
      </c>
      <c r="AA28" s="9">
        <v>0.36568</v>
      </c>
      <c r="AB28" s="9">
        <v>0.624852</v>
      </c>
      <c r="AC28" s="9">
        <v>0.587219</v>
      </c>
      <c r="AD28" s="9">
        <v>0.587574</v>
      </c>
      <c r="AE28" s="9">
        <v>0.632544</v>
      </c>
      <c r="AF28" s="9">
        <v>0.553964508</v>
      </c>
      <c r="AG28" s="9">
        <v>0.557396</v>
      </c>
      <c r="AH28" s="9">
        <v>0.63787</v>
      </c>
      <c r="AI28" s="9">
        <v>0.577751</v>
      </c>
      <c r="AJ28" s="9">
        <v>0.523077</v>
      </c>
      <c r="AK28" s="9">
        <v>0.704142</v>
      </c>
      <c r="AL28" s="9">
        <v>0.439172</v>
      </c>
      <c r="AM28" s="9">
        <v>0.443787</v>
      </c>
      <c r="AN28" s="9">
        <v>0.516568</v>
      </c>
      <c r="AO28" s="9">
        <v>0.567573953</v>
      </c>
      <c r="AP28" s="9">
        <v>0.580473</v>
      </c>
      <c r="AQ28" s="9">
        <v>0.552663</v>
      </c>
      <c r="AR28" s="9">
        <v>0.675621295</v>
      </c>
      <c r="AS28" s="9">
        <v>0.673373</v>
      </c>
      <c r="AT28" s="9">
        <v>0.676331</v>
      </c>
      <c r="AU28" s="9">
        <v>0.54213</v>
      </c>
      <c r="AV28" s="9">
        <v>0.550888</v>
      </c>
      <c r="AW28" s="9">
        <v>0.436686</v>
      </c>
      <c r="AX28" s="9">
        <v>0.422249</v>
      </c>
      <c r="AY28" s="9">
        <v>0.374556</v>
      </c>
      <c r="AZ28" s="9">
        <v>0.671006</v>
      </c>
      <c r="BA28" s="9">
        <v>0.550888</v>
      </c>
      <c r="BB28" s="9">
        <v>0.591124</v>
      </c>
      <c r="BC28" s="9">
        <v>0.36213</v>
      </c>
      <c r="BD28" s="9">
        <v>0.624023664</v>
      </c>
      <c r="BE28" s="9">
        <v>0.629586</v>
      </c>
      <c r="BF28" s="9">
        <v>0.613018</v>
      </c>
      <c r="BG28" s="9">
        <v>0.442722</v>
      </c>
      <c r="BH28" s="9">
        <v>0.420118</v>
      </c>
      <c r="BI28" s="9">
        <v>0.646746</v>
      </c>
      <c r="BJ28" s="9">
        <v>0.485917</v>
      </c>
      <c r="BK28" s="9">
        <v>0.46568</v>
      </c>
      <c r="BL28" s="9">
        <v>0.539645</v>
      </c>
      <c r="BM28" s="9">
        <v>0.631716</v>
      </c>
      <c r="BN28" s="9">
        <v>0.678106</v>
      </c>
      <c r="BO28" s="9">
        <v>0.605325</v>
      </c>
      <c r="BP28" s="9">
        <v>0.422604</v>
      </c>
      <c r="BQ28" s="9">
        <v>0.405325</v>
      </c>
      <c r="BR28" s="9">
        <v>0.390533</v>
      </c>
      <c r="BS28" s="9">
        <v>0.363077</v>
      </c>
      <c r="BT28" s="9">
        <v>0.300592</v>
      </c>
      <c r="BU28" s="9">
        <v>0.13787</v>
      </c>
      <c r="BV28" s="6"/>
      <c r="BW28" s="6" t="str">
        <f t="shared" si="1"/>
        <v>ROCKET</v>
      </c>
      <c r="BX28" s="6" t="str">
        <f t="shared" si="2"/>
        <v>InceptionTime</v>
      </c>
      <c r="BY28" s="6" t="str">
        <f t="shared" si="3"/>
        <v>TS-CHIEF</v>
      </c>
      <c r="BZ28" s="6"/>
      <c r="CA28" s="11" t="str">
        <f t="shared" si="4"/>
        <v>#VALUE!</v>
      </c>
      <c r="CC28" s="6"/>
      <c r="CD28" s="6"/>
      <c r="CE28" s="6"/>
    </row>
    <row r="29" ht="15.75" customHeight="1">
      <c r="A29" s="1" t="s">
        <v>123</v>
      </c>
      <c r="B29" s="7" t="s">
        <v>211</v>
      </c>
      <c r="C29" s="16">
        <v>0.999621212121212</v>
      </c>
      <c r="D29" s="16">
        <v>0.97310606060606</v>
      </c>
      <c r="E29" s="16">
        <v>0.931439393939393</v>
      </c>
      <c r="F29" s="16">
        <v>0.938636363636363</v>
      </c>
      <c r="G29" s="16">
        <v>0.656439393939393</v>
      </c>
      <c r="H29" s="16">
        <v>0.925</v>
      </c>
      <c r="I29" s="16">
        <v>0.945454545454545</v>
      </c>
      <c r="J29" s="16">
        <v>0.981060606060606</v>
      </c>
      <c r="K29" s="16">
        <v>0.981818181818181</v>
      </c>
      <c r="L29" s="16">
        <v>0.996969696969696</v>
      </c>
      <c r="M29" s="16">
        <v>0.995454545454545</v>
      </c>
      <c r="N29" s="16">
        <v>0.876893939393939</v>
      </c>
      <c r="O29" s="16">
        <v>0.906818181818181</v>
      </c>
      <c r="P29" s="16">
        <v>0.679545454545454</v>
      </c>
      <c r="Q29" s="9">
        <v>0.384091</v>
      </c>
      <c r="R29" s="9">
        <v>0.397727</v>
      </c>
      <c r="S29" s="9">
        <v>0.465909</v>
      </c>
      <c r="T29" s="9">
        <v>0.361363637</v>
      </c>
      <c r="U29" s="9">
        <v>0.363636374</v>
      </c>
      <c r="V29" s="9">
        <v>0.159091</v>
      </c>
      <c r="W29" s="9">
        <v>0.531818</v>
      </c>
      <c r="X29" s="9">
        <v>0.522727</v>
      </c>
      <c r="Y29" s="9">
        <v>0.647727</v>
      </c>
      <c r="Z29" s="9">
        <v>0.586363637</v>
      </c>
      <c r="AA29" s="9">
        <v>0.545455</v>
      </c>
      <c r="AB29" s="9">
        <v>0.738636</v>
      </c>
      <c r="AC29" s="9">
        <v>0.456818</v>
      </c>
      <c r="AD29" s="9">
        <v>0.409091</v>
      </c>
      <c r="AE29" s="9">
        <v>0.613636</v>
      </c>
      <c r="AF29" s="9">
        <v>0.490909094</v>
      </c>
      <c r="AG29" s="9">
        <v>0.488636</v>
      </c>
      <c r="AH29" s="9">
        <v>0.556818</v>
      </c>
      <c r="AI29" s="9">
        <v>0.7</v>
      </c>
      <c r="AJ29" s="9">
        <v>0.715909</v>
      </c>
      <c r="AK29" s="9">
        <v>0.579545</v>
      </c>
      <c r="AL29" s="9">
        <v>0.645455</v>
      </c>
      <c r="AM29" s="9">
        <v>0.602273</v>
      </c>
      <c r="AN29" s="9">
        <v>0.784091</v>
      </c>
      <c r="AO29" s="9">
        <v>0.45454545</v>
      </c>
      <c r="AP29" s="9">
        <v>0.454545</v>
      </c>
      <c r="AQ29" s="9">
        <v>0.545455</v>
      </c>
      <c r="AR29" s="9">
        <v>0.440909091</v>
      </c>
      <c r="AS29" s="9">
        <v>0.477273</v>
      </c>
      <c r="AT29" s="9">
        <v>0.5</v>
      </c>
      <c r="AU29" s="9">
        <v>0.590909</v>
      </c>
      <c r="AV29" s="9">
        <v>0.556818</v>
      </c>
      <c r="AW29" s="9">
        <v>0.75</v>
      </c>
      <c r="AX29" s="9">
        <v>0.638636</v>
      </c>
      <c r="AY29" s="9">
        <v>0.625</v>
      </c>
      <c r="AZ29" s="9">
        <v>0.693182</v>
      </c>
      <c r="BA29" s="9">
        <v>0.515909</v>
      </c>
      <c r="BB29" s="9">
        <v>0.534091</v>
      </c>
      <c r="BC29" s="9">
        <v>0.715909</v>
      </c>
      <c r="BD29" s="9">
        <v>0.522727263</v>
      </c>
      <c r="BE29" s="9">
        <v>0.647727</v>
      </c>
      <c r="BF29" s="9">
        <v>0.681818</v>
      </c>
      <c r="BG29" s="9">
        <v>0.522727</v>
      </c>
      <c r="BH29" s="9">
        <v>0.545455</v>
      </c>
      <c r="BI29" s="9">
        <v>0.659091</v>
      </c>
      <c r="BJ29" s="9">
        <v>0.602273</v>
      </c>
      <c r="BK29" s="9">
        <v>0.602273</v>
      </c>
      <c r="BL29" s="9">
        <v>0.818182</v>
      </c>
      <c r="BM29" s="9">
        <v>0.563636</v>
      </c>
      <c r="BN29" s="9">
        <v>0.488636</v>
      </c>
      <c r="BO29" s="9">
        <v>0.704545</v>
      </c>
      <c r="BP29" s="9">
        <v>0.65</v>
      </c>
      <c r="BQ29" s="9">
        <v>0.681818</v>
      </c>
      <c r="BR29" s="9">
        <v>0.840909</v>
      </c>
      <c r="BS29" s="9">
        <v>0.520455</v>
      </c>
      <c r="BT29" s="9">
        <v>0.488636</v>
      </c>
      <c r="BU29" s="9">
        <v>0.590909</v>
      </c>
      <c r="BV29" s="6"/>
      <c r="BW29" s="6" t="str">
        <f t="shared" si="1"/>
        <v>TS-CHIEF</v>
      </c>
      <c r="BX29" s="6" t="str">
        <f t="shared" si="2"/>
        <v>cBOSS</v>
      </c>
      <c r="BY29" s="6" t="str">
        <f t="shared" si="3"/>
        <v>BOSS</v>
      </c>
      <c r="BZ29" s="6"/>
      <c r="CA29" s="11" t="str">
        <f t="shared" si="4"/>
        <v>#VALUE!</v>
      </c>
      <c r="CC29" s="6"/>
      <c r="CD29" s="6"/>
      <c r="CE29" s="6"/>
    </row>
    <row r="30" ht="15.75" customHeight="1">
      <c r="A30" s="1" t="s">
        <v>124</v>
      </c>
      <c r="B30" s="7" t="s">
        <v>211</v>
      </c>
      <c r="C30" s="16">
        <v>0.972926829268292</v>
      </c>
      <c r="D30" s="16">
        <v>0.961349593495935</v>
      </c>
      <c r="E30" s="16">
        <v>0.971284552845528</v>
      </c>
      <c r="F30" s="16">
        <v>0.976959349593496</v>
      </c>
      <c r="G30" s="16">
        <v>0.910097560975609</v>
      </c>
      <c r="H30" s="16">
        <v>0.964260162601626</v>
      </c>
      <c r="I30" s="16">
        <v>0.956097560975609</v>
      </c>
      <c r="J30" s="16">
        <v>0.956195121951219</v>
      </c>
      <c r="K30" s="16">
        <v>0.956959349593496</v>
      </c>
      <c r="L30" s="16">
        <v>0.952471544715447</v>
      </c>
      <c r="M30" s="16">
        <v>0.951300813008129</v>
      </c>
      <c r="N30" s="16">
        <v>0.891951219512195</v>
      </c>
      <c r="O30" s="16">
        <v>0.903983739837398</v>
      </c>
      <c r="P30" s="16">
        <v>0.708682926829268</v>
      </c>
      <c r="Q30" s="9">
        <v>0.517951</v>
      </c>
      <c r="R30" s="9">
        <v>0.519024</v>
      </c>
      <c r="S30" s="9">
        <v>0.560976</v>
      </c>
      <c r="T30" s="9">
        <v>0.456195128</v>
      </c>
      <c r="U30" s="9">
        <v>0.458048791</v>
      </c>
      <c r="V30" s="9">
        <v>0.143415</v>
      </c>
      <c r="W30" s="9">
        <v>0.564</v>
      </c>
      <c r="X30" s="9">
        <v>0.581951</v>
      </c>
      <c r="Y30" s="9">
        <v>0.570732</v>
      </c>
      <c r="Z30" s="9">
        <v>0.548682922</v>
      </c>
      <c r="AA30" s="9">
        <v>0.556585</v>
      </c>
      <c r="AB30" s="9">
        <v>0.49122</v>
      </c>
      <c r="AC30" s="9">
        <v>0.626049</v>
      </c>
      <c r="AD30" s="9">
        <v>0.625366</v>
      </c>
      <c r="AE30" s="9">
        <v>0.630244</v>
      </c>
      <c r="AF30" s="9">
        <v>0.582048786</v>
      </c>
      <c r="AG30" s="9">
        <v>0.598537</v>
      </c>
      <c r="AH30" s="9">
        <v>0.638537</v>
      </c>
      <c r="AI30" s="9">
        <v>0.607512</v>
      </c>
      <c r="AJ30" s="9">
        <v>0.61122</v>
      </c>
      <c r="AK30" s="9">
        <v>0.686341</v>
      </c>
      <c r="AL30" s="9">
        <v>0.585854</v>
      </c>
      <c r="AM30" s="9">
        <v>0.583902</v>
      </c>
      <c r="AN30" s="9">
        <v>0.574146</v>
      </c>
      <c r="AO30" s="9">
        <v>0.599414653</v>
      </c>
      <c r="AP30" s="9">
        <v>0.610244</v>
      </c>
      <c r="AQ30" s="9">
        <v>0.7</v>
      </c>
      <c r="AR30" s="9">
        <v>0.617268288</v>
      </c>
      <c r="AS30" s="9">
        <v>0.640976</v>
      </c>
      <c r="AT30" s="9">
        <v>0.607805</v>
      </c>
      <c r="AU30" s="9">
        <v>0.538829</v>
      </c>
      <c r="AV30" s="9">
        <v>0.537073</v>
      </c>
      <c r="AW30" s="9">
        <v>0.690244</v>
      </c>
      <c r="AX30" s="9">
        <v>0.564878</v>
      </c>
      <c r="AY30" s="9">
        <v>0.581463</v>
      </c>
      <c r="AZ30" s="9">
        <v>0.415122</v>
      </c>
      <c r="BA30" s="9">
        <v>0.636195</v>
      </c>
      <c r="BB30" s="9">
        <v>0.649268</v>
      </c>
      <c r="BC30" s="9">
        <v>0.561951</v>
      </c>
      <c r="BD30" s="9">
        <v>0.636097562</v>
      </c>
      <c r="BE30" s="9">
        <v>0.636585</v>
      </c>
      <c r="BF30" s="9">
        <v>0.679024</v>
      </c>
      <c r="BG30" s="9">
        <v>0.573268</v>
      </c>
      <c r="BH30" s="9">
        <v>0.565366</v>
      </c>
      <c r="BI30" s="9">
        <v>0.601951</v>
      </c>
      <c r="BJ30" s="9">
        <v>0.612098</v>
      </c>
      <c r="BK30" s="9">
        <v>0.61122</v>
      </c>
      <c r="BL30" s="9">
        <v>0.369756</v>
      </c>
      <c r="BM30" s="9">
        <v>0.667902</v>
      </c>
      <c r="BN30" s="9">
        <v>0.687805</v>
      </c>
      <c r="BO30" s="9">
        <v>0.665366</v>
      </c>
      <c r="BP30" s="9">
        <v>0.549463</v>
      </c>
      <c r="BQ30" s="9">
        <v>0.541463</v>
      </c>
      <c r="BR30" s="9">
        <v>0.570244</v>
      </c>
      <c r="BS30" s="9">
        <v>0.378146</v>
      </c>
      <c r="BT30" s="9">
        <v>0.393171</v>
      </c>
      <c r="BU30" s="9">
        <v>0.396098</v>
      </c>
      <c r="BV30" s="6"/>
      <c r="BW30" s="6" t="str">
        <f t="shared" si="1"/>
        <v>InceptionTime</v>
      </c>
      <c r="BX30" s="6" t="str">
        <f t="shared" si="2"/>
        <v>TS-CHIEF</v>
      </c>
      <c r="BY30" s="6" t="str">
        <f t="shared" si="3"/>
        <v>ROCKET</v>
      </c>
      <c r="BZ30" s="6"/>
      <c r="CA30" s="11" t="str">
        <f t="shared" si="4"/>
        <v>#VALUE!</v>
      </c>
      <c r="CC30" s="6"/>
      <c r="CD30" s="6"/>
      <c r="CE30" s="6"/>
    </row>
    <row r="31" ht="15.75" customHeight="1">
      <c r="A31" s="1" t="s">
        <v>125</v>
      </c>
      <c r="B31" s="7" t="s">
        <v>211</v>
      </c>
      <c r="C31" s="16">
        <v>0.842710622710623</v>
      </c>
      <c r="D31" s="16">
        <v>0.771648351648352</v>
      </c>
      <c r="E31" s="16">
        <v>0.825054945054945</v>
      </c>
      <c r="F31" s="16">
        <v>0.826739926739927</v>
      </c>
      <c r="G31" s="16">
        <v>0.736556776556776</v>
      </c>
      <c r="H31" s="16">
        <v>0.723956043956044</v>
      </c>
      <c r="I31" s="16">
        <v>0.825934065934066</v>
      </c>
      <c r="J31" s="16">
        <v>0.776996336996337</v>
      </c>
      <c r="K31" s="16">
        <v>0.765054945054945</v>
      </c>
      <c r="L31" s="16">
        <v>0.717875457875457</v>
      </c>
      <c r="M31" s="16">
        <v>0.705860805860805</v>
      </c>
      <c r="N31" s="16">
        <v>0.666593406593406</v>
      </c>
      <c r="O31" s="16">
        <v>0.721684981684981</v>
      </c>
      <c r="P31" s="16">
        <v>0.597802197802197</v>
      </c>
      <c r="Q31" s="9">
        <v>0.412747</v>
      </c>
      <c r="R31" s="9">
        <v>0.413187</v>
      </c>
      <c r="S31" s="9">
        <v>0.404396</v>
      </c>
      <c r="T31" s="9">
        <v>0.356043965</v>
      </c>
      <c r="U31" s="9">
        <v>0.353846163</v>
      </c>
      <c r="V31" s="9">
        <v>0.125275</v>
      </c>
      <c r="W31" s="9">
        <v>0.396044</v>
      </c>
      <c r="X31" s="9">
        <v>0.386813</v>
      </c>
      <c r="Y31" s="9">
        <v>0.353846</v>
      </c>
      <c r="Z31" s="9">
        <v>0.389010996</v>
      </c>
      <c r="AA31" s="9">
        <v>0.373626</v>
      </c>
      <c r="AB31" s="9">
        <v>0.272527</v>
      </c>
      <c r="AC31" s="9">
        <v>0.444835</v>
      </c>
      <c r="AD31" s="9">
        <v>0.446154</v>
      </c>
      <c r="AE31" s="9">
        <v>0.492308</v>
      </c>
      <c r="AF31" s="9">
        <v>0.465934068</v>
      </c>
      <c r="AG31" s="9">
        <v>0.476923</v>
      </c>
      <c r="AH31" s="9">
        <v>0.505495</v>
      </c>
      <c r="AI31" s="9">
        <v>0.374066</v>
      </c>
      <c r="AJ31" s="9">
        <v>0.397802</v>
      </c>
      <c r="AK31" s="9">
        <v>0.254945</v>
      </c>
      <c r="AL31" s="9">
        <v>0.38989</v>
      </c>
      <c r="AM31" s="9">
        <v>0.378022</v>
      </c>
      <c r="AN31" s="9">
        <v>0.340659</v>
      </c>
      <c r="AO31" s="9">
        <v>0.439120883</v>
      </c>
      <c r="AP31" s="9">
        <v>0.430769</v>
      </c>
      <c r="AQ31" s="9">
        <v>0.452747</v>
      </c>
      <c r="AR31" s="9">
        <v>0.454945064</v>
      </c>
      <c r="AS31" s="9">
        <v>0.432967</v>
      </c>
      <c r="AT31" s="9">
        <v>0.540659</v>
      </c>
      <c r="AU31" s="9">
        <v>0.301538</v>
      </c>
      <c r="AV31" s="9">
        <v>0.259341</v>
      </c>
      <c r="AW31" s="9">
        <v>0.389011</v>
      </c>
      <c r="AX31" s="9">
        <v>0.414945</v>
      </c>
      <c r="AY31" s="9">
        <v>0.424176</v>
      </c>
      <c r="AZ31" s="9">
        <v>0.426374</v>
      </c>
      <c r="BA31" s="9">
        <v>0.414945</v>
      </c>
      <c r="BB31" s="9">
        <v>0.413187</v>
      </c>
      <c r="BC31" s="9">
        <v>0.492308</v>
      </c>
      <c r="BD31" s="9">
        <v>0.479120886</v>
      </c>
      <c r="BE31" s="9">
        <v>0.481319</v>
      </c>
      <c r="BF31" s="9">
        <v>0.432967</v>
      </c>
      <c r="BG31" s="9">
        <v>0.338022</v>
      </c>
      <c r="BH31" s="9">
        <v>0.342857</v>
      </c>
      <c r="BI31" s="9">
        <v>0.252747</v>
      </c>
      <c r="BJ31" s="9">
        <v>0.331429</v>
      </c>
      <c r="BK31" s="9">
        <v>0.336264</v>
      </c>
      <c r="BL31" s="9">
        <v>0.364835</v>
      </c>
      <c r="BM31" s="9">
        <v>0.378022</v>
      </c>
      <c r="BN31" s="9">
        <v>0.373626</v>
      </c>
      <c r="BO31" s="9">
        <v>0.356044</v>
      </c>
      <c r="BP31" s="9">
        <v>0.384176</v>
      </c>
      <c r="BQ31" s="9">
        <v>0.382418</v>
      </c>
      <c r="BR31" s="9">
        <v>0.457143</v>
      </c>
      <c r="BS31" s="9">
        <v>0.454505</v>
      </c>
      <c r="BT31" s="9">
        <v>0.459341</v>
      </c>
      <c r="BU31" s="9">
        <v>0.465934</v>
      </c>
      <c r="BV31" s="6"/>
      <c r="BW31" s="6" t="str">
        <f t="shared" si="1"/>
        <v>TS-CHIEF</v>
      </c>
      <c r="BX31" s="6" t="str">
        <f t="shared" si="2"/>
        <v>InceptionTime</v>
      </c>
      <c r="BY31" s="6" t="str">
        <f t="shared" si="3"/>
        <v>ProximityForest</v>
      </c>
      <c r="BZ31" s="6"/>
      <c r="CA31" s="11" t="str">
        <f t="shared" si="4"/>
        <v>#VALUE!</v>
      </c>
      <c r="CC31" s="6"/>
      <c r="CD31" s="6"/>
      <c r="CE31" s="6"/>
    </row>
    <row r="32" ht="15.75" customHeight="1">
      <c r="A32" s="1" t="s">
        <v>126</v>
      </c>
      <c r="B32" s="7" t="s">
        <v>211</v>
      </c>
      <c r="C32" s="16">
        <v>0.981523809523809</v>
      </c>
      <c r="D32" s="16">
        <v>0.979428571428571</v>
      </c>
      <c r="E32" s="16">
        <v>0.974095238095238</v>
      </c>
      <c r="F32" s="16">
        <v>0.972761904761904</v>
      </c>
      <c r="G32" s="16">
        <v>0.949904761904761</v>
      </c>
      <c r="H32" s="16">
        <v>0.969904761904761</v>
      </c>
      <c r="I32" s="16">
        <v>0.933904761904761</v>
      </c>
      <c r="J32" s="16">
        <v>0.950857142857143</v>
      </c>
      <c r="K32" s="16">
        <v>0.971238095238095</v>
      </c>
      <c r="L32" s="16">
        <v>0.97447619047619</v>
      </c>
      <c r="M32" s="16">
        <v>0.969714285714285</v>
      </c>
      <c r="N32" s="16">
        <v>0.859047619047619</v>
      </c>
      <c r="O32" s="16">
        <v>0.83047619047619</v>
      </c>
      <c r="P32" s="16">
        <v>0.772571428571428</v>
      </c>
      <c r="Q32" s="9">
        <v>0.517714</v>
      </c>
      <c r="R32" s="9">
        <v>0.514286</v>
      </c>
      <c r="S32" s="9">
        <v>0.491429</v>
      </c>
      <c r="T32" s="9">
        <v>0.48228572</v>
      </c>
      <c r="U32" s="9">
        <v>0.497142851</v>
      </c>
      <c r="V32" s="9">
        <v>0.137143</v>
      </c>
      <c r="W32" s="9">
        <v>0.669714</v>
      </c>
      <c r="X32" s="9">
        <v>0.68</v>
      </c>
      <c r="Y32" s="9">
        <v>0.531429</v>
      </c>
      <c r="Z32" s="9">
        <v>0.656000006</v>
      </c>
      <c r="AA32" s="9">
        <v>0.651429</v>
      </c>
      <c r="AB32" s="9">
        <v>0.748571</v>
      </c>
      <c r="AC32" s="9">
        <v>0.580571</v>
      </c>
      <c r="AD32" s="9">
        <v>0.577143</v>
      </c>
      <c r="AE32" s="9">
        <v>0.668571</v>
      </c>
      <c r="AF32" s="9">
        <v>0.618285716</v>
      </c>
      <c r="AG32" s="9">
        <v>0.628571</v>
      </c>
      <c r="AH32" s="9">
        <v>0.622857</v>
      </c>
      <c r="AI32" s="9">
        <v>0.618286</v>
      </c>
      <c r="AJ32" s="9">
        <v>0.691429</v>
      </c>
      <c r="AK32" s="9">
        <v>0.594286</v>
      </c>
      <c r="AL32" s="9">
        <v>0.592</v>
      </c>
      <c r="AM32" s="9">
        <v>0.64</v>
      </c>
      <c r="AN32" s="9">
        <v>0.52</v>
      </c>
      <c r="AO32" s="9">
        <v>0.594285703</v>
      </c>
      <c r="AP32" s="9">
        <v>0.577143</v>
      </c>
      <c r="AQ32" s="9">
        <v>0.611429</v>
      </c>
      <c r="AR32" s="9">
        <v>0.595428574</v>
      </c>
      <c r="AS32" s="9">
        <v>0.6</v>
      </c>
      <c r="AT32" s="9">
        <v>0.645714</v>
      </c>
      <c r="AU32" s="9">
        <v>0.613714</v>
      </c>
      <c r="AV32" s="9">
        <v>0.611429</v>
      </c>
      <c r="AW32" s="9">
        <v>0.634286</v>
      </c>
      <c r="AX32" s="9">
        <v>0.558857</v>
      </c>
      <c r="AY32" s="9">
        <v>0.537143</v>
      </c>
      <c r="AZ32" s="9">
        <v>0.508571</v>
      </c>
      <c r="BA32" s="9">
        <v>0.590857</v>
      </c>
      <c r="BB32" s="9">
        <v>0.588571</v>
      </c>
      <c r="BC32" s="9">
        <v>0.514286</v>
      </c>
      <c r="BD32" s="9">
        <v>0.555428576</v>
      </c>
      <c r="BE32" s="9">
        <v>0.554286</v>
      </c>
      <c r="BF32" s="9">
        <v>0.662857</v>
      </c>
      <c r="BG32" s="9">
        <v>0.539429</v>
      </c>
      <c r="BH32" s="9">
        <v>0.571429</v>
      </c>
      <c r="BI32" s="9">
        <v>0.525714</v>
      </c>
      <c r="BJ32" s="9">
        <v>0.542857</v>
      </c>
      <c r="BK32" s="9">
        <v>0.537143</v>
      </c>
      <c r="BL32" s="9">
        <v>0.605714</v>
      </c>
      <c r="BM32" s="9">
        <v>0.562286</v>
      </c>
      <c r="BN32" s="9">
        <v>0.565714</v>
      </c>
      <c r="BO32" s="9">
        <v>0.662857</v>
      </c>
      <c r="BP32" s="9">
        <v>0.633143</v>
      </c>
      <c r="BQ32" s="9">
        <v>0.657143</v>
      </c>
      <c r="BR32" s="9">
        <v>0.731429</v>
      </c>
      <c r="BS32" s="9">
        <v>0.549714</v>
      </c>
      <c r="BT32" s="9">
        <v>0.554286</v>
      </c>
      <c r="BU32" s="9">
        <v>0.64</v>
      </c>
      <c r="BV32" s="6"/>
      <c r="BW32" s="6" t="str">
        <f t="shared" si="1"/>
        <v>TS-CHIEF</v>
      </c>
      <c r="BX32" s="6" t="str">
        <f t="shared" si="2"/>
        <v>HIVE-COTE v1,0</v>
      </c>
      <c r="BY32" s="6" t="str">
        <f t="shared" si="3"/>
        <v>cBOSS</v>
      </c>
      <c r="BZ32" s="6"/>
      <c r="CA32" s="11" t="str">
        <f t="shared" si="4"/>
        <v>#VALUE!</v>
      </c>
      <c r="CC32" s="6"/>
      <c r="CD32" s="6"/>
      <c r="CE32" s="6"/>
    </row>
    <row r="33" ht="15.75" customHeight="1">
      <c r="A33" s="1" t="s">
        <v>127</v>
      </c>
      <c r="B33" s="7" t="s">
        <v>211</v>
      </c>
      <c r="C33" s="16">
        <v>0.94739898989899</v>
      </c>
      <c r="D33" s="16">
        <v>0.944116161616161</v>
      </c>
      <c r="E33" s="16">
        <v>0.942449494949494</v>
      </c>
      <c r="F33" s="16">
        <v>0.959040404040404</v>
      </c>
      <c r="G33" s="16">
        <v>0.934242424242424</v>
      </c>
      <c r="H33" s="16">
        <v>0.931515151515151</v>
      </c>
      <c r="I33" s="16">
        <v>0.850025252525252</v>
      </c>
      <c r="J33" s="16">
        <v>0.968686868686868</v>
      </c>
      <c r="K33" s="16">
        <v>0.907575757575757</v>
      </c>
      <c r="L33" s="16">
        <v>0.915732323232322</v>
      </c>
      <c r="M33" s="16">
        <v>0.921363636363636</v>
      </c>
      <c r="N33" s="16">
        <v>0.940025252525252</v>
      </c>
      <c r="O33" s="16">
        <v>0.815757575757575</v>
      </c>
      <c r="P33" s="16">
        <v>0.909191919191919</v>
      </c>
      <c r="Q33" s="9">
        <v>0.484091</v>
      </c>
      <c r="R33" s="9">
        <v>0.484091</v>
      </c>
      <c r="S33" s="9">
        <v>0.484091</v>
      </c>
      <c r="T33" s="9">
        <v>0.484090894</v>
      </c>
      <c r="U33" s="9">
        <v>0.484090894</v>
      </c>
      <c r="V33" s="9">
        <v>0.484091</v>
      </c>
      <c r="W33" s="9">
        <v>0.484091</v>
      </c>
      <c r="X33" s="9">
        <v>0.484091</v>
      </c>
      <c r="Y33" s="9">
        <v>0.484091</v>
      </c>
      <c r="Z33" s="9">
        <v>0.484090894</v>
      </c>
      <c r="AA33" s="9">
        <v>0.484091</v>
      </c>
      <c r="AB33" s="9">
        <v>0.484091</v>
      </c>
      <c r="AC33" s="9">
        <v>0.484091</v>
      </c>
      <c r="AD33" s="9">
        <v>0.484091</v>
      </c>
      <c r="AE33" s="9">
        <v>0.484091</v>
      </c>
      <c r="AF33" s="9">
        <v>0.484090894</v>
      </c>
      <c r="AG33" s="9">
        <v>0.484091</v>
      </c>
      <c r="AH33" s="9">
        <v>0.484091</v>
      </c>
      <c r="AI33" s="9">
        <v>0.484091</v>
      </c>
      <c r="AJ33" s="9">
        <v>0.484091</v>
      </c>
      <c r="AK33" s="9">
        <v>0.484091</v>
      </c>
      <c r="AL33" s="9">
        <v>0.484091</v>
      </c>
      <c r="AM33" s="9">
        <v>0.484091</v>
      </c>
      <c r="AN33" s="9">
        <v>0.484091</v>
      </c>
      <c r="AO33" s="9">
        <v>0.484090894</v>
      </c>
      <c r="AP33" s="9">
        <v>0.484091</v>
      </c>
      <c r="AQ33" s="9">
        <v>0.484091</v>
      </c>
      <c r="AR33" s="9">
        <v>0.484090894</v>
      </c>
      <c r="AS33" s="9">
        <v>0.484091</v>
      </c>
      <c r="AT33" s="9">
        <v>0.484091</v>
      </c>
      <c r="AU33" s="9">
        <v>0.484091</v>
      </c>
      <c r="AV33" s="9">
        <v>0.484091</v>
      </c>
      <c r="AW33" s="9">
        <v>0.484091</v>
      </c>
      <c r="AX33" s="9">
        <v>0.484091</v>
      </c>
      <c r="AY33" s="9">
        <v>0.484091</v>
      </c>
      <c r="AZ33" s="9">
        <v>0.484091</v>
      </c>
      <c r="BA33" s="9">
        <v>0.484091</v>
      </c>
      <c r="BB33" s="9">
        <v>0.484091</v>
      </c>
      <c r="BC33" s="9">
        <v>0.484091</v>
      </c>
      <c r="BD33" s="9">
        <v>0.484090894</v>
      </c>
      <c r="BE33" s="9">
        <v>0.484091</v>
      </c>
      <c r="BF33" s="9">
        <v>0.484091</v>
      </c>
      <c r="BG33" s="9">
        <v>0.484091</v>
      </c>
      <c r="BH33" s="9">
        <v>0.484091</v>
      </c>
      <c r="BI33" s="9">
        <v>0.484091</v>
      </c>
      <c r="BJ33" s="9">
        <v>0.484091</v>
      </c>
      <c r="BK33" s="9">
        <v>0.484091</v>
      </c>
      <c r="BL33" s="9">
        <v>0.484091</v>
      </c>
      <c r="BM33" s="9">
        <v>0.484091</v>
      </c>
      <c r="BN33" s="9">
        <v>0.484091</v>
      </c>
      <c r="BO33" s="9">
        <v>0.484091</v>
      </c>
      <c r="BP33" s="9">
        <v>0.484091</v>
      </c>
      <c r="BQ33" s="9">
        <v>0.484091</v>
      </c>
      <c r="BR33" s="9">
        <v>0.484091</v>
      </c>
      <c r="BS33" s="9">
        <v>0.484091</v>
      </c>
      <c r="BT33" s="9">
        <v>0.484091</v>
      </c>
      <c r="BU33" s="9">
        <v>0.484091</v>
      </c>
      <c r="BV33" s="6"/>
      <c r="BW33" s="6" t="str">
        <f t="shared" si="1"/>
        <v>WEASEL</v>
      </c>
      <c r="BX33" s="6" t="str">
        <f t="shared" si="2"/>
        <v>InceptionTime</v>
      </c>
      <c r="BY33" s="6" t="str">
        <f t="shared" si="3"/>
        <v>TS-CHIEF</v>
      </c>
      <c r="BZ33" s="6"/>
      <c r="CA33" s="11" t="str">
        <f t="shared" si="4"/>
        <v>#VALUE!</v>
      </c>
      <c r="CC33" s="6"/>
      <c r="CD33" s="6"/>
      <c r="CE33" s="6"/>
    </row>
    <row r="34" ht="15.75" customHeight="1">
      <c r="A34" s="14" t="s">
        <v>128</v>
      </c>
      <c r="B34" s="7" t="s">
        <v>211</v>
      </c>
      <c r="C34" s="8" t="s">
        <v>85</v>
      </c>
      <c r="D34" s="8" t="s">
        <v>85</v>
      </c>
      <c r="E34" s="8" t="s">
        <v>85</v>
      </c>
      <c r="F34" s="8" t="s">
        <v>85</v>
      </c>
      <c r="G34" s="8" t="s">
        <v>85</v>
      </c>
      <c r="H34" s="8" t="s">
        <v>85</v>
      </c>
      <c r="I34" s="8" t="s">
        <v>85</v>
      </c>
      <c r="J34" s="8" t="s">
        <v>85</v>
      </c>
      <c r="K34" s="8" t="s">
        <v>85</v>
      </c>
      <c r="L34" s="8" t="s">
        <v>85</v>
      </c>
      <c r="M34" s="8" t="s">
        <v>85</v>
      </c>
      <c r="N34" s="8" t="s">
        <v>85</v>
      </c>
      <c r="O34" s="8" t="s">
        <v>85</v>
      </c>
      <c r="P34" s="8" t="s">
        <v>85</v>
      </c>
      <c r="Q34" s="9">
        <v>0.504938</v>
      </c>
      <c r="R34" s="9">
        <v>0.504938</v>
      </c>
      <c r="S34" s="9">
        <v>0.504938</v>
      </c>
      <c r="T34" s="9">
        <v>0.504938245</v>
      </c>
      <c r="U34" s="9">
        <v>0.504938245</v>
      </c>
      <c r="V34" s="9">
        <v>0.504938</v>
      </c>
      <c r="W34" s="9">
        <v>0.504938</v>
      </c>
      <c r="X34" s="9">
        <v>0.504938</v>
      </c>
      <c r="Y34" s="9">
        <v>0.504938</v>
      </c>
      <c r="Z34" s="9">
        <v>0.504938245</v>
      </c>
      <c r="AA34" s="9">
        <v>0.504938</v>
      </c>
      <c r="AB34" s="9">
        <v>0.504938</v>
      </c>
      <c r="AC34" s="9">
        <v>0.504938</v>
      </c>
      <c r="AD34" s="9">
        <v>0.504938</v>
      </c>
      <c r="AE34" s="9">
        <v>0.504938</v>
      </c>
      <c r="AF34" s="9">
        <v>0.504938245</v>
      </c>
      <c r="AG34" s="9">
        <v>0.504938</v>
      </c>
      <c r="AH34" s="9">
        <v>0.504938</v>
      </c>
      <c r="AI34" s="9">
        <v>0.504938</v>
      </c>
      <c r="AJ34" s="9">
        <v>0.504938</v>
      </c>
      <c r="AK34" s="9">
        <v>0.504938</v>
      </c>
      <c r="AL34" s="9">
        <v>0.504938</v>
      </c>
      <c r="AM34" s="9">
        <v>0.504938</v>
      </c>
      <c r="AN34" s="9">
        <v>0.504938</v>
      </c>
      <c r="AO34" s="9">
        <v>0.504938245</v>
      </c>
      <c r="AP34" s="9">
        <v>0.504938</v>
      </c>
      <c r="AQ34" s="9">
        <v>0.504938</v>
      </c>
      <c r="AR34" s="9">
        <v>0.504938245</v>
      </c>
      <c r="AS34" s="9">
        <v>0.504938</v>
      </c>
      <c r="AT34" s="9">
        <v>0.504938</v>
      </c>
      <c r="AU34" s="9">
        <v>0.504938</v>
      </c>
      <c r="AV34" s="9">
        <v>0.504938</v>
      </c>
      <c r="AW34" s="9">
        <v>0.504938</v>
      </c>
      <c r="AX34" s="9">
        <v>0.504938</v>
      </c>
      <c r="AY34" s="9">
        <v>0.504938</v>
      </c>
      <c r="AZ34" s="9">
        <v>0.504938</v>
      </c>
      <c r="BA34" s="9">
        <v>0.504938</v>
      </c>
      <c r="BB34" s="9">
        <v>0.504938</v>
      </c>
      <c r="BC34" s="9">
        <v>0.504938</v>
      </c>
      <c r="BD34" s="9">
        <v>0.504938245</v>
      </c>
      <c r="BE34" s="9">
        <v>0.504938</v>
      </c>
      <c r="BF34" s="9">
        <v>0.504938</v>
      </c>
      <c r="BG34" s="9">
        <v>0.504938</v>
      </c>
      <c r="BH34" s="9">
        <v>0.504938</v>
      </c>
      <c r="BI34" s="9">
        <v>0.504938</v>
      </c>
      <c r="BJ34" s="9">
        <v>0.504938</v>
      </c>
      <c r="BK34" s="9">
        <v>0.504938</v>
      </c>
      <c r="BL34" s="9">
        <v>0.504938</v>
      </c>
      <c r="BM34" s="9">
        <v>0.504938</v>
      </c>
      <c r="BN34" s="9">
        <v>0.504938</v>
      </c>
      <c r="BO34" s="9">
        <v>0.504938</v>
      </c>
      <c r="BP34" s="9">
        <v>0.504938</v>
      </c>
      <c r="BQ34" s="9">
        <v>0.504938</v>
      </c>
      <c r="BR34" s="9">
        <v>0.504938</v>
      </c>
      <c r="BS34" s="9">
        <v>0.504938</v>
      </c>
      <c r="BT34" s="9">
        <v>0.504938</v>
      </c>
      <c r="BU34" s="9">
        <v>0.504938</v>
      </c>
      <c r="BV34" s="6"/>
      <c r="BW34" s="6" t="str">
        <f t="shared" si="1"/>
        <v>5BN_Fold_Mean</v>
      </c>
      <c r="BX34" s="6" t="str">
        <f t="shared" si="2"/>
        <v>5BN_Fold_Mean</v>
      </c>
      <c r="BY34" s="6" t="str">
        <f t="shared" si="3"/>
        <v>5BN_Fold_Mean</v>
      </c>
      <c r="BZ34" s="6"/>
      <c r="CA34" s="11" t="str">
        <f t="shared" si="4"/>
        <v>#VALUE!</v>
      </c>
      <c r="CC34" s="6"/>
      <c r="CD34" s="6"/>
      <c r="CE34" s="6"/>
    </row>
    <row r="35" ht="15.75" customHeight="1">
      <c r="A35" s="1" t="s">
        <v>129</v>
      </c>
      <c r="B35" s="7" t="s">
        <v>211</v>
      </c>
      <c r="C35" s="16">
        <v>0.998491228070175</v>
      </c>
      <c r="D35" s="16">
        <v>0.999087719298245</v>
      </c>
      <c r="E35" s="16">
        <v>0.994374269005848</v>
      </c>
      <c r="F35" s="16">
        <v>0.995742690058479</v>
      </c>
      <c r="G35" s="16">
        <v>0.999251461988304</v>
      </c>
      <c r="H35" s="16">
        <v>0.996736842105263</v>
      </c>
      <c r="I35" s="16">
        <v>0.942350877192982</v>
      </c>
      <c r="J35" s="16">
        <v>0.990608187134502</v>
      </c>
      <c r="K35" s="16">
        <v>0.976105263157894</v>
      </c>
      <c r="L35" s="16">
        <v>0.993929824561403</v>
      </c>
      <c r="M35" s="16">
        <v>0.988058479532163</v>
      </c>
      <c r="N35" s="16">
        <v>0.95225730994152</v>
      </c>
      <c r="O35" s="16">
        <v>0.997076023391813</v>
      </c>
      <c r="P35" s="16">
        <v>0.998187134502924</v>
      </c>
      <c r="Q35" s="9">
        <v>0.966175</v>
      </c>
      <c r="R35" s="9">
        <v>0.967018</v>
      </c>
      <c r="S35" s="9">
        <v>0.968421</v>
      </c>
      <c r="T35" s="9">
        <v>0.967157888</v>
      </c>
      <c r="U35" s="9">
        <v>0.968070149</v>
      </c>
      <c r="V35" s="9">
        <v>0.5</v>
      </c>
      <c r="W35" s="9">
        <v>0.940351</v>
      </c>
      <c r="X35" s="9">
        <v>0.944211</v>
      </c>
      <c r="Y35" s="9">
        <v>0.947719</v>
      </c>
      <c r="Z35" s="9">
        <v>0.942947364</v>
      </c>
      <c r="AA35" s="9">
        <v>0.94386</v>
      </c>
      <c r="AB35" s="9">
        <v>0.95193</v>
      </c>
      <c r="AC35" s="9">
        <v>0.968772</v>
      </c>
      <c r="AD35" s="9">
        <v>0.968421</v>
      </c>
      <c r="AE35" s="9">
        <v>0.969825</v>
      </c>
      <c r="AF35" s="9">
        <v>0.971157897</v>
      </c>
      <c r="AG35" s="9">
        <v>0.971228</v>
      </c>
      <c r="AH35" s="9">
        <v>0.971579</v>
      </c>
      <c r="AI35" s="9">
        <v>0.974597</v>
      </c>
      <c r="AJ35" s="9">
        <v>0.975088</v>
      </c>
      <c r="AK35" s="9">
        <v>0.981754</v>
      </c>
      <c r="AL35" s="9">
        <v>0.970667</v>
      </c>
      <c r="AM35" s="9">
        <v>0.969123</v>
      </c>
      <c r="AN35" s="9">
        <v>0.980351</v>
      </c>
      <c r="AO35" s="9">
        <v>0.973684216</v>
      </c>
      <c r="AP35" s="9">
        <v>0.973333</v>
      </c>
      <c r="AQ35" s="9">
        <v>0.976491</v>
      </c>
      <c r="AR35" s="9">
        <v>0.971087718</v>
      </c>
      <c r="AS35" s="9">
        <v>0.970877</v>
      </c>
      <c r="AT35" s="9">
        <v>0.972281</v>
      </c>
      <c r="AU35" s="9">
        <v>0.95186</v>
      </c>
      <c r="AV35" s="9">
        <v>0.962456</v>
      </c>
      <c r="AW35" s="9">
        <v>0.960351</v>
      </c>
      <c r="AX35" s="9">
        <v>0.962246</v>
      </c>
      <c r="AY35" s="9">
        <v>0.961403</v>
      </c>
      <c r="AZ35" s="9">
        <v>0.964561</v>
      </c>
      <c r="BA35" s="9">
        <v>0.969474</v>
      </c>
      <c r="BB35" s="9">
        <v>0.970175</v>
      </c>
      <c r="BC35" s="9">
        <v>0.96807</v>
      </c>
      <c r="BD35" s="9">
        <v>0.965964901</v>
      </c>
      <c r="BE35" s="9">
        <v>0.970175</v>
      </c>
      <c r="BF35" s="9">
        <v>0.964912</v>
      </c>
      <c r="BG35" s="9">
        <v>0.961684</v>
      </c>
      <c r="BH35" s="9">
        <v>0.963158</v>
      </c>
      <c r="BI35" s="9">
        <v>0.963158</v>
      </c>
      <c r="BJ35" s="9">
        <v>0.962386</v>
      </c>
      <c r="BK35" s="9">
        <v>0.965263</v>
      </c>
      <c r="BL35" s="9">
        <v>0.961754</v>
      </c>
      <c r="BM35" s="9">
        <v>0.970807</v>
      </c>
      <c r="BN35" s="9">
        <v>0.970877</v>
      </c>
      <c r="BO35" s="9">
        <v>0.971228</v>
      </c>
      <c r="BP35" s="9">
        <v>0.945825</v>
      </c>
      <c r="BQ35" s="9">
        <v>0.945965</v>
      </c>
      <c r="BR35" s="9">
        <v>0.947018</v>
      </c>
      <c r="BS35" s="9">
        <v>0.827228</v>
      </c>
      <c r="BT35" s="9">
        <v>0.817193</v>
      </c>
      <c r="BU35" s="9">
        <v>0.853684</v>
      </c>
      <c r="BV35" s="6"/>
      <c r="BW35" s="6" t="str">
        <f t="shared" si="1"/>
        <v>STC</v>
      </c>
      <c r="BX35" s="6" t="str">
        <f t="shared" si="2"/>
        <v>HIVE-COTE v1,0</v>
      </c>
      <c r="BY35" s="6" t="str">
        <f t="shared" si="3"/>
        <v>TS-CHIEF</v>
      </c>
      <c r="BZ35" s="6"/>
      <c r="CA35" s="11" t="str">
        <f t="shared" si="4"/>
        <v>#VALUE!</v>
      </c>
      <c r="CC35" s="6"/>
      <c r="CD35" s="6"/>
      <c r="CE35" s="6"/>
    </row>
    <row r="36" ht="15.75" customHeight="1">
      <c r="A36" s="1" t="s">
        <v>130</v>
      </c>
      <c r="B36" s="7" t="s">
        <v>211</v>
      </c>
      <c r="C36" s="16">
        <v>0.995461988304094</v>
      </c>
      <c r="D36" s="16">
        <v>0.98366081871345</v>
      </c>
      <c r="E36" s="16">
        <v>0.987204678362573</v>
      </c>
      <c r="F36" s="16">
        <v>0.948830409356725</v>
      </c>
      <c r="G36" s="16">
        <v>0.988561403508772</v>
      </c>
      <c r="H36" s="16">
        <v>0.949473684210526</v>
      </c>
      <c r="I36" s="16">
        <v>0.823380116959064</v>
      </c>
      <c r="J36" s="16">
        <v>0.900573099415204</v>
      </c>
      <c r="K36" s="16">
        <v>0.947602339181286</v>
      </c>
      <c r="L36" s="16">
        <v>0.966818713450292</v>
      </c>
      <c r="M36" s="16">
        <v>0.961637426900584</v>
      </c>
      <c r="N36" s="16">
        <v>0.87872514619883</v>
      </c>
      <c r="O36" s="16">
        <v>0.961438596491228</v>
      </c>
      <c r="P36" s="16">
        <v>0.959766081871345</v>
      </c>
      <c r="Q36" s="9">
        <v>0.962526</v>
      </c>
      <c r="R36" s="9">
        <v>0.962807</v>
      </c>
      <c r="S36" s="9">
        <v>0.961403</v>
      </c>
      <c r="T36" s="9">
        <v>0.960561407</v>
      </c>
      <c r="U36" s="9">
        <v>0.958947361</v>
      </c>
      <c r="V36" s="9">
        <v>0.5</v>
      </c>
      <c r="W36" s="9">
        <v>0.788</v>
      </c>
      <c r="X36" s="9">
        <v>0.793333</v>
      </c>
      <c r="Y36" s="9">
        <v>0.807719</v>
      </c>
      <c r="Z36" s="9">
        <v>0.788280702</v>
      </c>
      <c r="AA36" s="9">
        <v>0.801053</v>
      </c>
      <c r="AB36" s="9">
        <v>0.801053</v>
      </c>
      <c r="AC36" s="9">
        <v>0.950035</v>
      </c>
      <c r="AD36" s="9">
        <v>0.950175</v>
      </c>
      <c r="AE36" s="9">
        <v>0.949825</v>
      </c>
      <c r="AF36" s="9">
        <v>0.946175444</v>
      </c>
      <c r="AG36" s="9">
        <v>0.949825</v>
      </c>
      <c r="AH36" s="9">
        <v>0.948772</v>
      </c>
      <c r="AI36" s="9">
        <v>0.913404</v>
      </c>
      <c r="AJ36" s="9">
        <v>0.921404</v>
      </c>
      <c r="AK36" s="9">
        <v>0.906316</v>
      </c>
      <c r="AL36" s="9">
        <v>0.905263</v>
      </c>
      <c r="AM36" s="9">
        <v>0.910526</v>
      </c>
      <c r="AN36" s="9">
        <v>0.92386</v>
      </c>
      <c r="AO36" s="10" t="s">
        <v>85</v>
      </c>
      <c r="AP36" s="10" t="s">
        <v>85</v>
      </c>
      <c r="AQ36" s="1" t="s">
        <v>85</v>
      </c>
      <c r="AR36" s="9">
        <v>0.964070177</v>
      </c>
      <c r="AS36" s="9">
        <v>0.966316</v>
      </c>
      <c r="AT36" s="9">
        <v>0.94807</v>
      </c>
      <c r="AU36" s="9">
        <v>0.883158</v>
      </c>
      <c r="AV36" s="9">
        <v>0.889474</v>
      </c>
      <c r="AW36" s="9">
        <v>0.889123</v>
      </c>
      <c r="AX36" s="9">
        <v>0.877825</v>
      </c>
      <c r="AY36" s="9">
        <v>0.886316</v>
      </c>
      <c r="AZ36" s="9">
        <v>0.893333</v>
      </c>
      <c r="BA36" s="9">
        <v>0.952912</v>
      </c>
      <c r="BB36" s="9">
        <v>0.954386</v>
      </c>
      <c r="BC36" s="9">
        <v>0.952281</v>
      </c>
      <c r="BD36" s="9">
        <v>0.949052632</v>
      </c>
      <c r="BE36" s="9">
        <v>0.952632</v>
      </c>
      <c r="BF36" s="9">
        <v>0.95614</v>
      </c>
      <c r="BG36" s="9">
        <v>0.785404</v>
      </c>
      <c r="BH36" s="9">
        <v>0.782105</v>
      </c>
      <c r="BI36" s="9">
        <v>0.767719</v>
      </c>
      <c r="BJ36" s="9">
        <v>0.808351</v>
      </c>
      <c r="BK36" s="9">
        <v>0.799649</v>
      </c>
      <c r="BL36" s="9">
        <v>0.823509</v>
      </c>
      <c r="BM36" s="9">
        <v>0.966807</v>
      </c>
      <c r="BN36" s="9">
        <v>0.968772</v>
      </c>
      <c r="BO36" s="9">
        <v>0.967368</v>
      </c>
      <c r="BP36" s="9">
        <v>0.889614</v>
      </c>
      <c r="BQ36" s="9">
        <v>0.886667</v>
      </c>
      <c r="BR36" s="9">
        <v>0.896491</v>
      </c>
      <c r="BS36" s="9">
        <v>0.707298</v>
      </c>
      <c r="BT36" s="9">
        <v>0.69193</v>
      </c>
      <c r="BU36" s="9">
        <v>0.694386</v>
      </c>
      <c r="BV36" s="6"/>
      <c r="BW36" s="6" t="str">
        <f t="shared" si="1"/>
        <v>TS-CHIEF</v>
      </c>
      <c r="BX36" s="6" t="str">
        <f t="shared" si="2"/>
        <v>STC</v>
      </c>
      <c r="BY36" s="6" t="str">
        <f t="shared" si="3"/>
        <v>ROCKET</v>
      </c>
      <c r="BZ36" s="6"/>
      <c r="CA36" s="11" t="str">
        <f t="shared" si="4"/>
        <v>#VALUE!</v>
      </c>
      <c r="CC36" s="6"/>
      <c r="CD36" s="6"/>
      <c r="CE36" s="6"/>
    </row>
    <row r="37" ht="15.75" customHeight="1">
      <c r="A37" s="1" t="s">
        <v>131</v>
      </c>
      <c r="B37" s="7" t="s">
        <v>211</v>
      </c>
      <c r="C37" s="16">
        <v>1.0</v>
      </c>
      <c r="D37" s="16">
        <v>0.998222222222222</v>
      </c>
      <c r="E37" s="16">
        <v>0.991999999999999</v>
      </c>
      <c r="F37" s="16">
        <v>0.995111111111111</v>
      </c>
      <c r="G37" s="16">
        <v>0.986444444444444</v>
      </c>
      <c r="H37" s="16">
        <v>0.990888888888888</v>
      </c>
      <c r="I37" s="16">
        <v>0.991333333333333</v>
      </c>
      <c r="J37" s="16">
        <v>0.993111111111111</v>
      </c>
      <c r="K37" s="16">
        <v>0.996666666666666</v>
      </c>
      <c r="L37" s="16">
        <v>0.999777777777777</v>
      </c>
      <c r="M37" s="16">
        <v>0.996444444444444</v>
      </c>
      <c r="N37" s="16">
        <v>0.980888888888889</v>
      </c>
      <c r="O37" s="16">
        <v>0.955333333333333</v>
      </c>
      <c r="P37" s="16">
        <v>0.943111111111111</v>
      </c>
      <c r="Q37" s="9">
        <v>0.909333</v>
      </c>
      <c r="R37" s="9">
        <v>0.906667</v>
      </c>
      <c r="S37" s="9">
        <v>0.92</v>
      </c>
      <c r="T37" s="9">
        <v>0.912000012</v>
      </c>
      <c r="U37" s="9">
        <v>0.913333356</v>
      </c>
      <c r="V37" s="9">
        <v>0.493333</v>
      </c>
      <c r="W37" s="9">
        <v>0.897333</v>
      </c>
      <c r="X37" s="9">
        <v>0.9</v>
      </c>
      <c r="Y37" s="9">
        <v>0.906667</v>
      </c>
      <c r="Z37" s="9">
        <v>0.921333337</v>
      </c>
      <c r="AA37" s="9">
        <v>0.926667</v>
      </c>
      <c r="AB37" s="9">
        <v>0.92</v>
      </c>
      <c r="AC37" s="9">
        <v>0.941333</v>
      </c>
      <c r="AD37" s="9">
        <v>0.946667</v>
      </c>
      <c r="AE37" s="9">
        <v>0.973333</v>
      </c>
      <c r="AF37" s="9">
        <v>0.937333345</v>
      </c>
      <c r="AG37" s="9">
        <v>0.94</v>
      </c>
      <c r="AH37" s="9">
        <v>0.966667</v>
      </c>
      <c r="AI37" s="9">
        <v>0.836</v>
      </c>
      <c r="AJ37" s="9">
        <v>0.84</v>
      </c>
      <c r="AK37" s="9">
        <v>0.893333</v>
      </c>
      <c r="AL37" s="9">
        <v>0.833333</v>
      </c>
      <c r="AM37" s="9">
        <v>0.813333</v>
      </c>
      <c r="AN37" s="9">
        <v>0.873333</v>
      </c>
      <c r="AO37" s="9">
        <v>0.918666661</v>
      </c>
      <c r="AP37" s="9">
        <v>0.933333</v>
      </c>
      <c r="AQ37" s="9">
        <v>0.953333</v>
      </c>
      <c r="AR37" s="9">
        <v>0.925333321</v>
      </c>
      <c r="AS37" s="9">
        <v>0.92</v>
      </c>
      <c r="AT37" s="9">
        <v>0.946667</v>
      </c>
      <c r="AU37" s="9">
        <v>0.832</v>
      </c>
      <c r="AV37" s="9">
        <v>0.826667</v>
      </c>
      <c r="AW37" s="9">
        <v>0.84</v>
      </c>
      <c r="AX37" s="9">
        <v>0.842667</v>
      </c>
      <c r="AY37" s="9">
        <v>0.833333</v>
      </c>
      <c r="AZ37" s="9">
        <v>0.846667</v>
      </c>
      <c r="BA37" s="9">
        <v>0.924</v>
      </c>
      <c r="BB37" s="9">
        <v>0.953333</v>
      </c>
      <c r="BC37" s="9">
        <v>0.92</v>
      </c>
      <c r="BD37" s="9">
        <v>0.931999993</v>
      </c>
      <c r="BE37" s="9">
        <v>0.94</v>
      </c>
      <c r="BF37" s="9">
        <v>0.94</v>
      </c>
      <c r="BG37" s="9">
        <v>0.869333</v>
      </c>
      <c r="BH37" s="9">
        <v>0.873333</v>
      </c>
      <c r="BI37" s="9">
        <v>0.9</v>
      </c>
      <c r="BJ37" s="9">
        <v>0.854667</v>
      </c>
      <c r="BK37" s="9">
        <v>0.853333</v>
      </c>
      <c r="BL37" s="9">
        <v>0.873333</v>
      </c>
      <c r="BM37" s="9">
        <v>0.922667</v>
      </c>
      <c r="BN37" s="9">
        <v>0.92</v>
      </c>
      <c r="BO37" s="9">
        <v>0.953333</v>
      </c>
      <c r="BP37" s="9">
        <v>0.890667</v>
      </c>
      <c r="BQ37" s="9">
        <v>0.893333</v>
      </c>
      <c r="BR37" s="9">
        <v>0.913333</v>
      </c>
      <c r="BS37" s="9">
        <v>0.789333</v>
      </c>
      <c r="BT37" s="9">
        <v>0.786667</v>
      </c>
      <c r="BU37" s="9">
        <v>0.786667</v>
      </c>
      <c r="BV37" s="6"/>
      <c r="BW37" s="6" t="str">
        <f t="shared" si="1"/>
        <v>TS-CHIEF</v>
      </c>
      <c r="BX37" s="6" t="str">
        <f t="shared" si="2"/>
        <v>cBOSS</v>
      </c>
      <c r="BY37" s="6" t="str">
        <f t="shared" si="3"/>
        <v>HIVE-COTE v1,0</v>
      </c>
      <c r="BZ37" s="6"/>
      <c r="CA37" s="11" t="str">
        <f t="shared" si="4"/>
        <v>#VALUE!</v>
      </c>
      <c r="CC37" s="6"/>
      <c r="CD37" s="6"/>
      <c r="CE37" s="6"/>
    </row>
    <row r="38" ht="15.75" customHeight="1">
      <c r="A38" s="1" t="s">
        <v>132</v>
      </c>
      <c r="B38" s="7" t="s">
        <v>211</v>
      </c>
      <c r="C38" s="16">
        <v>0.99957805907173</v>
      </c>
      <c r="D38" s="16">
        <v>0.996624472573839</v>
      </c>
      <c r="E38" s="16">
        <v>0.993459915611814</v>
      </c>
      <c r="F38" s="16">
        <v>0.984071729957806</v>
      </c>
      <c r="G38" s="16">
        <v>0.966033755274261</v>
      </c>
      <c r="H38" s="16">
        <v>0.994409282700421</v>
      </c>
      <c r="I38" s="16">
        <v>0.996940928270041</v>
      </c>
      <c r="J38" s="16">
        <v>0.98132911392405</v>
      </c>
      <c r="K38" s="16">
        <v>0.995358649789029</v>
      </c>
      <c r="L38" s="16">
        <v>0.998628691983122</v>
      </c>
      <c r="M38" s="16">
        <v>0.994936708860759</v>
      </c>
      <c r="N38" s="16">
        <v>0.986286919831223</v>
      </c>
      <c r="O38" s="16">
        <v>0.977742616033755</v>
      </c>
      <c r="P38" s="16">
        <v>0.943881856540084</v>
      </c>
      <c r="Q38" s="9">
        <v>0.956962</v>
      </c>
      <c r="R38" s="9">
        <v>0.955696</v>
      </c>
      <c r="S38" s="9">
        <v>0.974684</v>
      </c>
      <c r="T38" s="9">
        <v>0.946835446</v>
      </c>
      <c r="U38" s="9">
        <v>0.946202517</v>
      </c>
      <c r="V38" s="9">
        <v>0.493671</v>
      </c>
      <c r="W38" s="9">
        <v>0.929747</v>
      </c>
      <c r="X38" s="9">
        <v>0.936709</v>
      </c>
      <c r="Y38" s="9">
        <v>0.936709</v>
      </c>
      <c r="Z38" s="9">
        <v>0.945569623</v>
      </c>
      <c r="AA38" s="9">
        <v>0.946203</v>
      </c>
      <c r="AB38" s="9">
        <v>0.955696</v>
      </c>
      <c r="AC38" s="9">
        <v>0.947468</v>
      </c>
      <c r="AD38" s="9">
        <v>0.946203</v>
      </c>
      <c r="AE38" s="9">
        <v>0.952532</v>
      </c>
      <c r="AF38" s="9">
        <v>0.949367106</v>
      </c>
      <c r="AG38" s="9">
        <v>0.955696</v>
      </c>
      <c r="AH38" s="9">
        <v>0.96519</v>
      </c>
      <c r="AI38" s="9">
        <v>0.89557</v>
      </c>
      <c r="AJ38" s="9">
        <v>0.89557</v>
      </c>
      <c r="AK38" s="9">
        <v>0.901899</v>
      </c>
      <c r="AL38" s="9">
        <v>0.898101</v>
      </c>
      <c r="AM38" s="9">
        <v>0.898734</v>
      </c>
      <c r="AN38" s="9">
        <v>0.917722</v>
      </c>
      <c r="AO38" s="9">
        <v>0.937341774</v>
      </c>
      <c r="AP38" s="9">
        <v>0.936709</v>
      </c>
      <c r="AQ38" s="9">
        <v>0.955696</v>
      </c>
      <c r="AR38" s="9">
        <v>0.940506315</v>
      </c>
      <c r="AS38" s="9">
        <v>0.939873</v>
      </c>
      <c r="AT38" s="9">
        <v>0.949367</v>
      </c>
      <c r="AU38" s="9">
        <v>0.913291</v>
      </c>
      <c r="AV38" s="9">
        <v>0.908228</v>
      </c>
      <c r="AW38" s="9">
        <v>0.924051</v>
      </c>
      <c r="AX38" s="9">
        <v>0.908861</v>
      </c>
      <c r="AY38" s="9">
        <v>0.914557</v>
      </c>
      <c r="AZ38" s="9">
        <v>0.924051</v>
      </c>
      <c r="BA38" s="9">
        <v>0.932278</v>
      </c>
      <c r="BB38" s="9">
        <v>0.93038</v>
      </c>
      <c r="BC38" s="9">
        <v>0.933544</v>
      </c>
      <c r="BD38" s="9">
        <v>0.933544314</v>
      </c>
      <c r="BE38" s="9">
        <v>0.93038</v>
      </c>
      <c r="BF38" s="9">
        <v>0.946203</v>
      </c>
      <c r="BG38" s="9">
        <v>0.906329</v>
      </c>
      <c r="BH38" s="9">
        <v>0.917722</v>
      </c>
      <c r="BI38" s="9">
        <v>0.914557</v>
      </c>
      <c r="BJ38" s="9">
        <v>0.90443</v>
      </c>
      <c r="BK38" s="9">
        <v>0.914557</v>
      </c>
      <c r="BL38" s="9">
        <v>0.93038</v>
      </c>
      <c r="BM38" s="9">
        <v>0.913924</v>
      </c>
      <c r="BN38" s="9">
        <v>0.920886</v>
      </c>
      <c r="BO38" s="9">
        <v>0.927215</v>
      </c>
      <c r="BP38" s="9">
        <v>0.912658</v>
      </c>
      <c r="BQ38" s="9">
        <v>0.920886</v>
      </c>
      <c r="BR38" s="9">
        <v>0.924051</v>
      </c>
      <c r="BS38" s="9">
        <v>0.501266</v>
      </c>
      <c r="BT38" s="9">
        <v>0.506329</v>
      </c>
      <c r="BU38" s="9">
        <v>0.506329</v>
      </c>
      <c r="BV38" s="6"/>
      <c r="BW38" s="6" t="str">
        <f t="shared" si="1"/>
        <v>TS-CHIEF</v>
      </c>
      <c r="BX38" s="6" t="str">
        <f t="shared" si="2"/>
        <v>cBOSS</v>
      </c>
      <c r="BY38" s="6" t="str">
        <f t="shared" si="3"/>
        <v>ProximityForest</v>
      </c>
      <c r="BZ38" s="6"/>
      <c r="CA38" s="11" t="str">
        <f t="shared" si="4"/>
        <v>#VALUE!</v>
      </c>
      <c r="CC38" s="6"/>
      <c r="CD38" s="6"/>
      <c r="CE38" s="6"/>
    </row>
    <row r="39" ht="15.75" customHeight="1">
      <c r="A39" s="1" t="s">
        <v>133</v>
      </c>
      <c r="B39" s="7" t="s">
        <v>211</v>
      </c>
      <c r="C39" s="16">
        <v>0.999367088607595</v>
      </c>
      <c r="D39" s="16">
        <v>0.999894514767932</v>
      </c>
      <c r="E39" s="16">
        <v>0.999894514767932</v>
      </c>
      <c r="F39" s="16">
        <v>0.998312236286919</v>
      </c>
      <c r="G39" s="16">
        <v>0.986497890295358</v>
      </c>
      <c r="H39" s="16">
        <v>0.990084388185653</v>
      </c>
      <c r="I39" s="16">
        <v>0.999367088607594</v>
      </c>
      <c r="J39" s="16">
        <v>0.993881856540084</v>
      </c>
      <c r="K39" s="16">
        <v>0.999578059071729</v>
      </c>
      <c r="L39" s="16">
        <v>0.999156118143459</v>
      </c>
      <c r="M39" s="16">
        <v>0.99957805907173</v>
      </c>
      <c r="N39" s="16">
        <v>0.991139240506329</v>
      </c>
      <c r="O39" s="16">
        <v>0.995991561181434</v>
      </c>
      <c r="P39" s="16">
        <v>0.993459915611814</v>
      </c>
      <c r="Q39" s="9">
        <v>0.968987</v>
      </c>
      <c r="R39" s="9">
        <v>0.96519</v>
      </c>
      <c r="S39" s="9">
        <v>0.974684</v>
      </c>
      <c r="T39" s="9">
        <v>0.961392403</v>
      </c>
      <c r="U39" s="9">
        <v>0.958860755</v>
      </c>
      <c r="V39" s="9">
        <v>0.474684</v>
      </c>
      <c r="W39" s="9">
        <v>0.944304</v>
      </c>
      <c r="X39" s="9">
        <v>0.946203</v>
      </c>
      <c r="Y39" s="9">
        <v>0.962025</v>
      </c>
      <c r="Z39" s="9">
        <v>0.958227849</v>
      </c>
      <c r="AA39" s="9">
        <v>0.96519</v>
      </c>
      <c r="AB39" s="9">
        <v>0.977848</v>
      </c>
      <c r="AC39" s="9">
        <v>0.974051</v>
      </c>
      <c r="AD39" s="9">
        <v>0.977848</v>
      </c>
      <c r="AE39" s="9">
        <v>0.974684</v>
      </c>
      <c r="AF39" s="9">
        <v>0.972151887</v>
      </c>
      <c r="AG39" s="9">
        <v>0.974684</v>
      </c>
      <c r="AH39" s="9">
        <v>0.977848</v>
      </c>
      <c r="AI39" s="9">
        <v>0.946203</v>
      </c>
      <c r="AJ39" s="9">
        <v>0.949367</v>
      </c>
      <c r="AK39" s="9">
        <v>0.968354</v>
      </c>
      <c r="AL39" s="9">
        <v>0.960127</v>
      </c>
      <c r="AM39" s="9">
        <v>0.958861</v>
      </c>
      <c r="AN39" s="9">
        <v>0.962025</v>
      </c>
      <c r="AO39" s="9">
        <v>0.98227849</v>
      </c>
      <c r="AP39" s="9">
        <v>0.987342</v>
      </c>
      <c r="AQ39" s="9">
        <v>0.981013</v>
      </c>
      <c r="AR39" s="9">
        <v>0.977848089</v>
      </c>
      <c r="AS39" s="9">
        <v>0.981013</v>
      </c>
      <c r="AT39" s="9">
        <v>0.984177</v>
      </c>
      <c r="AU39" s="9">
        <v>0.975316</v>
      </c>
      <c r="AV39" s="9">
        <v>0.974684</v>
      </c>
      <c r="AW39" s="9">
        <v>0.987342</v>
      </c>
      <c r="AX39" s="9">
        <v>0.968354</v>
      </c>
      <c r="AY39" s="9">
        <v>0.968354</v>
      </c>
      <c r="AZ39" s="9">
        <v>0.984177</v>
      </c>
      <c r="BA39" s="9">
        <v>0.968354</v>
      </c>
      <c r="BB39" s="9">
        <v>0.96519</v>
      </c>
      <c r="BC39" s="9">
        <v>0.974684</v>
      </c>
      <c r="BD39" s="9">
        <v>0.966455686</v>
      </c>
      <c r="BE39" s="9">
        <v>0.968354</v>
      </c>
      <c r="BF39" s="9">
        <v>0.971519</v>
      </c>
      <c r="BG39" s="9">
        <v>0.982911</v>
      </c>
      <c r="BH39" s="9">
        <v>0.987342</v>
      </c>
      <c r="BI39" s="9">
        <v>0.996835</v>
      </c>
      <c r="BJ39" s="9">
        <v>0.982278</v>
      </c>
      <c r="BK39" s="9">
        <v>0.987342</v>
      </c>
      <c r="BL39" s="9">
        <v>0.993671</v>
      </c>
      <c r="BM39" s="9">
        <v>0.967089</v>
      </c>
      <c r="BN39" s="9">
        <v>0.968354</v>
      </c>
      <c r="BO39" s="9">
        <v>0.977848</v>
      </c>
      <c r="BP39" s="9">
        <v>0.961392</v>
      </c>
      <c r="BQ39" s="9">
        <v>0.96519</v>
      </c>
      <c r="BR39" s="9">
        <v>0.974684</v>
      </c>
      <c r="BS39" s="9">
        <v>0.525316</v>
      </c>
      <c r="BT39" s="9">
        <v>0.525316</v>
      </c>
      <c r="BU39" s="9">
        <v>0.525316</v>
      </c>
      <c r="BV39" s="6"/>
      <c r="BW39" s="6" t="str">
        <f t="shared" si="1"/>
        <v>HIVE-COTE v1,0</v>
      </c>
      <c r="BX39" s="6" t="str">
        <f t="shared" si="2"/>
        <v>HIVE-COTE v1,0</v>
      </c>
      <c r="BY39" s="6" t="str">
        <f t="shared" si="3"/>
        <v>BOSS</v>
      </c>
      <c r="BZ39" s="6"/>
      <c r="CA39" s="11" t="str">
        <f t="shared" si="4"/>
        <v>#VALUE!</v>
      </c>
      <c r="CC39" s="6"/>
      <c r="CD39" s="6"/>
      <c r="CE39" s="6"/>
    </row>
    <row r="40" ht="15.75" customHeight="1">
      <c r="A40" s="1" t="s">
        <v>134</v>
      </c>
      <c r="B40" s="7" t="s">
        <v>211</v>
      </c>
      <c r="C40" s="16">
        <v>1.0</v>
      </c>
      <c r="D40" s="16">
        <v>1.0</v>
      </c>
      <c r="E40" s="16">
        <v>0.989629629629629</v>
      </c>
      <c r="F40" s="16">
        <v>1.0</v>
      </c>
      <c r="G40" s="16">
        <v>0.978306878306878</v>
      </c>
      <c r="H40" s="16">
        <v>1.0</v>
      </c>
      <c r="I40" s="16">
        <v>1.0</v>
      </c>
      <c r="J40" s="16">
        <v>0.986031746031746</v>
      </c>
      <c r="K40" s="16">
        <v>0.999153439153439</v>
      </c>
      <c r="L40" s="16">
        <v>0.999153439153439</v>
      </c>
      <c r="M40" s="16">
        <v>0.999153439153439</v>
      </c>
      <c r="N40" s="16">
        <v>0.999788359788359</v>
      </c>
      <c r="O40" s="16">
        <v>1.0</v>
      </c>
      <c r="P40" s="16">
        <v>0.964232804232804</v>
      </c>
      <c r="Q40" s="9">
        <v>0.961905</v>
      </c>
      <c r="R40" s="9">
        <v>0.968254</v>
      </c>
      <c r="S40" s="9">
        <v>0.961905</v>
      </c>
      <c r="T40" s="9">
        <v>0.965079367</v>
      </c>
      <c r="U40" s="9">
        <v>0.965079367</v>
      </c>
      <c r="V40" s="9">
        <v>0.52381</v>
      </c>
      <c r="W40" s="9">
        <v>0.940317</v>
      </c>
      <c r="X40" s="9">
        <v>0.942857</v>
      </c>
      <c r="Y40" s="9">
        <v>0.942857</v>
      </c>
      <c r="Z40" s="9">
        <v>0.93650794</v>
      </c>
      <c r="AA40" s="9">
        <v>0.936508</v>
      </c>
      <c r="AB40" s="9">
        <v>0.942857</v>
      </c>
      <c r="AC40" s="9">
        <v>0.936508</v>
      </c>
      <c r="AD40" s="9">
        <v>0.936508</v>
      </c>
      <c r="AE40" s="9">
        <v>0.939683</v>
      </c>
      <c r="AF40" s="9">
        <v>0.939047623</v>
      </c>
      <c r="AG40" s="9">
        <v>0.936508</v>
      </c>
      <c r="AH40" s="9">
        <v>0.933333</v>
      </c>
      <c r="AI40" s="9">
        <v>0.934603</v>
      </c>
      <c r="AJ40" s="9">
        <v>0.936508</v>
      </c>
      <c r="AK40" s="9">
        <v>0.95873</v>
      </c>
      <c r="AL40" s="9">
        <v>0.931429</v>
      </c>
      <c r="AM40" s="9">
        <v>0.933333</v>
      </c>
      <c r="AN40" s="9">
        <v>0.942857</v>
      </c>
      <c r="AO40" s="9">
        <v>0.951746035</v>
      </c>
      <c r="AP40" s="9">
        <v>0.949206</v>
      </c>
      <c r="AQ40" s="9">
        <v>0.952381</v>
      </c>
      <c r="AR40" s="9">
        <v>0.951746035</v>
      </c>
      <c r="AS40" s="9">
        <v>0.952381</v>
      </c>
      <c r="AT40" s="9">
        <v>0.949206</v>
      </c>
      <c r="AU40" s="9">
        <v>0.912381</v>
      </c>
      <c r="AV40" s="9">
        <v>0.914286</v>
      </c>
      <c r="AW40" s="9">
        <v>0.911111</v>
      </c>
      <c r="AX40" s="9">
        <v>0.914921</v>
      </c>
      <c r="AY40" s="9">
        <v>0.91746</v>
      </c>
      <c r="AZ40" s="9">
        <v>0.914286</v>
      </c>
      <c r="BA40" s="9">
        <v>0.953651</v>
      </c>
      <c r="BB40" s="9">
        <v>0.95873</v>
      </c>
      <c r="BC40" s="9">
        <v>0.946032</v>
      </c>
      <c r="BD40" s="9">
        <v>0.947936511</v>
      </c>
      <c r="BE40" s="9">
        <v>0.946032</v>
      </c>
      <c r="BF40" s="9">
        <v>0.955556</v>
      </c>
      <c r="BG40" s="9">
        <v>0.905397</v>
      </c>
      <c r="BH40" s="9">
        <v>0.91746</v>
      </c>
      <c r="BI40" s="9">
        <v>0.91746</v>
      </c>
      <c r="BJ40" s="9">
        <v>0.909206</v>
      </c>
      <c r="BK40" s="9">
        <v>0.911111</v>
      </c>
      <c r="BL40" s="9">
        <v>0.920635</v>
      </c>
      <c r="BM40" s="9">
        <v>0.945397</v>
      </c>
      <c r="BN40" s="9">
        <v>0.946032</v>
      </c>
      <c r="BO40" s="9">
        <v>0.952381</v>
      </c>
      <c r="BP40" s="9">
        <v>0.913016</v>
      </c>
      <c r="BQ40" s="9">
        <v>0.91746</v>
      </c>
      <c r="BR40" s="9">
        <v>0.911111</v>
      </c>
      <c r="BS40" s="9">
        <v>0.614603</v>
      </c>
      <c r="BT40" s="9">
        <v>0.52381</v>
      </c>
      <c r="BU40" s="9">
        <v>0.990476</v>
      </c>
      <c r="BV40" s="6"/>
      <c r="BW40" s="6" t="str">
        <f t="shared" si="1"/>
        <v>TS-CHIEF</v>
      </c>
      <c r="BX40" s="6" t="str">
        <f t="shared" si="2"/>
        <v>TS-CHIEF</v>
      </c>
      <c r="BY40" s="6" t="str">
        <f t="shared" si="3"/>
        <v>TS-CHIEF</v>
      </c>
      <c r="BZ40" s="6"/>
      <c r="CA40" s="11" t="str">
        <f t="shared" si="4"/>
        <v>#VALUE!</v>
      </c>
      <c r="CC40" s="6"/>
      <c r="CD40" s="6"/>
      <c r="CE40" s="6"/>
    </row>
    <row r="41" ht="15.75" customHeight="1">
      <c r="A41" s="1" t="s">
        <v>135</v>
      </c>
      <c r="B41" s="7" t="s">
        <v>211</v>
      </c>
      <c r="C41" s="16">
        <v>0.805079365079365</v>
      </c>
      <c r="D41" s="16">
        <v>0.84</v>
      </c>
      <c r="E41" s="16">
        <v>0.855238095238095</v>
      </c>
      <c r="F41" s="16">
        <v>0.85047619047619</v>
      </c>
      <c r="G41" s="16">
        <v>0.810793650793651</v>
      </c>
      <c r="H41" s="16">
        <v>0.807301587301587</v>
      </c>
      <c r="I41" s="16">
        <v>0.783492063492063</v>
      </c>
      <c r="J41" s="16">
        <v>0.821269841269841</v>
      </c>
      <c r="K41" s="16">
        <v>0.834920634920635</v>
      </c>
      <c r="L41" s="16">
        <v>0.811428571428571</v>
      </c>
      <c r="M41" s="16">
        <v>0.837460317460317</v>
      </c>
      <c r="N41" s="16">
        <v>0.81968253968254</v>
      </c>
      <c r="O41" s="16">
        <v>0.799365079365079</v>
      </c>
      <c r="P41" s="16">
        <v>0.693968253968254</v>
      </c>
      <c r="Q41" s="9">
        <v>0.548571</v>
      </c>
      <c r="R41" s="9">
        <v>0.542857</v>
      </c>
      <c r="S41" s="9">
        <v>0.504762</v>
      </c>
      <c r="T41" s="9">
        <v>0.466666675</v>
      </c>
      <c r="U41" s="9">
        <v>0.45714286</v>
      </c>
      <c r="V41" s="9">
        <v>0.52381</v>
      </c>
      <c r="W41" s="9">
        <v>0.502857</v>
      </c>
      <c r="X41" s="9">
        <v>0.514286</v>
      </c>
      <c r="Y41" s="9">
        <v>0.52381</v>
      </c>
      <c r="Z41" s="9">
        <v>0.500952393</v>
      </c>
      <c r="AA41" s="9">
        <v>0.495238</v>
      </c>
      <c r="AB41" s="9">
        <v>0.495238</v>
      </c>
      <c r="AC41" s="9">
        <v>0.550476</v>
      </c>
      <c r="AD41" s="9">
        <v>0.561905</v>
      </c>
      <c r="AE41" s="9">
        <v>0.552381</v>
      </c>
      <c r="AF41" s="9">
        <v>0.529523832</v>
      </c>
      <c r="AG41" s="9">
        <v>0.533333</v>
      </c>
      <c r="AH41" s="9">
        <v>0.542857</v>
      </c>
      <c r="AI41" s="9">
        <v>0.546667</v>
      </c>
      <c r="AJ41" s="9">
        <v>0.561905</v>
      </c>
      <c r="AK41" s="9">
        <v>0.561905</v>
      </c>
      <c r="AL41" s="9">
        <v>0.558095</v>
      </c>
      <c r="AM41" s="9">
        <v>0.561905</v>
      </c>
      <c r="AN41" s="9">
        <v>0.52381</v>
      </c>
      <c r="AO41" s="9">
        <v>0.580952406</v>
      </c>
      <c r="AP41" s="9">
        <v>0.571429</v>
      </c>
      <c r="AQ41" s="9">
        <v>0.552381</v>
      </c>
      <c r="AR41" s="9">
        <v>0.567619073</v>
      </c>
      <c r="AS41" s="9">
        <v>0.571429</v>
      </c>
      <c r="AT41" s="9">
        <v>0.571429</v>
      </c>
      <c r="AU41" s="9">
        <v>0.622857</v>
      </c>
      <c r="AV41" s="9">
        <v>0.628571</v>
      </c>
      <c r="AW41" s="9">
        <v>0.6</v>
      </c>
      <c r="AX41" s="9">
        <v>0.624762</v>
      </c>
      <c r="AY41" s="9">
        <v>0.647619</v>
      </c>
      <c r="AZ41" s="9">
        <v>0.628571</v>
      </c>
      <c r="BA41" s="9">
        <v>0.552381</v>
      </c>
      <c r="BB41" s="9">
        <v>0.552381</v>
      </c>
      <c r="BC41" s="9">
        <v>0.590476</v>
      </c>
      <c r="BD41" s="9">
        <v>0.556190503</v>
      </c>
      <c r="BE41" s="9">
        <v>0.561905</v>
      </c>
      <c r="BF41" s="9">
        <v>0.542857</v>
      </c>
      <c r="BG41" s="9">
        <v>0.598095</v>
      </c>
      <c r="BH41" s="9">
        <v>0.609524</v>
      </c>
      <c r="BI41" s="9">
        <v>0.638095</v>
      </c>
      <c r="BJ41" s="9">
        <v>0.624762</v>
      </c>
      <c r="BK41" s="9">
        <v>0.628571</v>
      </c>
      <c r="BL41" s="9">
        <v>0.619048</v>
      </c>
      <c r="BM41" s="9">
        <v>0.626667</v>
      </c>
      <c r="BN41" s="9">
        <v>0.619048</v>
      </c>
      <c r="BO41" s="9">
        <v>0.609524</v>
      </c>
      <c r="BP41" s="9">
        <v>0.605714</v>
      </c>
      <c r="BQ41" s="9">
        <v>0.609524</v>
      </c>
      <c r="BR41" s="9">
        <v>0.6</v>
      </c>
      <c r="BS41" s="9">
        <v>0.754286</v>
      </c>
      <c r="BT41" s="9">
        <v>0.761905</v>
      </c>
      <c r="BU41" s="9">
        <v>0.714286</v>
      </c>
      <c r="BV41" s="6"/>
      <c r="BW41" s="6" t="str">
        <f t="shared" si="1"/>
        <v>ROCKET</v>
      </c>
      <c r="BX41" s="6" t="str">
        <f t="shared" si="2"/>
        <v>InceptionTime</v>
      </c>
      <c r="BY41" s="6" t="str">
        <f t="shared" si="3"/>
        <v>HIVE-COTE v1,0</v>
      </c>
      <c r="BZ41" s="6"/>
      <c r="CA41" s="11" t="str">
        <f t="shared" si="4"/>
        <v>#VALUE!</v>
      </c>
      <c r="CC41" s="6"/>
      <c r="CD41" s="6"/>
      <c r="CE41" s="6"/>
    </row>
    <row r="42" ht="15.75" customHeight="1">
      <c r="A42" s="1" t="s">
        <v>136</v>
      </c>
      <c r="B42" s="7" t="s">
        <v>211</v>
      </c>
      <c r="C42" s="16">
        <v>0.523268398268398</v>
      </c>
      <c r="D42" s="16">
        <v>0.539393939393939</v>
      </c>
      <c r="E42" s="16">
        <v>0.534199134199134</v>
      </c>
      <c r="F42" s="16">
        <v>0.537012987012987</v>
      </c>
      <c r="G42" s="16">
        <v>0.541666666666666</v>
      </c>
      <c r="H42" s="16">
        <v>0.496536796536796</v>
      </c>
      <c r="I42" s="16">
        <v>0.458333333333333</v>
      </c>
      <c r="J42" s="16">
        <v>0.449242424242424</v>
      </c>
      <c r="K42" s="16">
        <v>0.492207792207792</v>
      </c>
      <c r="L42" s="16">
        <v>0.480194805194805</v>
      </c>
      <c r="M42" s="16">
        <v>0.467424242424242</v>
      </c>
      <c r="N42" s="16">
        <v>0.478787878787878</v>
      </c>
      <c r="O42" s="16">
        <v>0.465584415584415</v>
      </c>
      <c r="P42" s="16">
        <v>0.458658008658008</v>
      </c>
      <c r="Q42" s="9">
        <v>0.385065</v>
      </c>
      <c r="R42" s="9">
        <v>0.38961</v>
      </c>
      <c r="S42" s="9">
        <v>0.37013</v>
      </c>
      <c r="T42" s="9">
        <v>0.342207795</v>
      </c>
      <c r="U42" s="9">
        <v>0.344155848</v>
      </c>
      <c r="V42" s="9">
        <v>0.191558</v>
      </c>
      <c r="W42" s="9">
        <v>0.362338</v>
      </c>
      <c r="X42" s="9">
        <v>0.357143</v>
      </c>
      <c r="Y42" s="9">
        <v>0.409091</v>
      </c>
      <c r="Z42" s="9">
        <v>0.348701298</v>
      </c>
      <c r="AA42" s="9">
        <v>0.337662</v>
      </c>
      <c r="AB42" s="9">
        <v>0.246753</v>
      </c>
      <c r="AC42" s="9">
        <v>0.401948</v>
      </c>
      <c r="AD42" s="9">
        <v>0.399351</v>
      </c>
      <c r="AE42" s="9">
        <v>0.418831</v>
      </c>
      <c r="AF42" s="9">
        <v>0.411038959</v>
      </c>
      <c r="AG42" s="9">
        <v>0.409091</v>
      </c>
      <c r="AH42" s="9">
        <v>0.405844</v>
      </c>
      <c r="AI42" s="9">
        <v>0.414286</v>
      </c>
      <c r="AJ42" s="9">
        <v>0.405844</v>
      </c>
      <c r="AK42" s="9">
        <v>0.435065</v>
      </c>
      <c r="AL42" s="9">
        <v>0.382468</v>
      </c>
      <c r="AM42" s="9">
        <v>0.38961</v>
      </c>
      <c r="AN42" s="9">
        <v>0.425325</v>
      </c>
      <c r="AO42" s="9">
        <v>0.381818187</v>
      </c>
      <c r="AP42" s="9">
        <v>0.366883</v>
      </c>
      <c r="AQ42" s="9">
        <v>0.402597</v>
      </c>
      <c r="AR42" s="9">
        <v>0.382467532</v>
      </c>
      <c r="AS42" s="9">
        <v>0.418831</v>
      </c>
      <c r="AT42" s="9">
        <v>0.422078</v>
      </c>
      <c r="AU42" s="9">
        <v>0.365584</v>
      </c>
      <c r="AV42" s="9">
        <v>0.405844</v>
      </c>
      <c r="AW42" s="9">
        <v>0.461039</v>
      </c>
      <c r="AX42" s="9">
        <v>0.422727</v>
      </c>
      <c r="AY42" s="9">
        <v>0.422078</v>
      </c>
      <c r="AZ42" s="9">
        <v>0.399351</v>
      </c>
      <c r="BA42" s="9">
        <v>0.406494</v>
      </c>
      <c r="BB42" s="9">
        <v>0.431818</v>
      </c>
      <c r="BC42" s="9">
        <v>0.409091</v>
      </c>
      <c r="BD42" s="9">
        <v>0.41948052</v>
      </c>
      <c r="BE42" s="9">
        <v>0.422078</v>
      </c>
      <c r="BF42" s="9">
        <v>0.412338</v>
      </c>
      <c r="BG42" s="9">
        <v>0.390909</v>
      </c>
      <c r="BH42" s="9">
        <v>0.396104</v>
      </c>
      <c r="BI42" s="9">
        <v>0.467532</v>
      </c>
      <c r="BJ42" s="9">
        <v>0.387662</v>
      </c>
      <c r="BK42" s="9">
        <v>0.405844</v>
      </c>
      <c r="BL42" s="9">
        <v>0.337662</v>
      </c>
      <c r="BM42" s="9">
        <v>0.398701</v>
      </c>
      <c r="BN42" s="9">
        <v>0.409091</v>
      </c>
      <c r="BO42" s="9">
        <v>0.431818</v>
      </c>
      <c r="BP42" s="9">
        <v>0.423377</v>
      </c>
      <c r="BQ42" s="9">
        <v>0.454545</v>
      </c>
      <c r="BR42" s="9">
        <v>0.438312</v>
      </c>
      <c r="BS42" s="9">
        <v>0.423377</v>
      </c>
      <c r="BT42" s="9">
        <v>0.415584</v>
      </c>
      <c r="BU42" s="9">
        <v>0.461039</v>
      </c>
      <c r="BV42" s="6"/>
      <c r="BW42" s="6" t="str">
        <f t="shared" si="1"/>
        <v>STC</v>
      </c>
      <c r="BX42" s="6" t="str">
        <f t="shared" si="2"/>
        <v>HIVE-COTE v1,0</v>
      </c>
      <c r="BY42" s="6" t="str">
        <f t="shared" si="3"/>
        <v>InceptionTime</v>
      </c>
      <c r="BZ42" s="6"/>
      <c r="CA42" s="11" t="str">
        <f t="shared" si="4"/>
        <v>#VALUE!</v>
      </c>
      <c r="CC42" s="6"/>
      <c r="CD42" s="6"/>
      <c r="CE42" s="6"/>
    </row>
    <row r="43" ht="15.75" customHeight="1">
      <c r="A43" s="1" t="s">
        <v>137</v>
      </c>
      <c r="B43" s="7" t="s">
        <v>211</v>
      </c>
      <c r="C43" s="16">
        <v>0.597395833333333</v>
      </c>
      <c r="D43" s="16">
        <v>0.611979166666666</v>
      </c>
      <c r="E43" s="16">
        <v>0.625</v>
      </c>
      <c r="F43" s="16">
        <v>0.625</v>
      </c>
      <c r="G43" s="16">
        <v>0.6328125</v>
      </c>
      <c r="H43" s="16">
        <v>0.596875</v>
      </c>
      <c r="I43" s="16">
        <v>0.574479166666666</v>
      </c>
      <c r="J43" s="16">
        <v>0.602083333333333</v>
      </c>
      <c r="K43" s="16">
        <v>0.608333333333333</v>
      </c>
      <c r="L43" s="16">
        <v>0.574479166666666</v>
      </c>
      <c r="M43" s="16">
        <v>0.595833333333333</v>
      </c>
      <c r="N43" s="16">
        <v>0.5984375</v>
      </c>
      <c r="O43" s="16">
        <v>0.604166666666666</v>
      </c>
      <c r="P43" s="16">
        <v>0.555729166666666</v>
      </c>
      <c r="Q43" s="9">
        <v>0.553125</v>
      </c>
      <c r="R43" s="9">
        <v>0.5625</v>
      </c>
      <c r="S43" s="9">
        <v>0.5625</v>
      </c>
      <c r="T43" s="9">
        <v>0.565625</v>
      </c>
      <c r="U43" s="9">
        <v>0.59375</v>
      </c>
      <c r="V43" s="9">
        <v>0.59375</v>
      </c>
      <c r="W43" s="9">
        <v>0.525</v>
      </c>
      <c r="X43" s="9">
        <v>0.53125</v>
      </c>
      <c r="Y43" s="9">
        <v>0.484375</v>
      </c>
      <c r="Z43" s="9">
        <v>0.575</v>
      </c>
      <c r="AA43" s="9">
        <v>0.578125</v>
      </c>
      <c r="AB43" s="9">
        <v>0.578125</v>
      </c>
      <c r="AC43" s="9">
        <v>0.546875</v>
      </c>
      <c r="AD43" s="9">
        <v>0.546875</v>
      </c>
      <c r="AE43" s="9">
        <v>0.484375</v>
      </c>
      <c r="AF43" s="9">
        <v>0.5375</v>
      </c>
      <c r="AG43" s="9">
        <v>0.53125</v>
      </c>
      <c r="AH43" s="9">
        <v>0.4375</v>
      </c>
      <c r="AI43" s="9">
        <v>0.565625</v>
      </c>
      <c r="AJ43" s="9">
        <v>0.5625</v>
      </c>
      <c r="AK43" s="9">
        <v>0.5625</v>
      </c>
      <c r="AL43" s="9">
        <v>0.584375</v>
      </c>
      <c r="AM43" s="9">
        <v>0.59375</v>
      </c>
      <c r="AN43" s="9">
        <v>0.484375</v>
      </c>
      <c r="AO43" s="9">
        <v>0.578125</v>
      </c>
      <c r="AP43" s="9">
        <v>0.578125</v>
      </c>
      <c r="AQ43" s="9">
        <v>0.578125</v>
      </c>
      <c r="AR43" s="9">
        <v>0.5875</v>
      </c>
      <c r="AS43" s="9">
        <v>0.59375</v>
      </c>
      <c r="AT43" s="9">
        <v>0.5625</v>
      </c>
      <c r="AU43" s="9">
        <v>0.603125</v>
      </c>
      <c r="AV43" s="9">
        <v>0.59375</v>
      </c>
      <c r="AW43" s="9">
        <v>0.5625</v>
      </c>
      <c r="AX43" s="9">
        <v>0.584375</v>
      </c>
      <c r="AY43" s="9">
        <v>0.59375</v>
      </c>
      <c r="AZ43" s="9">
        <v>0.609375</v>
      </c>
      <c r="BA43" s="9">
        <v>0.578125</v>
      </c>
      <c r="BB43" s="9">
        <v>0.59375</v>
      </c>
      <c r="BC43" s="9">
        <v>0.484375</v>
      </c>
      <c r="BD43" s="9">
        <v>0.559375</v>
      </c>
      <c r="BE43" s="9">
        <v>0.546875</v>
      </c>
      <c r="BF43" s="9">
        <v>0.484375</v>
      </c>
      <c r="BG43" s="9">
        <v>0.615625</v>
      </c>
      <c r="BH43" s="9">
        <v>0.609375</v>
      </c>
      <c r="BI43" s="9">
        <v>0.59375</v>
      </c>
      <c r="BJ43" s="9">
        <v>0.61875</v>
      </c>
      <c r="BK43" s="9">
        <v>0.609375</v>
      </c>
      <c r="BL43" s="9">
        <v>0.625</v>
      </c>
      <c r="BM43" s="9">
        <v>0.55625</v>
      </c>
      <c r="BN43" s="9">
        <v>0.59375</v>
      </c>
      <c r="BO43" s="9">
        <v>0.484375</v>
      </c>
      <c r="BP43" s="9">
        <v>0.565625</v>
      </c>
      <c r="BQ43" s="9">
        <v>0.59375</v>
      </c>
      <c r="BR43" s="9">
        <v>0.59375</v>
      </c>
      <c r="BS43" s="9">
        <v>0.55625</v>
      </c>
      <c r="BT43" s="9">
        <v>0.59375</v>
      </c>
      <c r="BU43" s="9">
        <v>0.59375</v>
      </c>
      <c r="BV43" s="6"/>
      <c r="BW43" s="6" t="str">
        <f t="shared" si="1"/>
        <v>STC</v>
      </c>
      <c r="BX43" s="6" t="str">
        <f t="shared" si="2"/>
        <v>ROCKET</v>
      </c>
      <c r="BY43" s="6" t="str">
        <f t="shared" si="3"/>
        <v>ROCKET</v>
      </c>
      <c r="BZ43" s="6"/>
      <c r="CA43" s="11" t="str">
        <f t="shared" si="4"/>
        <v>#VALUE!</v>
      </c>
      <c r="CC43" s="6"/>
      <c r="CD43" s="6"/>
      <c r="CE43" s="6"/>
    </row>
    <row r="44" ht="15.75" customHeight="1">
      <c r="A44" s="1" t="s">
        <v>138</v>
      </c>
      <c r="B44" s="7" t="s">
        <v>211</v>
      </c>
      <c r="C44" s="16">
        <v>0.970308123249299</v>
      </c>
      <c r="D44" s="16">
        <v>0.978711484593837</v>
      </c>
      <c r="E44" s="16">
        <v>0.962745098039215</v>
      </c>
      <c r="F44" s="16">
        <v>0.953221288515406</v>
      </c>
      <c r="G44" s="16">
        <v>0.975070028011204</v>
      </c>
      <c r="H44" s="16">
        <v>0.955462184873949</v>
      </c>
      <c r="I44" s="16">
        <v>0.936974789915966</v>
      </c>
      <c r="J44" s="16">
        <v>0.810644257703081</v>
      </c>
      <c r="K44" s="16">
        <v>0.9296918767507</v>
      </c>
      <c r="L44" s="16">
        <v>0.939775910364145</v>
      </c>
      <c r="M44" s="16">
        <v>0.956022408963585</v>
      </c>
      <c r="N44" s="16">
        <v>0.9296918767507</v>
      </c>
      <c r="O44" s="16">
        <v>0.83781512605042</v>
      </c>
      <c r="P44" s="16">
        <v>0.946218487394958</v>
      </c>
      <c r="Q44" s="9">
        <v>0.754622</v>
      </c>
      <c r="R44" s="9">
        <v>0.798319</v>
      </c>
      <c r="S44" s="9">
        <v>0.798319</v>
      </c>
      <c r="T44" s="9">
        <v>0.768067241</v>
      </c>
      <c r="U44" s="9">
        <v>0.773109257</v>
      </c>
      <c r="V44" s="9">
        <v>0.428571</v>
      </c>
      <c r="W44" s="9">
        <v>0.715966</v>
      </c>
      <c r="X44" s="9">
        <v>0.722689</v>
      </c>
      <c r="Y44" s="9">
        <v>0.731092</v>
      </c>
      <c r="Z44" s="9">
        <v>0.668907583</v>
      </c>
      <c r="AA44" s="9">
        <v>0.697479</v>
      </c>
      <c r="AB44" s="9">
        <v>0.773109</v>
      </c>
      <c r="AC44" s="9">
        <v>0.756303</v>
      </c>
      <c r="AD44" s="9">
        <v>0.806723</v>
      </c>
      <c r="AE44" s="9">
        <v>0.84874</v>
      </c>
      <c r="AF44" s="9">
        <v>0.806722701</v>
      </c>
      <c r="AG44" s="9">
        <v>0.831933</v>
      </c>
      <c r="AH44" s="9">
        <v>0.831933</v>
      </c>
      <c r="AI44" s="9">
        <v>0.731092</v>
      </c>
      <c r="AJ44" s="9">
        <v>0.731092</v>
      </c>
      <c r="AK44" s="9">
        <v>0.747899</v>
      </c>
      <c r="AL44" s="9">
        <v>0.752941</v>
      </c>
      <c r="AM44" s="9">
        <v>0.756303</v>
      </c>
      <c r="AN44" s="9">
        <v>0.756303</v>
      </c>
      <c r="AO44" s="9">
        <v>0.831932783</v>
      </c>
      <c r="AP44" s="9">
        <v>0.831933</v>
      </c>
      <c r="AQ44" s="9">
        <v>0.84874</v>
      </c>
      <c r="AR44" s="9">
        <v>0.831932783</v>
      </c>
      <c r="AS44" s="9">
        <v>0.840336</v>
      </c>
      <c r="AT44" s="9">
        <v>0.865546</v>
      </c>
      <c r="AU44" s="9">
        <v>0.660504</v>
      </c>
      <c r="AV44" s="9">
        <v>0.689076</v>
      </c>
      <c r="AW44" s="9">
        <v>0.697479</v>
      </c>
      <c r="AX44" s="9">
        <v>0.712605</v>
      </c>
      <c r="AY44" s="9">
        <v>0.714286</v>
      </c>
      <c r="AZ44" s="9">
        <v>0.731092</v>
      </c>
      <c r="BA44" s="9">
        <v>0.87563</v>
      </c>
      <c r="BB44" s="9">
        <v>0.865546</v>
      </c>
      <c r="BC44" s="9">
        <v>0.89916</v>
      </c>
      <c r="BD44" s="9">
        <v>0.853781521</v>
      </c>
      <c r="BE44" s="9">
        <v>0.857143</v>
      </c>
      <c r="BF44" s="9">
        <v>0.890756</v>
      </c>
      <c r="BG44" s="9">
        <v>0.710924</v>
      </c>
      <c r="BH44" s="9">
        <v>0.705882</v>
      </c>
      <c r="BI44" s="9">
        <v>0.705882</v>
      </c>
      <c r="BJ44" s="9">
        <v>0.769748</v>
      </c>
      <c r="BK44" s="9">
        <v>0.773109</v>
      </c>
      <c r="BL44" s="9">
        <v>0.781513</v>
      </c>
      <c r="BM44" s="9">
        <v>0.862185</v>
      </c>
      <c r="BN44" s="9">
        <v>0.865546</v>
      </c>
      <c r="BO44" s="9">
        <v>0.882353</v>
      </c>
      <c r="BP44" s="9">
        <v>0.773109</v>
      </c>
      <c r="BQ44" s="9">
        <v>0.773109</v>
      </c>
      <c r="BR44" s="9">
        <v>0.781513</v>
      </c>
      <c r="BS44" s="9">
        <v>0.463866</v>
      </c>
      <c r="BT44" s="9">
        <v>0.420168</v>
      </c>
      <c r="BU44" s="9">
        <v>0.579832</v>
      </c>
      <c r="BV44" s="6"/>
      <c r="BW44" s="6" t="str">
        <f t="shared" si="1"/>
        <v>HIVE-COTE v1,0</v>
      </c>
      <c r="BX44" s="6" t="str">
        <f t="shared" si="2"/>
        <v>STC</v>
      </c>
      <c r="BY44" s="6" t="str">
        <f t="shared" si="3"/>
        <v>TS-CHIEF</v>
      </c>
      <c r="BZ44" s="6"/>
      <c r="CA44" s="11" t="str">
        <f t="shared" si="4"/>
        <v>#VALUE!</v>
      </c>
      <c r="CC44" s="6"/>
      <c r="CD44" s="6"/>
      <c r="CE44" s="6"/>
    </row>
    <row r="45" ht="15.75" customHeight="1">
      <c r="A45" s="1" t="s">
        <v>139</v>
      </c>
      <c r="B45" s="7" t="s">
        <v>211</v>
      </c>
      <c r="C45" s="16">
        <v>0.571878787878787</v>
      </c>
      <c r="D45" s="16">
        <v>0.515151515151515</v>
      </c>
      <c r="E45" s="16">
        <v>0.437939393939393</v>
      </c>
      <c r="F45" s="16">
        <v>0.534424242424242</v>
      </c>
      <c r="G45" s="16">
        <v>0.439272727272727</v>
      </c>
      <c r="H45" s="16">
        <v>0.410121212121212</v>
      </c>
      <c r="I45" s="16">
        <v>0.561030303030303</v>
      </c>
      <c r="J45" s="16">
        <v>0.67460606060606</v>
      </c>
      <c r="K45" s="16">
        <v>0.514242424242424</v>
      </c>
      <c r="L45" s="16">
        <v>0.503454545454545</v>
      </c>
      <c r="M45" s="16">
        <v>0.505636363636363</v>
      </c>
      <c r="N45" s="16">
        <v>0.390424242424242</v>
      </c>
      <c r="O45" s="16">
        <v>0.372787878787878</v>
      </c>
      <c r="P45" s="16">
        <v>0.472363636363636</v>
      </c>
      <c r="Q45" s="9">
        <v>0.289818</v>
      </c>
      <c r="R45" s="9">
        <v>0.303636</v>
      </c>
      <c r="S45" s="9">
        <v>0.325455</v>
      </c>
      <c r="T45" s="9">
        <v>0.272727275</v>
      </c>
      <c r="U45" s="9">
        <v>0.298181832</v>
      </c>
      <c r="V45" s="9">
        <v>0.183636</v>
      </c>
      <c r="W45" s="9">
        <v>0.251636</v>
      </c>
      <c r="X45" s="9">
        <v>0.247273</v>
      </c>
      <c r="Y45" s="9">
        <v>0.261818</v>
      </c>
      <c r="Z45" s="9">
        <v>0.259272721</v>
      </c>
      <c r="AA45" s="9">
        <v>0.287273</v>
      </c>
      <c r="AB45" s="9">
        <v>0.321818</v>
      </c>
      <c r="AC45" s="9">
        <v>0.294545</v>
      </c>
      <c r="AD45" s="9">
        <v>0.289091</v>
      </c>
      <c r="AE45" s="9">
        <v>0.321818</v>
      </c>
      <c r="AF45" s="9">
        <v>0.282545456</v>
      </c>
      <c r="AG45" s="9">
        <v>0.289091</v>
      </c>
      <c r="AH45" s="9">
        <v>0.318182</v>
      </c>
      <c r="AI45" s="9">
        <v>0.199636</v>
      </c>
      <c r="AJ45" s="9">
        <v>0.203636</v>
      </c>
      <c r="AK45" s="9">
        <v>0.24</v>
      </c>
      <c r="AL45" s="9">
        <v>0.228</v>
      </c>
      <c r="AM45" s="9">
        <v>0.223636</v>
      </c>
      <c r="AN45" s="9">
        <v>0.3</v>
      </c>
      <c r="AO45" s="9">
        <v>0.275636357</v>
      </c>
      <c r="AP45" s="9">
        <v>0.283636</v>
      </c>
      <c r="AQ45" s="9">
        <v>0.272727</v>
      </c>
      <c r="AR45" s="9">
        <v>0.260000002</v>
      </c>
      <c r="AS45" s="9">
        <v>0.269091</v>
      </c>
      <c r="AT45" s="9">
        <v>0.272727</v>
      </c>
      <c r="AU45" s="9">
        <v>0.218909</v>
      </c>
      <c r="AV45" s="9">
        <v>0.210909</v>
      </c>
      <c r="AW45" s="9">
        <v>0.258182</v>
      </c>
      <c r="AX45" s="9">
        <v>0.225091</v>
      </c>
      <c r="AY45" s="9">
        <v>0.227273</v>
      </c>
      <c r="AZ45" s="9">
        <v>0.232727</v>
      </c>
      <c r="BA45" s="9">
        <v>0.263636</v>
      </c>
      <c r="BB45" s="9">
        <v>0.267273</v>
      </c>
      <c r="BC45" s="9">
        <v>0.327273</v>
      </c>
      <c r="BD45" s="9">
        <v>0.286909091</v>
      </c>
      <c r="BE45" s="9">
        <v>0.292727</v>
      </c>
      <c r="BF45" s="9">
        <v>0.3</v>
      </c>
      <c r="BG45" s="9">
        <v>0.258909</v>
      </c>
      <c r="BH45" s="9">
        <v>0.243636</v>
      </c>
      <c r="BI45" s="9">
        <v>0.249091</v>
      </c>
      <c r="BJ45" s="9">
        <v>0.240364</v>
      </c>
      <c r="BK45" s="9">
        <v>0.236364</v>
      </c>
      <c r="BL45" s="9">
        <v>0.263636</v>
      </c>
      <c r="BM45" s="9">
        <v>0.276727</v>
      </c>
      <c r="BN45" s="9">
        <v>0.290909</v>
      </c>
      <c r="BO45" s="9">
        <v>0.314545</v>
      </c>
      <c r="BP45" s="9">
        <v>0.243273</v>
      </c>
      <c r="BQ45" s="9">
        <v>0.243636</v>
      </c>
      <c r="BR45" s="9">
        <v>0.296364</v>
      </c>
      <c r="BS45" s="9">
        <v>0.182545</v>
      </c>
      <c r="BT45" s="9">
        <v>0.183636</v>
      </c>
      <c r="BU45" s="9">
        <v>0.187273</v>
      </c>
      <c r="BV45" s="6"/>
      <c r="BW45" s="6" t="str">
        <f t="shared" si="1"/>
        <v>WEASEL</v>
      </c>
      <c r="BX45" s="6" t="str">
        <f t="shared" si="2"/>
        <v>TS-CHIEF</v>
      </c>
      <c r="BY45" s="6" t="str">
        <f t="shared" si="3"/>
        <v>ProximityForest</v>
      </c>
      <c r="BZ45" s="6"/>
      <c r="CA45" s="11" t="str">
        <f t="shared" si="4"/>
        <v>#VALUE!</v>
      </c>
      <c r="CC45" s="6"/>
      <c r="CD45" s="6"/>
      <c r="CE45" s="6"/>
    </row>
    <row r="46" ht="15.75" customHeight="1">
      <c r="A46" s="1" t="s">
        <v>140</v>
      </c>
      <c r="B46" s="7" t="s">
        <v>211</v>
      </c>
      <c r="C46" s="16">
        <v>1.0</v>
      </c>
      <c r="D46" s="16">
        <v>1.0</v>
      </c>
      <c r="E46" s="16">
        <v>0.987014725568942</v>
      </c>
      <c r="F46" s="16">
        <v>1.0</v>
      </c>
      <c r="G46" s="16">
        <v>0.993440428380187</v>
      </c>
      <c r="H46" s="16">
        <v>1.0</v>
      </c>
      <c r="I46" s="16">
        <v>1.0</v>
      </c>
      <c r="J46" s="16">
        <v>0.971753681392235</v>
      </c>
      <c r="K46" s="16">
        <v>0.977376171352074</v>
      </c>
      <c r="L46" s="16">
        <v>1.0</v>
      </c>
      <c r="M46" s="16">
        <v>0.996787148594377</v>
      </c>
      <c r="N46" s="16">
        <v>0.992904953145916</v>
      </c>
      <c r="O46" s="16">
        <v>1.0</v>
      </c>
      <c r="P46" s="16">
        <v>0.928781793842035</v>
      </c>
      <c r="Q46" s="9">
        <v>0.798394</v>
      </c>
      <c r="R46" s="9">
        <v>0.803213</v>
      </c>
      <c r="S46" s="9">
        <v>0.823293</v>
      </c>
      <c r="T46" s="9">
        <v>0.798393583</v>
      </c>
      <c r="U46" s="9">
        <v>0.795180738</v>
      </c>
      <c r="V46" s="9">
        <v>0.473896</v>
      </c>
      <c r="W46" s="9">
        <v>0.791165</v>
      </c>
      <c r="X46" s="9">
        <v>0.787149</v>
      </c>
      <c r="Y46" s="9">
        <v>0.807229</v>
      </c>
      <c r="Z46" s="9">
        <v>0.804819298</v>
      </c>
      <c r="AA46" s="9">
        <v>0.803213</v>
      </c>
      <c r="AB46" s="9">
        <v>0.791165</v>
      </c>
      <c r="AC46" s="9">
        <v>0.803213</v>
      </c>
      <c r="AD46" s="9">
        <v>0.803213</v>
      </c>
      <c r="AE46" s="9">
        <v>0.815261</v>
      </c>
      <c r="AF46" s="9">
        <v>0.809638572</v>
      </c>
      <c r="AG46" s="9">
        <v>0.803213</v>
      </c>
      <c r="AH46" s="9">
        <v>0.839357</v>
      </c>
      <c r="AI46" s="9">
        <v>0.801606</v>
      </c>
      <c r="AJ46" s="9">
        <v>0.799197</v>
      </c>
      <c r="AK46" s="9">
        <v>0.823293</v>
      </c>
      <c r="AL46" s="9">
        <v>0.800803</v>
      </c>
      <c r="AM46" s="9">
        <v>0.795181</v>
      </c>
      <c r="AN46" s="9">
        <v>0.823293</v>
      </c>
      <c r="AO46" s="9">
        <v>0.803212857</v>
      </c>
      <c r="AP46" s="9">
        <v>0.799197</v>
      </c>
      <c r="AQ46" s="9">
        <v>0.819277</v>
      </c>
      <c r="AR46" s="9">
        <v>0.803212857</v>
      </c>
      <c r="AS46" s="9">
        <v>0.811245</v>
      </c>
      <c r="AT46" s="9">
        <v>0.807229</v>
      </c>
      <c r="AU46" s="9">
        <v>0.798394</v>
      </c>
      <c r="AV46" s="9">
        <v>0.799197</v>
      </c>
      <c r="AW46" s="9">
        <v>0.807229</v>
      </c>
      <c r="AX46" s="9">
        <v>0.798394</v>
      </c>
      <c r="AY46" s="9">
        <v>0.799197</v>
      </c>
      <c r="AZ46" s="9">
        <v>0.819277</v>
      </c>
      <c r="BA46" s="9">
        <v>0.804016</v>
      </c>
      <c r="BB46" s="9">
        <v>0.807229</v>
      </c>
      <c r="BC46" s="9">
        <v>0.827309</v>
      </c>
      <c r="BD46" s="9">
        <v>0.811244988</v>
      </c>
      <c r="BE46" s="9">
        <v>0.807229</v>
      </c>
      <c r="BF46" s="9">
        <v>0.827309</v>
      </c>
      <c r="BG46" s="9">
        <v>0.808835</v>
      </c>
      <c r="BH46" s="9">
        <v>0.811245</v>
      </c>
      <c r="BI46" s="9">
        <v>0.815261</v>
      </c>
      <c r="BJ46" s="9">
        <v>0.812048</v>
      </c>
      <c r="BK46" s="9">
        <v>0.811245</v>
      </c>
      <c r="BL46" s="9">
        <v>0.811245</v>
      </c>
      <c r="BM46" s="9">
        <v>0.810442</v>
      </c>
      <c r="BN46" s="9">
        <v>0.815261</v>
      </c>
      <c r="BO46" s="9">
        <v>0.819277</v>
      </c>
      <c r="BP46" s="9">
        <v>0.8249</v>
      </c>
      <c r="BQ46" s="9">
        <v>0.839357</v>
      </c>
      <c r="BR46" s="9">
        <v>0.843373</v>
      </c>
      <c r="BS46" s="9">
        <v>1.0</v>
      </c>
      <c r="BT46" s="9">
        <v>1.0</v>
      </c>
      <c r="BU46" s="9">
        <v>1.0</v>
      </c>
      <c r="BV46" s="6"/>
      <c r="BW46" s="6" t="str">
        <f t="shared" si="1"/>
        <v>TS-CHIEF</v>
      </c>
      <c r="BX46" s="6" t="str">
        <f t="shared" si="2"/>
        <v>TS-CHIEF</v>
      </c>
      <c r="BY46" s="6" t="str">
        <f t="shared" si="3"/>
        <v>TS-CHIEF</v>
      </c>
      <c r="BZ46" s="6"/>
      <c r="CA46" s="11" t="str">
        <f t="shared" si="4"/>
        <v>#VALUE!</v>
      </c>
      <c r="CC46" s="6"/>
      <c r="CD46" s="6"/>
      <c r="CE46" s="6"/>
    </row>
    <row r="47" ht="15.75" customHeight="1">
      <c r="A47" s="1" t="s">
        <v>141</v>
      </c>
      <c r="B47" s="7" t="s">
        <v>211</v>
      </c>
      <c r="C47" s="16">
        <v>1.0</v>
      </c>
      <c r="D47" s="16">
        <v>1.0</v>
      </c>
      <c r="E47" s="16">
        <v>0.934270414993306</v>
      </c>
      <c r="F47" s="16">
        <v>1.0</v>
      </c>
      <c r="G47" s="16">
        <v>0.88768406961178</v>
      </c>
      <c r="H47" s="16">
        <v>0.396251673360107</v>
      </c>
      <c r="I47" s="16">
        <v>1.0</v>
      </c>
      <c r="J47" s="16">
        <v>0.90669344042838</v>
      </c>
      <c r="K47" s="16">
        <v>0.975502008032128</v>
      </c>
      <c r="L47" s="16">
        <v>0.990896921017402</v>
      </c>
      <c r="M47" s="16">
        <v>0.98487282463186</v>
      </c>
      <c r="N47" s="16">
        <v>0.972155287817938</v>
      </c>
      <c r="O47" s="16">
        <v>0.995850066934404</v>
      </c>
      <c r="P47" s="16">
        <v>0.837215528781794</v>
      </c>
      <c r="Q47" s="9">
        <v>0.646586</v>
      </c>
      <c r="R47" s="9">
        <v>0.73494</v>
      </c>
      <c r="S47" s="9">
        <v>0.807229</v>
      </c>
      <c r="T47" s="9">
        <v>0.578313255</v>
      </c>
      <c r="U47" s="9">
        <v>0.710843384</v>
      </c>
      <c r="V47" s="9">
        <v>0.35743</v>
      </c>
      <c r="W47" s="9">
        <v>0.669076</v>
      </c>
      <c r="X47" s="9">
        <v>0.751004</v>
      </c>
      <c r="Y47" s="9">
        <v>0.767068</v>
      </c>
      <c r="Z47" s="9">
        <v>0.704417664</v>
      </c>
      <c r="AA47" s="9">
        <v>0.75502</v>
      </c>
      <c r="AB47" s="9">
        <v>0.779116</v>
      </c>
      <c r="AC47" s="9">
        <v>0.734137</v>
      </c>
      <c r="AD47" s="9">
        <v>0.75502</v>
      </c>
      <c r="AE47" s="9">
        <v>0.803213</v>
      </c>
      <c r="AF47" s="9">
        <v>0.707630521</v>
      </c>
      <c r="AG47" s="9">
        <v>0.767068</v>
      </c>
      <c r="AH47" s="9">
        <v>0.795181</v>
      </c>
      <c r="AI47" s="9">
        <v>0.630522</v>
      </c>
      <c r="AJ47" s="9">
        <v>0.751004</v>
      </c>
      <c r="AK47" s="9">
        <v>0.787149</v>
      </c>
      <c r="AL47" s="9">
        <v>0.711647</v>
      </c>
      <c r="AM47" s="9">
        <v>0.767068</v>
      </c>
      <c r="AN47" s="9">
        <v>0.783133</v>
      </c>
      <c r="AO47" s="9">
        <v>0.70441767</v>
      </c>
      <c r="AP47" s="9">
        <v>0.759036</v>
      </c>
      <c r="AQ47" s="9">
        <v>0.795181</v>
      </c>
      <c r="AR47" s="9">
        <v>0.716465861</v>
      </c>
      <c r="AS47" s="9">
        <v>0.767068</v>
      </c>
      <c r="AT47" s="9">
        <v>0.799197</v>
      </c>
      <c r="AU47" s="9">
        <v>0.71004</v>
      </c>
      <c r="AV47" s="9">
        <v>0.75502</v>
      </c>
      <c r="AW47" s="9">
        <v>0.783133</v>
      </c>
      <c r="AX47" s="9">
        <v>0.731727</v>
      </c>
      <c r="AY47" s="9">
        <v>0.742972</v>
      </c>
      <c r="AZ47" s="9">
        <v>0.783133</v>
      </c>
      <c r="BA47" s="9">
        <v>0.735743</v>
      </c>
      <c r="BB47" s="9">
        <v>0.7751</v>
      </c>
      <c r="BC47" s="9">
        <v>0.803213</v>
      </c>
      <c r="BD47" s="9">
        <v>0.657028115</v>
      </c>
      <c r="BE47" s="9">
        <v>0.759036</v>
      </c>
      <c r="BF47" s="9">
        <v>0.795181</v>
      </c>
      <c r="BG47" s="9">
        <v>0.743775</v>
      </c>
      <c r="BH47" s="9">
        <v>0.73494</v>
      </c>
      <c r="BI47" s="9">
        <v>0.759036</v>
      </c>
      <c r="BJ47" s="9">
        <v>0.698795</v>
      </c>
      <c r="BK47" s="9">
        <v>0.73494</v>
      </c>
      <c r="BL47" s="9">
        <v>0.7751</v>
      </c>
      <c r="BM47" s="9">
        <v>0.553414</v>
      </c>
      <c r="BN47" s="9">
        <v>0.481928</v>
      </c>
      <c r="BO47" s="9">
        <v>0.795181</v>
      </c>
      <c r="BP47" s="9">
        <v>0.707631</v>
      </c>
      <c r="BQ47" s="9">
        <v>0.759036</v>
      </c>
      <c r="BR47" s="9">
        <v>0.783133</v>
      </c>
      <c r="BS47" s="9">
        <v>1.0</v>
      </c>
      <c r="BT47" s="9">
        <v>1.0</v>
      </c>
      <c r="BU47" s="9">
        <v>1.0</v>
      </c>
      <c r="BV47" s="6"/>
      <c r="BW47" s="6" t="str">
        <f t="shared" si="1"/>
        <v>TS-CHIEF</v>
      </c>
      <c r="BX47" s="6" t="str">
        <f t="shared" si="2"/>
        <v>TS-CHIEF</v>
      </c>
      <c r="BY47" s="6" t="str">
        <f t="shared" si="3"/>
        <v>TS-CHIEF</v>
      </c>
      <c r="BZ47" s="6"/>
      <c r="CA47" s="11" t="str">
        <f t="shared" si="4"/>
        <v>#VALUE!</v>
      </c>
      <c r="CC47" s="6"/>
      <c r="CD47" s="6"/>
      <c r="CE47" s="6"/>
    </row>
    <row r="48" ht="15.75" customHeight="1">
      <c r="A48" s="1" t="s">
        <v>142</v>
      </c>
      <c r="B48" s="7" t="s">
        <v>211</v>
      </c>
      <c r="C48" s="16">
        <v>0.96242306446388</v>
      </c>
      <c r="D48" s="16">
        <v>0.958179462261095</v>
      </c>
      <c r="E48" s="16">
        <v>0.961613216715257</v>
      </c>
      <c r="F48" s="16">
        <v>0.960349854227405</v>
      </c>
      <c r="G48" s="16">
        <v>0.953806284418529</v>
      </c>
      <c r="H48" s="16">
        <v>0.957110463232912</v>
      </c>
      <c r="I48" s="16">
        <v>0.956009070294784</v>
      </c>
      <c r="J48" s="16">
        <v>0.946809199870424</v>
      </c>
      <c r="K48" s="16">
        <v>0.868351149983802</v>
      </c>
      <c r="L48" s="16">
        <v>0.926465824425008</v>
      </c>
      <c r="M48" s="16">
        <v>0.870877874959507</v>
      </c>
      <c r="N48" s="16">
        <v>0.944541626174279</v>
      </c>
      <c r="O48" s="16">
        <v>0.959475218658891</v>
      </c>
      <c r="P48" s="16">
        <v>0.877486232588273</v>
      </c>
      <c r="Q48" s="9">
        <v>0.922449</v>
      </c>
      <c r="R48" s="9">
        <v>0.921283</v>
      </c>
      <c r="S48" s="9">
        <v>0.924198</v>
      </c>
      <c r="T48" s="9">
        <v>0.917006791</v>
      </c>
      <c r="U48" s="9">
        <v>0.922254622</v>
      </c>
      <c r="V48" s="9">
        <v>0.498542</v>
      </c>
      <c r="W48" s="9">
        <v>0.844898</v>
      </c>
      <c r="X48" s="9">
        <v>0.83965</v>
      </c>
      <c r="Y48" s="9">
        <v>0.849368</v>
      </c>
      <c r="Z48" s="9">
        <v>0.83712343</v>
      </c>
      <c r="AA48" s="9">
        <v>0.836735</v>
      </c>
      <c r="AB48" s="9">
        <v>0.852284</v>
      </c>
      <c r="AC48" s="9">
        <v>0.911953</v>
      </c>
      <c r="AD48" s="9">
        <v>0.909621</v>
      </c>
      <c r="AE48" s="9">
        <v>0.923226</v>
      </c>
      <c r="AF48" s="9">
        <v>0.91292516</v>
      </c>
      <c r="AG48" s="9">
        <v>0.912536</v>
      </c>
      <c r="AH48" s="9">
        <v>0.924198</v>
      </c>
      <c r="AI48" s="9">
        <v>0.93275</v>
      </c>
      <c r="AJ48" s="9">
        <v>0.93586</v>
      </c>
      <c r="AK48" s="9">
        <v>0.940719</v>
      </c>
      <c r="AL48" s="9">
        <v>0.933916</v>
      </c>
      <c r="AM48" s="9">
        <v>0.936832</v>
      </c>
      <c r="AN48" s="9">
        <v>0.949466</v>
      </c>
      <c r="AO48" s="9">
        <v>0.922060251</v>
      </c>
      <c r="AP48" s="9">
        <v>0.922255</v>
      </c>
      <c r="AQ48" s="9">
        <v>0.924198</v>
      </c>
      <c r="AR48" s="9">
        <v>0.920894086</v>
      </c>
      <c r="AS48" s="9">
        <v>0.924198</v>
      </c>
      <c r="AT48" s="9">
        <v>0.926142</v>
      </c>
      <c r="AU48" s="9">
        <v>0.886103</v>
      </c>
      <c r="AV48" s="9">
        <v>0.886297</v>
      </c>
      <c r="AW48" s="9">
        <v>0.891156</v>
      </c>
      <c r="AX48" s="9">
        <v>0.899903</v>
      </c>
      <c r="AY48" s="9">
        <v>0.901846</v>
      </c>
      <c r="AZ48" s="9">
        <v>0.909621</v>
      </c>
      <c r="BA48" s="9">
        <v>0.921672</v>
      </c>
      <c r="BB48" s="9">
        <v>0.921283</v>
      </c>
      <c r="BC48" s="9">
        <v>0.931973</v>
      </c>
      <c r="BD48" s="9">
        <v>0.923615158</v>
      </c>
      <c r="BE48" s="9">
        <v>0.922255</v>
      </c>
      <c r="BF48" s="9">
        <v>0.927114</v>
      </c>
      <c r="BG48" s="9">
        <v>0.888241</v>
      </c>
      <c r="BH48" s="9">
        <v>0.8931</v>
      </c>
      <c r="BI48" s="9">
        <v>0.8931</v>
      </c>
      <c r="BJ48" s="9">
        <v>0.898542</v>
      </c>
      <c r="BK48" s="9">
        <v>0.896987</v>
      </c>
      <c r="BL48" s="9">
        <v>0.90379</v>
      </c>
      <c r="BM48" s="9">
        <v>0.879689</v>
      </c>
      <c r="BN48" s="9">
        <v>0.880466</v>
      </c>
      <c r="BO48" s="9">
        <v>0.889213</v>
      </c>
      <c r="BP48" s="9">
        <v>0.903401</v>
      </c>
      <c r="BQ48" s="9">
        <v>0.90379</v>
      </c>
      <c r="BR48" s="9">
        <v>0.918367</v>
      </c>
      <c r="BS48" s="9">
        <v>0.966375</v>
      </c>
      <c r="BT48" s="9">
        <v>0.970845</v>
      </c>
      <c r="BU48" s="9">
        <v>0.969874</v>
      </c>
      <c r="BV48" s="6"/>
      <c r="BW48" s="6" t="str">
        <f t="shared" si="1"/>
        <v>De_Fold_Median</v>
      </c>
      <c r="BX48" s="6" t="str">
        <f t="shared" si="2"/>
        <v>De_One_Acc</v>
      </c>
      <c r="BY48" s="6" t="str">
        <f t="shared" si="3"/>
        <v>De_Fold_Mean</v>
      </c>
      <c r="BZ48" s="6"/>
      <c r="CA48" s="11" t="str">
        <f t="shared" si="4"/>
        <v>#VALUE!</v>
      </c>
      <c r="CC48" s="6"/>
      <c r="CD48" s="6"/>
      <c r="CE48" s="6"/>
    </row>
    <row r="49" ht="15.75" customHeight="1">
      <c r="A49" s="1" t="s">
        <v>143</v>
      </c>
      <c r="B49" s="7" t="s">
        <v>211</v>
      </c>
      <c r="C49" s="16">
        <v>0.860177777777777</v>
      </c>
      <c r="D49" s="16">
        <v>0.920088888888889</v>
      </c>
      <c r="E49" s="16">
        <v>0.930044444444444</v>
      </c>
      <c r="F49" s="16">
        <v>0.952533333333333</v>
      </c>
      <c r="G49" s="16">
        <v>0.929866666666666</v>
      </c>
      <c r="H49" s="16">
        <v>0.953866666666666</v>
      </c>
      <c r="I49" s="16">
        <v>0.810133333333333</v>
      </c>
      <c r="J49" s="16">
        <v>0.792711111111111</v>
      </c>
      <c r="K49" s="16">
        <v>0.836977777777777</v>
      </c>
      <c r="L49" s="16">
        <v>0.836977777777777</v>
      </c>
      <c r="M49" s="16">
        <v>0.835822222222222</v>
      </c>
      <c r="N49" s="16">
        <v>0.735822222222222</v>
      </c>
      <c r="O49" s="16">
        <v>0.636266666666666</v>
      </c>
      <c r="P49" s="16">
        <v>0.88631111111111</v>
      </c>
      <c r="Q49" s="9">
        <v>0.645333</v>
      </c>
      <c r="R49" s="9">
        <v>0.674667</v>
      </c>
      <c r="S49" s="9">
        <v>0.709333</v>
      </c>
      <c r="T49" s="9">
        <v>0.47146666</v>
      </c>
      <c r="U49" s="9">
        <v>0.472000003</v>
      </c>
      <c r="V49" s="9">
        <v>0.333333</v>
      </c>
      <c r="W49" s="9">
        <v>0.5952</v>
      </c>
      <c r="X49" s="9">
        <v>0.6</v>
      </c>
      <c r="Y49" s="9">
        <v>0.592</v>
      </c>
      <c r="Z49" s="9">
        <v>0.593600011</v>
      </c>
      <c r="AA49" s="9">
        <v>0.6</v>
      </c>
      <c r="AB49" s="9">
        <v>0.6</v>
      </c>
      <c r="AC49" s="9">
        <v>0.6704</v>
      </c>
      <c r="AD49" s="9">
        <v>0.672</v>
      </c>
      <c r="AE49" s="9">
        <v>0.674667</v>
      </c>
      <c r="AF49" s="9">
        <v>0.658133328</v>
      </c>
      <c r="AG49" s="9">
        <v>0.664</v>
      </c>
      <c r="AH49" s="9">
        <v>0.677333</v>
      </c>
      <c r="AI49" s="9">
        <v>0.576533</v>
      </c>
      <c r="AJ49" s="9">
        <v>0.578667</v>
      </c>
      <c r="AK49" s="9">
        <v>0.592</v>
      </c>
      <c r="AL49" s="9">
        <v>0.5696</v>
      </c>
      <c r="AM49" s="9">
        <v>0.568</v>
      </c>
      <c r="AN49" s="9">
        <v>0.613333</v>
      </c>
      <c r="AO49" s="9">
        <v>0.648000002</v>
      </c>
      <c r="AP49" s="9">
        <v>0.642667</v>
      </c>
      <c r="AQ49" s="9">
        <v>0.650667</v>
      </c>
      <c r="AR49" s="9">
        <v>0.645866656</v>
      </c>
      <c r="AS49" s="9">
        <v>0.653333</v>
      </c>
      <c r="AT49" s="9">
        <v>0.666667</v>
      </c>
      <c r="AU49" s="9">
        <v>0.576533</v>
      </c>
      <c r="AV49" s="9">
        <v>0.576</v>
      </c>
      <c r="AW49" s="9">
        <v>0.616</v>
      </c>
      <c r="AX49" s="9">
        <v>0.580267</v>
      </c>
      <c r="AY49" s="9">
        <v>0.573333</v>
      </c>
      <c r="AZ49" s="9">
        <v>0.616</v>
      </c>
      <c r="BA49" s="9">
        <v>0.656533</v>
      </c>
      <c r="BB49" s="9">
        <v>0.648</v>
      </c>
      <c r="BC49" s="9">
        <v>0.685333</v>
      </c>
      <c r="BD49" s="9">
        <v>0.669866669</v>
      </c>
      <c r="BE49" s="9">
        <v>0.677333</v>
      </c>
      <c r="BF49" s="9">
        <v>0.685333</v>
      </c>
      <c r="BG49" s="9">
        <v>0.577067</v>
      </c>
      <c r="BH49" s="9">
        <v>0.578667</v>
      </c>
      <c r="BI49" s="9">
        <v>0.6</v>
      </c>
      <c r="BJ49" s="9">
        <v>0.5984</v>
      </c>
      <c r="BK49" s="9">
        <v>0.594667</v>
      </c>
      <c r="BL49" s="9">
        <v>0.637333</v>
      </c>
      <c r="BM49" s="9">
        <v>0.6368</v>
      </c>
      <c r="BN49" s="9">
        <v>0.634667</v>
      </c>
      <c r="BO49" s="9">
        <v>0.634667</v>
      </c>
      <c r="BP49" s="9">
        <v>0.602133</v>
      </c>
      <c r="BQ49" s="9">
        <v>0.597333</v>
      </c>
      <c r="BR49" s="9">
        <v>0.642667</v>
      </c>
      <c r="BS49" s="9">
        <v>0.503467</v>
      </c>
      <c r="BT49" s="9">
        <v>0.509333</v>
      </c>
      <c r="BU49" s="9">
        <v>0.522667</v>
      </c>
      <c r="BV49" s="6"/>
      <c r="BW49" s="6" t="str">
        <f t="shared" si="1"/>
        <v>ResNet</v>
      </c>
      <c r="BX49" s="6" t="str">
        <f t="shared" si="2"/>
        <v>InceptionTime</v>
      </c>
      <c r="BY49" s="6" t="str">
        <f t="shared" si="3"/>
        <v>ROCKET</v>
      </c>
      <c r="BZ49" s="6"/>
      <c r="CA49" s="11" t="str">
        <f t="shared" si="4"/>
        <v>#VALUE!</v>
      </c>
      <c r="CC49" s="6"/>
      <c r="CD49" s="6"/>
      <c r="CE49" s="6"/>
    </row>
    <row r="50" ht="15.75" customHeight="1">
      <c r="A50" s="1" t="s">
        <v>144</v>
      </c>
      <c r="B50" s="7" t="s">
        <v>211</v>
      </c>
      <c r="C50" s="16">
        <v>0.768852459016393</v>
      </c>
      <c r="D50" s="16">
        <v>0.773224043715847</v>
      </c>
      <c r="E50" s="16">
        <v>0.776502732240437</v>
      </c>
      <c r="F50" s="16">
        <v>0.816939890710382</v>
      </c>
      <c r="G50" s="16">
        <v>0.658469945355191</v>
      </c>
      <c r="H50" s="16">
        <v>0.800546448087431</v>
      </c>
      <c r="I50" s="16">
        <v>0.84863387978142</v>
      </c>
      <c r="J50" s="16">
        <v>0.627322404371584</v>
      </c>
      <c r="K50" s="16">
        <v>0.808196721311475</v>
      </c>
      <c r="L50" s="16">
        <v>0.797267759562841</v>
      </c>
      <c r="M50" s="16">
        <v>0.819125683060109</v>
      </c>
      <c r="N50" s="16">
        <v>0.681967213114754</v>
      </c>
      <c r="O50" s="16">
        <v>0.764480874316939</v>
      </c>
      <c r="P50" s="16">
        <v>0.744808743169398</v>
      </c>
      <c r="Q50" s="9">
        <v>0.540984</v>
      </c>
      <c r="R50" s="9">
        <v>0.540984</v>
      </c>
      <c r="S50" s="9">
        <v>0.540984</v>
      </c>
      <c r="T50" s="9">
        <v>0.540983617</v>
      </c>
      <c r="U50" s="9">
        <v>0.540983617</v>
      </c>
      <c r="V50" s="9">
        <v>0.540984</v>
      </c>
      <c r="W50" s="9">
        <v>0.540984</v>
      </c>
      <c r="X50" s="9">
        <v>0.540984</v>
      </c>
      <c r="Y50" s="9">
        <v>0.540984</v>
      </c>
      <c r="Z50" s="9">
        <v>0.540983617</v>
      </c>
      <c r="AA50" s="9">
        <v>0.540984</v>
      </c>
      <c r="AB50" s="9">
        <v>0.540984</v>
      </c>
      <c r="AC50" s="9">
        <v>0.540984</v>
      </c>
      <c r="AD50" s="9">
        <v>0.540984</v>
      </c>
      <c r="AE50" s="9">
        <v>0.540984</v>
      </c>
      <c r="AF50" s="9">
        <v>0.540983617</v>
      </c>
      <c r="AG50" s="9">
        <v>0.540984</v>
      </c>
      <c r="AH50" s="9">
        <v>0.540984</v>
      </c>
      <c r="AI50" s="9">
        <v>0.540984</v>
      </c>
      <c r="AJ50" s="9">
        <v>0.540984</v>
      </c>
      <c r="AK50" s="9">
        <v>0.540984</v>
      </c>
      <c r="AL50" s="9">
        <v>0.540984</v>
      </c>
      <c r="AM50" s="9">
        <v>0.540984</v>
      </c>
      <c r="AN50" s="9">
        <v>0.540984</v>
      </c>
      <c r="AO50" s="9">
        <v>0.540983617</v>
      </c>
      <c r="AP50" s="9">
        <v>0.540984</v>
      </c>
      <c r="AQ50" s="9">
        <v>0.540984</v>
      </c>
      <c r="AR50" s="9">
        <v>0.540983617</v>
      </c>
      <c r="AS50" s="9">
        <v>0.540984</v>
      </c>
      <c r="AT50" s="9">
        <v>0.540984</v>
      </c>
      <c r="AU50" s="9">
        <v>0.540984</v>
      </c>
      <c r="AV50" s="9">
        <v>0.540984</v>
      </c>
      <c r="AW50" s="9">
        <v>0.540984</v>
      </c>
      <c r="AX50" s="9">
        <v>0.540984</v>
      </c>
      <c r="AY50" s="9">
        <v>0.540984</v>
      </c>
      <c r="AZ50" s="9">
        <v>0.540984</v>
      </c>
      <c r="BA50" s="9">
        <v>0.540984</v>
      </c>
      <c r="BB50" s="9">
        <v>0.540984</v>
      </c>
      <c r="BC50" s="9">
        <v>0.540984</v>
      </c>
      <c r="BD50" s="9">
        <v>0.540983617</v>
      </c>
      <c r="BE50" s="9">
        <v>0.540984</v>
      </c>
      <c r="BF50" s="9">
        <v>0.540984</v>
      </c>
      <c r="BG50" s="9">
        <v>0.540984</v>
      </c>
      <c r="BH50" s="9">
        <v>0.540984</v>
      </c>
      <c r="BI50" s="9">
        <v>0.540984</v>
      </c>
      <c r="BJ50" s="9">
        <v>0.540984</v>
      </c>
      <c r="BK50" s="9">
        <v>0.540984</v>
      </c>
      <c r="BL50" s="9">
        <v>0.540984</v>
      </c>
      <c r="BM50" s="9">
        <v>0.540984</v>
      </c>
      <c r="BN50" s="9">
        <v>0.540984</v>
      </c>
      <c r="BO50" s="9">
        <v>0.540984</v>
      </c>
      <c r="BP50" s="9">
        <v>0.540984</v>
      </c>
      <c r="BQ50" s="9">
        <v>0.540984</v>
      </c>
      <c r="BR50" s="9">
        <v>0.540984</v>
      </c>
      <c r="BS50" s="9">
        <v>0.540984</v>
      </c>
      <c r="BT50" s="9">
        <v>0.540984</v>
      </c>
      <c r="BU50" s="9">
        <v>0.540984</v>
      </c>
      <c r="BV50" s="6"/>
      <c r="BW50" s="6" t="str">
        <f t="shared" si="1"/>
        <v>ProximityForest</v>
      </c>
      <c r="BX50" s="6" t="str">
        <f t="shared" si="2"/>
        <v>BOSS</v>
      </c>
      <c r="BY50" s="6" t="str">
        <f t="shared" si="3"/>
        <v>InceptionTime</v>
      </c>
      <c r="BZ50" s="6"/>
      <c r="CA50" s="11" t="str">
        <f t="shared" si="4"/>
        <v>#VALUE!</v>
      </c>
      <c r="CC50" s="6"/>
      <c r="CD50" s="6"/>
      <c r="CE50" s="6"/>
    </row>
    <row r="51" ht="15.75" customHeight="1">
      <c r="A51" s="1" t="s">
        <v>145</v>
      </c>
      <c r="B51" s="7" t="s">
        <v>211</v>
      </c>
      <c r="C51" s="16">
        <v>0.793607305936072</v>
      </c>
      <c r="D51" s="16">
        <v>0.757534246575342</v>
      </c>
      <c r="E51" s="16">
        <v>0.797716894977169</v>
      </c>
      <c r="F51" s="16">
        <v>0.820547945205479</v>
      </c>
      <c r="G51" s="16">
        <v>0.743378995433789</v>
      </c>
      <c r="H51" s="16">
        <v>0.810045662100456</v>
      </c>
      <c r="I51" s="16">
        <v>0.792237442922374</v>
      </c>
      <c r="J51" s="16">
        <v>0.712785388127854</v>
      </c>
      <c r="K51" s="16">
        <v>0.681278538812785</v>
      </c>
      <c r="L51" s="16">
        <v>0.720091324200913</v>
      </c>
      <c r="M51" s="16">
        <v>0.671232876712328</v>
      </c>
      <c r="N51" s="16">
        <v>0.697716894977168</v>
      </c>
      <c r="O51" s="16">
        <v>0.720547945205479</v>
      </c>
      <c r="P51" s="16">
        <v>0.646118721461187</v>
      </c>
      <c r="Q51" s="9">
        <v>0.578082</v>
      </c>
      <c r="R51" s="9">
        <v>0.575342</v>
      </c>
      <c r="S51" s="9">
        <v>0.60274</v>
      </c>
      <c r="T51" s="9">
        <v>0.542465734</v>
      </c>
      <c r="U51" s="9">
        <v>0.520547926</v>
      </c>
      <c r="V51" s="9">
        <v>0.260274</v>
      </c>
      <c r="W51" s="9">
        <v>0.589041</v>
      </c>
      <c r="X51" s="9">
        <v>0.60274</v>
      </c>
      <c r="Y51" s="9">
        <v>0.589041</v>
      </c>
      <c r="Z51" s="9">
        <v>0.580821931</v>
      </c>
      <c r="AA51" s="9">
        <v>0.589041</v>
      </c>
      <c r="AB51" s="9">
        <v>0.630137</v>
      </c>
      <c r="AC51" s="9">
        <v>0.578082</v>
      </c>
      <c r="AD51" s="9">
        <v>0.575342</v>
      </c>
      <c r="AE51" s="9">
        <v>0.630137</v>
      </c>
      <c r="AF51" s="9">
        <v>0.578082192</v>
      </c>
      <c r="AG51" s="9">
        <v>0.575342</v>
      </c>
      <c r="AH51" s="9">
        <v>0.643836</v>
      </c>
      <c r="AI51" s="9">
        <v>0.641096</v>
      </c>
      <c r="AJ51" s="9">
        <v>0.657534</v>
      </c>
      <c r="AK51" s="9">
        <v>0.69863</v>
      </c>
      <c r="AL51" s="9">
        <v>0.616438</v>
      </c>
      <c r="AM51" s="9">
        <v>0.643836</v>
      </c>
      <c r="AN51" s="9">
        <v>0.589041</v>
      </c>
      <c r="AO51" s="9">
        <v>0.586301374</v>
      </c>
      <c r="AP51" s="9">
        <v>0.575342</v>
      </c>
      <c r="AQ51" s="9">
        <v>0.589041</v>
      </c>
      <c r="AR51" s="9">
        <v>0.556164378</v>
      </c>
      <c r="AS51" s="9">
        <v>0.561644</v>
      </c>
      <c r="AT51" s="9">
        <v>0.60274</v>
      </c>
      <c r="AU51" s="9">
        <v>0.575342</v>
      </c>
      <c r="AV51" s="9">
        <v>0.589041</v>
      </c>
      <c r="AW51" s="9">
        <v>0.643836</v>
      </c>
      <c r="AX51" s="9">
        <v>0.586301</v>
      </c>
      <c r="AY51" s="9">
        <v>0.575342</v>
      </c>
      <c r="AZ51" s="9">
        <v>0.630137</v>
      </c>
      <c r="BA51" s="9">
        <v>0.591781</v>
      </c>
      <c r="BB51" s="9">
        <v>0.589041</v>
      </c>
      <c r="BC51" s="9">
        <v>0.630137</v>
      </c>
      <c r="BD51" s="9">
        <v>0.580821919</v>
      </c>
      <c r="BE51" s="9">
        <v>0.60274</v>
      </c>
      <c r="BF51" s="9">
        <v>0.589041</v>
      </c>
      <c r="BG51" s="9">
        <v>0.572603</v>
      </c>
      <c r="BH51" s="9">
        <v>0.561644</v>
      </c>
      <c r="BI51" s="9">
        <v>0.657534</v>
      </c>
      <c r="BJ51" s="9">
        <v>0.632877</v>
      </c>
      <c r="BK51" s="9">
        <v>0.630137</v>
      </c>
      <c r="BL51" s="9">
        <v>0.616438</v>
      </c>
      <c r="BM51" s="9">
        <v>0.589041</v>
      </c>
      <c r="BN51" s="9">
        <v>0.589041</v>
      </c>
      <c r="BO51" s="9">
        <v>0.589041</v>
      </c>
      <c r="BP51" s="9">
        <v>0.59726</v>
      </c>
      <c r="BQ51" s="9">
        <v>0.60274</v>
      </c>
      <c r="BR51" s="9">
        <v>0.630137</v>
      </c>
      <c r="BS51" s="9">
        <v>0.610959</v>
      </c>
      <c r="BT51" s="9">
        <v>0.616438</v>
      </c>
      <c r="BU51" s="9">
        <v>0.616438</v>
      </c>
      <c r="BV51" s="6"/>
      <c r="BW51" s="6" t="str">
        <f t="shared" si="1"/>
        <v>InceptionTime</v>
      </c>
      <c r="BX51" s="6" t="str">
        <f t="shared" si="2"/>
        <v>ResNet</v>
      </c>
      <c r="BY51" s="6" t="str">
        <f t="shared" si="3"/>
        <v>ROCKET</v>
      </c>
      <c r="BZ51" s="6"/>
      <c r="CA51" s="11" t="str">
        <f t="shared" si="4"/>
        <v>#VALUE!</v>
      </c>
      <c r="CC51" s="6"/>
      <c r="CD51" s="6"/>
      <c r="CE51" s="6"/>
    </row>
    <row r="52" ht="15.75" customHeight="1">
      <c r="A52" s="1" t="s">
        <v>146</v>
      </c>
      <c r="B52" s="7" t="s">
        <v>211</v>
      </c>
      <c r="C52" s="16">
        <v>0.976702203269367</v>
      </c>
      <c r="D52" s="16">
        <v>0.967192608386638</v>
      </c>
      <c r="E52" s="16">
        <v>0.957171286425017</v>
      </c>
      <c r="F52" s="16">
        <v>0.962601279317697</v>
      </c>
      <c r="G52" s="16">
        <v>0.908031272210376</v>
      </c>
      <c r="H52" s="16">
        <v>0.968969438521677</v>
      </c>
      <c r="I52" s="16">
        <v>0.972011371712864</v>
      </c>
      <c r="J52" s="16">
        <v>0.966439232409381</v>
      </c>
      <c r="K52" s="16">
        <v>0.948457711442786</v>
      </c>
      <c r="L52" s="16">
        <v>0.94090973702914</v>
      </c>
      <c r="M52" s="16">
        <v>0.949793887704335</v>
      </c>
      <c r="N52" s="16">
        <v>0.954072494669509</v>
      </c>
      <c r="O52" s="16">
        <v>0.935721393034825</v>
      </c>
      <c r="P52" s="16">
        <v>0.906112295664534</v>
      </c>
      <c r="Q52" s="9">
        <v>0.591642</v>
      </c>
      <c r="R52" s="9">
        <v>0.591471</v>
      </c>
      <c r="S52" s="9">
        <v>0.672921</v>
      </c>
      <c r="T52" s="9">
        <v>0.585756922</v>
      </c>
      <c r="U52" s="9">
        <v>0.573134303</v>
      </c>
      <c r="V52" s="9">
        <v>0.123241</v>
      </c>
      <c r="W52" s="9">
        <v>0.675309</v>
      </c>
      <c r="X52" s="9">
        <v>0.686141</v>
      </c>
      <c r="Y52" s="9">
        <v>0.742004</v>
      </c>
      <c r="Z52" s="9">
        <v>0.567761207</v>
      </c>
      <c r="AA52" s="9">
        <v>0.58209</v>
      </c>
      <c r="AB52" s="9">
        <v>0.673774</v>
      </c>
      <c r="AC52" s="9">
        <v>0.657996</v>
      </c>
      <c r="AD52" s="9">
        <v>0.663966</v>
      </c>
      <c r="AE52" s="9">
        <v>0.61791</v>
      </c>
      <c r="AF52" s="9">
        <v>0.689040506</v>
      </c>
      <c r="AG52" s="9">
        <v>0.672495</v>
      </c>
      <c r="AH52" s="9">
        <v>0.732623</v>
      </c>
      <c r="AI52" s="9">
        <v>0.483923</v>
      </c>
      <c r="AJ52" s="9">
        <v>0.4742</v>
      </c>
      <c r="AK52" s="9">
        <v>0.502772</v>
      </c>
      <c r="AL52" s="9">
        <v>0.504819</v>
      </c>
      <c r="AM52" s="9">
        <v>0.564606</v>
      </c>
      <c r="AN52" s="9">
        <v>0.438806</v>
      </c>
      <c r="AO52" s="9">
        <v>0.681279325</v>
      </c>
      <c r="AP52" s="9">
        <v>0.697655</v>
      </c>
      <c r="AQ52" s="9">
        <v>0.710021</v>
      </c>
      <c r="AR52" s="9">
        <v>0.638891268</v>
      </c>
      <c r="AS52" s="9">
        <v>0.634542</v>
      </c>
      <c r="AT52" s="9">
        <v>0.696802</v>
      </c>
      <c r="AU52" s="9">
        <v>0.607335</v>
      </c>
      <c r="AV52" s="9">
        <v>0.596588</v>
      </c>
      <c r="AW52" s="9">
        <v>0.580384</v>
      </c>
      <c r="AX52" s="9">
        <v>0.49629</v>
      </c>
      <c r="AY52" s="9">
        <v>0.4742</v>
      </c>
      <c r="AZ52" s="9">
        <v>0.486567</v>
      </c>
      <c r="BA52" s="9">
        <v>0.676503</v>
      </c>
      <c r="BB52" s="9">
        <v>0.701493</v>
      </c>
      <c r="BC52" s="9">
        <v>0.696802</v>
      </c>
      <c r="BD52" s="9">
        <v>0.649978685</v>
      </c>
      <c r="BE52" s="9">
        <v>0.690832</v>
      </c>
      <c r="BF52" s="9">
        <v>0.731343</v>
      </c>
      <c r="BG52" s="9">
        <v>0.533049</v>
      </c>
      <c r="BH52" s="9">
        <v>0.575267</v>
      </c>
      <c r="BI52" s="9">
        <v>0.55565</v>
      </c>
      <c r="BJ52" s="9">
        <v>0.550362</v>
      </c>
      <c r="BK52" s="9">
        <v>0.553518</v>
      </c>
      <c r="BL52" s="9">
        <v>0.373987</v>
      </c>
      <c r="BM52" s="9">
        <v>0.688273</v>
      </c>
      <c r="BN52" s="9">
        <v>0.694669</v>
      </c>
      <c r="BO52" s="9">
        <v>0.736034</v>
      </c>
      <c r="BP52" s="9">
        <v>0.548316</v>
      </c>
      <c r="BQ52" s="9">
        <v>0.551386</v>
      </c>
      <c r="BR52" s="9">
        <v>0.499787</v>
      </c>
      <c r="BS52" s="9">
        <v>0.401791</v>
      </c>
      <c r="BT52" s="9">
        <v>0.373134</v>
      </c>
      <c r="BU52" s="9">
        <v>0.448188</v>
      </c>
      <c r="BV52" s="6"/>
      <c r="BW52" s="6" t="str">
        <f t="shared" si="1"/>
        <v>TS-CHIEF</v>
      </c>
      <c r="BX52" s="6" t="str">
        <f t="shared" si="2"/>
        <v>ProximityForest</v>
      </c>
      <c r="BY52" s="6" t="str">
        <f t="shared" si="3"/>
        <v>ResNet</v>
      </c>
      <c r="BZ52" s="6"/>
      <c r="CA52" s="11" t="str">
        <f t="shared" si="4"/>
        <v>#VALUE!</v>
      </c>
      <c r="CC52" s="6"/>
      <c r="CD52" s="6"/>
      <c r="CE52" s="6"/>
    </row>
    <row r="53" ht="15.75" customHeight="1">
      <c r="A53" s="1" t="s">
        <v>147</v>
      </c>
      <c r="B53" s="7" t="s">
        <v>211</v>
      </c>
      <c r="C53" s="16">
        <v>0.984444444444444</v>
      </c>
      <c r="D53" s="16">
        <v>0.98611111111111</v>
      </c>
      <c r="E53" s="16">
        <v>0.988888888888889</v>
      </c>
      <c r="F53" s="16">
        <v>0.984444444444444</v>
      </c>
      <c r="G53" s="16">
        <v>0.967777777777777</v>
      </c>
      <c r="H53" s="16">
        <v>0.993888888888888</v>
      </c>
      <c r="I53" s="16">
        <v>0.987222222222222</v>
      </c>
      <c r="J53" s="16">
        <v>0.976666666666666</v>
      </c>
      <c r="K53" s="16">
        <v>0.983888888888888</v>
      </c>
      <c r="L53" s="16">
        <v>0.977222222222221</v>
      </c>
      <c r="M53" s="16">
        <v>0.980555555555555</v>
      </c>
      <c r="N53" s="16">
        <v>0.986666666666666</v>
      </c>
      <c r="O53" s="16">
        <v>0.983888888888888</v>
      </c>
      <c r="P53" s="16">
        <v>0.942777777777777</v>
      </c>
      <c r="Q53" s="9">
        <v>0.903333</v>
      </c>
      <c r="R53" s="9">
        <v>0.916667</v>
      </c>
      <c r="S53" s="9">
        <v>0.95</v>
      </c>
      <c r="T53" s="9">
        <v>0.910000002</v>
      </c>
      <c r="U53" s="9">
        <v>0.916666687</v>
      </c>
      <c r="V53" s="9">
        <v>0.316667</v>
      </c>
      <c r="W53" s="9">
        <v>0.616667</v>
      </c>
      <c r="X53" s="9">
        <v>0.633333</v>
      </c>
      <c r="Y53" s="9">
        <v>0.566667</v>
      </c>
      <c r="Z53" s="9">
        <v>0.473333347</v>
      </c>
      <c r="AA53" s="9">
        <v>0.533333</v>
      </c>
      <c r="AB53" s="9">
        <v>0.633333</v>
      </c>
      <c r="AC53" s="9">
        <v>0.91</v>
      </c>
      <c r="AD53" s="9">
        <v>0.916667</v>
      </c>
      <c r="AE53" s="9">
        <v>0.916667</v>
      </c>
      <c r="AF53" s="9">
        <v>0.879999995</v>
      </c>
      <c r="AG53" s="9">
        <v>0.883333</v>
      </c>
      <c r="AH53" s="9">
        <v>0.916667</v>
      </c>
      <c r="AI53" s="9">
        <v>0.546667</v>
      </c>
      <c r="AJ53" s="9">
        <v>0.55</v>
      </c>
      <c r="AK53" s="9">
        <v>0.6</v>
      </c>
      <c r="AL53" s="9">
        <v>0.48</v>
      </c>
      <c r="AM53" s="9">
        <v>0.5</v>
      </c>
      <c r="AN53" s="9">
        <v>0.566667</v>
      </c>
      <c r="AO53" s="9">
        <v>0.89333334</v>
      </c>
      <c r="AP53" s="9">
        <v>0.916667</v>
      </c>
      <c r="AQ53" s="9">
        <v>0.95</v>
      </c>
      <c r="AR53" s="9">
        <v>0.933333325</v>
      </c>
      <c r="AS53" s="9">
        <v>0.933333</v>
      </c>
      <c r="AT53" s="9">
        <v>0.9</v>
      </c>
      <c r="AU53" s="9">
        <v>0.71</v>
      </c>
      <c r="AV53" s="9">
        <v>0.666667</v>
      </c>
      <c r="AW53" s="9">
        <v>0.75</v>
      </c>
      <c r="AX53" s="9">
        <v>0.743333</v>
      </c>
      <c r="AY53" s="9">
        <v>0.733333</v>
      </c>
      <c r="AZ53" s="9">
        <v>0.883333</v>
      </c>
      <c r="BA53" s="9">
        <v>0.856667</v>
      </c>
      <c r="BB53" s="9">
        <v>0.883333</v>
      </c>
      <c r="BC53" s="9">
        <v>0.933333</v>
      </c>
      <c r="BD53" s="9">
        <v>0.829999983</v>
      </c>
      <c r="BE53" s="9">
        <v>0.9</v>
      </c>
      <c r="BF53" s="9">
        <v>0.65</v>
      </c>
      <c r="BG53" s="9">
        <v>0.666667</v>
      </c>
      <c r="BH53" s="9">
        <v>0.616667</v>
      </c>
      <c r="BI53" s="9">
        <v>0.55</v>
      </c>
      <c r="BJ53" s="9">
        <v>0.696667</v>
      </c>
      <c r="BK53" s="9">
        <v>0.65</v>
      </c>
      <c r="BL53" s="9">
        <v>0.416667</v>
      </c>
      <c r="BM53" s="9">
        <v>0.843333</v>
      </c>
      <c r="BN53" s="9">
        <v>0.883333</v>
      </c>
      <c r="BO53" s="9">
        <v>0.933333</v>
      </c>
      <c r="BP53" s="9">
        <v>0.54</v>
      </c>
      <c r="BQ53" s="9">
        <v>0.616667</v>
      </c>
      <c r="BR53" s="9">
        <v>0.55</v>
      </c>
      <c r="BS53" s="9">
        <v>0.626667</v>
      </c>
      <c r="BT53" s="9">
        <v>0.633333</v>
      </c>
      <c r="BU53" s="9">
        <v>0.666667</v>
      </c>
      <c r="BV53" s="6"/>
      <c r="BW53" s="6" t="str">
        <f t="shared" si="1"/>
        <v>ResNet</v>
      </c>
      <c r="BX53" s="6" t="str">
        <f t="shared" si="2"/>
        <v>ROCKET</v>
      </c>
      <c r="BY53" s="6" t="str">
        <f t="shared" si="3"/>
        <v>ProximityForest</v>
      </c>
      <c r="BZ53" s="6"/>
      <c r="CA53" s="11" t="str">
        <f t="shared" si="4"/>
        <v>#VALUE!</v>
      </c>
      <c r="CC53" s="6"/>
      <c r="CD53" s="6"/>
      <c r="CE53" s="6"/>
    </row>
    <row r="54" ht="15.75" customHeight="1">
      <c r="A54" s="1" t="s">
        <v>148</v>
      </c>
      <c r="B54" s="7" t="s">
        <v>211</v>
      </c>
      <c r="C54" s="16">
        <v>0.799122807017543</v>
      </c>
      <c r="D54" s="16">
        <v>0.740350877192982</v>
      </c>
      <c r="E54" s="16">
        <v>0.805131578947368</v>
      </c>
      <c r="F54" s="16">
        <v>0.796359649122807</v>
      </c>
      <c r="G54" s="16">
        <v>0.709824561403508</v>
      </c>
      <c r="H54" s="16">
        <v>0.792236842105263</v>
      </c>
      <c r="I54" s="16">
        <v>0.771447368421052</v>
      </c>
      <c r="J54" s="16">
        <v>0.708771929824561</v>
      </c>
      <c r="K54" s="16">
        <v>0.716798245614034</v>
      </c>
      <c r="L54" s="16">
        <v>0.689605263157894</v>
      </c>
      <c r="M54" s="16">
        <v>0.715833333333333</v>
      </c>
      <c r="N54" s="16">
        <v>0.666710526315789</v>
      </c>
      <c r="O54" s="16">
        <v>0.746228070175438</v>
      </c>
      <c r="P54" s="16">
        <v>0.756754385964912</v>
      </c>
      <c r="Q54" s="9">
        <v>0.523684</v>
      </c>
      <c r="R54" s="9">
        <v>0.521053</v>
      </c>
      <c r="S54" s="9">
        <v>0.526316</v>
      </c>
      <c r="T54" s="9">
        <v>0.514999998</v>
      </c>
      <c r="U54" s="9">
        <v>0.514473677</v>
      </c>
      <c r="V54" s="9">
        <v>0.514474</v>
      </c>
      <c r="W54" s="9">
        <v>0.541579</v>
      </c>
      <c r="X54" s="9">
        <v>0.544737</v>
      </c>
      <c r="Y54" s="9">
        <v>0.572368</v>
      </c>
      <c r="Z54" s="9">
        <v>0.542894733</v>
      </c>
      <c r="AA54" s="9">
        <v>0.528947</v>
      </c>
      <c r="AB54" s="9">
        <v>0.610526</v>
      </c>
      <c r="AC54" s="9">
        <v>0.537368</v>
      </c>
      <c r="AD54" s="9">
        <v>0.527632</v>
      </c>
      <c r="AE54" s="9">
        <v>0.596053</v>
      </c>
      <c r="AF54" s="9">
        <v>0.529473686</v>
      </c>
      <c r="AG54" s="9">
        <v>0.526316</v>
      </c>
      <c r="AH54" s="9">
        <v>0.546053</v>
      </c>
      <c r="AI54" s="9">
        <v>0.559474</v>
      </c>
      <c r="AJ54" s="9">
        <v>0.551316</v>
      </c>
      <c r="AK54" s="9">
        <v>0.586842</v>
      </c>
      <c r="AL54" s="9">
        <v>0.581316</v>
      </c>
      <c r="AM54" s="9">
        <v>0.596053</v>
      </c>
      <c r="AN54" s="9">
        <v>0.586842</v>
      </c>
      <c r="AO54" s="9">
        <v>0.538684213</v>
      </c>
      <c r="AP54" s="9">
        <v>0.542105</v>
      </c>
      <c r="AQ54" s="9">
        <v>0.573684</v>
      </c>
      <c r="AR54" s="9">
        <v>0.546052635</v>
      </c>
      <c r="AS54" s="9">
        <v>0.531579</v>
      </c>
      <c r="AT54" s="9">
        <v>0.586842</v>
      </c>
      <c r="AU54" s="9">
        <v>0.524737</v>
      </c>
      <c r="AV54" s="9">
        <v>0.517105</v>
      </c>
      <c r="AW54" s="9">
        <v>0.564474</v>
      </c>
      <c r="AX54" s="9">
        <v>0.530526</v>
      </c>
      <c r="AY54" s="9">
        <v>0.530263</v>
      </c>
      <c r="AZ54" s="9">
        <v>0.555263</v>
      </c>
      <c r="BA54" s="9">
        <v>0.538421</v>
      </c>
      <c r="BB54" s="9">
        <v>0.536842</v>
      </c>
      <c r="BC54" s="9">
        <v>0.584211</v>
      </c>
      <c r="BD54" s="9">
        <v>0.548684204</v>
      </c>
      <c r="BE54" s="9">
        <v>0.553947</v>
      </c>
      <c r="BF54" s="9">
        <v>0.610526</v>
      </c>
      <c r="BG54" s="9">
        <v>0.541579</v>
      </c>
      <c r="BH54" s="9">
        <v>0.536842</v>
      </c>
      <c r="BI54" s="9">
        <v>0.607895</v>
      </c>
      <c r="BJ54" s="9">
        <v>0.533684</v>
      </c>
      <c r="BK54" s="9">
        <v>0.542105</v>
      </c>
      <c r="BL54" s="9">
        <v>0.617105</v>
      </c>
      <c r="BM54" s="9">
        <v>0.543947</v>
      </c>
      <c r="BN54" s="9">
        <v>0.525</v>
      </c>
      <c r="BO54" s="9">
        <v>0.607895</v>
      </c>
      <c r="BP54" s="9">
        <v>0.548947</v>
      </c>
      <c r="BQ54" s="9">
        <v>0.551316</v>
      </c>
      <c r="BR54" s="9">
        <v>0.597368</v>
      </c>
      <c r="BS54" s="9">
        <v>0.521579</v>
      </c>
      <c r="BT54" s="9">
        <v>0.514474</v>
      </c>
      <c r="BU54" s="9">
        <v>0.560526</v>
      </c>
      <c r="BV54" s="6"/>
      <c r="BW54" s="6" t="str">
        <f t="shared" si="1"/>
        <v>ROCKET</v>
      </c>
      <c r="BX54" s="6" t="str">
        <f t="shared" si="2"/>
        <v>TS-CHIEF</v>
      </c>
      <c r="BY54" s="6" t="str">
        <f t="shared" si="3"/>
        <v>InceptionTime</v>
      </c>
      <c r="BZ54" s="6"/>
      <c r="CA54" s="11" t="str">
        <f t="shared" si="4"/>
        <v>#VALUE!</v>
      </c>
      <c r="CC54" s="6"/>
      <c r="CD54" s="6"/>
      <c r="CE54" s="6"/>
    </row>
    <row r="55" ht="15.75" customHeight="1">
      <c r="A55" s="1" t="s">
        <v>149</v>
      </c>
      <c r="B55" s="7" t="s">
        <v>211</v>
      </c>
      <c r="C55" s="16">
        <v>0.694372294372294</v>
      </c>
      <c r="D55" s="16">
        <v>0.697835497835498</v>
      </c>
      <c r="E55" s="16">
        <v>0.71082251082251</v>
      </c>
      <c r="F55" s="16">
        <v>0.594372294372294</v>
      </c>
      <c r="G55" s="16">
        <v>0.667532467532467</v>
      </c>
      <c r="H55" s="16">
        <v>0.596536796536796</v>
      </c>
      <c r="I55" s="16">
        <v>0.658874458874458</v>
      </c>
      <c r="J55" s="16">
        <v>0.66038961038961</v>
      </c>
      <c r="K55" s="16">
        <v>0.659090909090909</v>
      </c>
      <c r="L55" s="16">
        <v>0.677489177489177</v>
      </c>
      <c r="M55" s="16">
        <v>0.656277056277056</v>
      </c>
      <c r="N55" s="16">
        <v>0.699783549783549</v>
      </c>
      <c r="O55" s="16">
        <v>0.659523809523809</v>
      </c>
      <c r="P55" s="16">
        <v>0.688095238095238</v>
      </c>
      <c r="Q55" s="9">
        <v>0.557143</v>
      </c>
      <c r="R55" s="9">
        <v>0.564935</v>
      </c>
      <c r="S55" s="9">
        <v>0.519481</v>
      </c>
      <c r="T55" s="9">
        <v>0.551948047</v>
      </c>
      <c r="U55" s="9">
        <v>0.558441579</v>
      </c>
      <c r="V55" s="9">
        <v>0.188312</v>
      </c>
      <c r="W55" s="9">
        <v>0.585714</v>
      </c>
      <c r="X55" s="9">
        <v>0.577922</v>
      </c>
      <c r="Y55" s="9">
        <v>0.506494</v>
      </c>
      <c r="Z55" s="9">
        <v>0.572727263</v>
      </c>
      <c r="AA55" s="9">
        <v>0.584416</v>
      </c>
      <c r="AB55" s="9">
        <v>0.506494</v>
      </c>
      <c r="AC55" s="9">
        <v>0.588312</v>
      </c>
      <c r="AD55" s="9">
        <v>0.584416</v>
      </c>
      <c r="AE55" s="9">
        <v>0.571429</v>
      </c>
      <c r="AF55" s="9">
        <v>0.585714269</v>
      </c>
      <c r="AG55" s="9">
        <v>0.584416</v>
      </c>
      <c r="AH55" s="9">
        <v>0.512987</v>
      </c>
      <c r="AI55" s="9">
        <v>0.575325</v>
      </c>
      <c r="AJ55" s="9">
        <v>0.577922</v>
      </c>
      <c r="AK55" s="9">
        <v>0.564935</v>
      </c>
      <c r="AL55" s="9">
        <v>0.549351</v>
      </c>
      <c r="AM55" s="9">
        <v>0.571429</v>
      </c>
      <c r="AN55" s="9">
        <v>0.577922</v>
      </c>
      <c r="AO55" s="9">
        <v>0.567532456</v>
      </c>
      <c r="AP55" s="9">
        <v>0.584416</v>
      </c>
      <c r="AQ55" s="9">
        <v>0.597403</v>
      </c>
      <c r="AR55" s="9">
        <v>0.581818175</v>
      </c>
      <c r="AS55" s="9">
        <v>0.584416</v>
      </c>
      <c r="AT55" s="9">
        <v>0.564935</v>
      </c>
      <c r="AU55" s="9">
        <v>0.576623</v>
      </c>
      <c r="AV55" s="9">
        <v>0.571429</v>
      </c>
      <c r="AW55" s="9">
        <v>0.564935</v>
      </c>
      <c r="AX55" s="9">
        <v>0.55974</v>
      </c>
      <c r="AY55" s="9">
        <v>0.564935</v>
      </c>
      <c r="AZ55" s="9">
        <v>0.558442</v>
      </c>
      <c r="BA55" s="9">
        <v>0.575325</v>
      </c>
      <c r="BB55" s="9">
        <v>0.584416</v>
      </c>
      <c r="BC55" s="9">
        <v>0.616883</v>
      </c>
      <c r="BD55" s="9">
        <v>0.584415591</v>
      </c>
      <c r="BE55" s="9">
        <v>0.577922</v>
      </c>
      <c r="BF55" s="9">
        <v>0.603896</v>
      </c>
      <c r="BG55" s="9">
        <v>0.577922</v>
      </c>
      <c r="BH55" s="9">
        <v>0.577922</v>
      </c>
      <c r="BI55" s="9">
        <v>0.577922</v>
      </c>
      <c r="BJ55" s="9">
        <v>0.579221</v>
      </c>
      <c r="BK55" s="9">
        <v>0.584416</v>
      </c>
      <c r="BL55" s="9">
        <v>0.577922</v>
      </c>
      <c r="BM55" s="9">
        <v>0.575325</v>
      </c>
      <c r="BN55" s="9">
        <v>0.571429</v>
      </c>
      <c r="BO55" s="9">
        <v>0.62987</v>
      </c>
      <c r="BP55" s="9">
        <v>0.57013</v>
      </c>
      <c r="BQ55" s="9">
        <v>0.584416</v>
      </c>
      <c r="BR55" s="9">
        <v>0.564935</v>
      </c>
      <c r="BS55" s="9">
        <v>0.615584</v>
      </c>
      <c r="BT55" s="9">
        <v>0.616883</v>
      </c>
      <c r="BU55" s="9">
        <v>0.616883</v>
      </c>
      <c r="BV55" s="6"/>
      <c r="BW55" s="6" t="str">
        <f t="shared" si="1"/>
        <v>ROCKET</v>
      </c>
      <c r="BX55" s="6" t="str">
        <f t="shared" si="2"/>
        <v>RISE</v>
      </c>
      <c r="BY55" s="6" t="str">
        <f t="shared" si="3"/>
        <v>HIVE-COTE v1,0</v>
      </c>
      <c r="BZ55" s="6"/>
      <c r="CA55" s="11" t="str">
        <f t="shared" si="4"/>
        <v>#VALUE!</v>
      </c>
      <c r="CC55" s="6"/>
      <c r="CD55" s="6"/>
      <c r="CE55" s="6"/>
    </row>
    <row r="56" ht="15.75" customHeight="1">
      <c r="A56" s="1" t="s">
        <v>150</v>
      </c>
      <c r="B56" s="7" t="s">
        <v>211</v>
      </c>
      <c r="C56" s="16">
        <v>0.805841924398625</v>
      </c>
      <c r="D56" s="16">
        <v>0.812943871706758</v>
      </c>
      <c r="E56" s="16">
        <v>0.834478808705613</v>
      </c>
      <c r="F56" s="16">
        <v>0.834249713631157</v>
      </c>
      <c r="G56" s="16">
        <v>0.831500572737686</v>
      </c>
      <c r="H56" s="16">
        <v>0.823596792668958</v>
      </c>
      <c r="I56" s="16">
        <v>0.824054982817869</v>
      </c>
      <c r="J56" s="16">
        <v>0.828293241695303</v>
      </c>
      <c r="K56" s="16">
        <v>0.806643757159221</v>
      </c>
      <c r="L56" s="16">
        <v>0.772164948453608</v>
      </c>
      <c r="M56" s="16">
        <v>0.80950744558992</v>
      </c>
      <c r="N56" s="16">
        <v>0.805498281786942</v>
      </c>
      <c r="O56" s="16">
        <v>0.799541809851088</v>
      </c>
      <c r="P56" s="16">
        <v>0.772737686139748</v>
      </c>
      <c r="Q56" s="9">
        <v>0.685911</v>
      </c>
      <c r="R56" s="9">
        <v>0.714777</v>
      </c>
      <c r="S56" s="9">
        <v>0.666667</v>
      </c>
      <c r="T56" s="9">
        <v>0.66391753</v>
      </c>
      <c r="U56" s="9">
        <v>0.676975965</v>
      </c>
      <c r="V56" s="9">
        <v>0.570447</v>
      </c>
      <c r="W56" s="9">
        <v>0.778694</v>
      </c>
      <c r="X56" s="9">
        <v>0.790378</v>
      </c>
      <c r="Y56" s="9">
        <v>0.790378</v>
      </c>
      <c r="Z56" s="9">
        <v>0.77182132</v>
      </c>
      <c r="AA56" s="9">
        <v>0.780069</v>
      </c>
      <c r="AB56" s="9">
        <v>0.75945</v>
      </c>
      <c r="AC56" s="9">
        <v>0.668041</v>
      </c>
      <c r="AD56" s="9">
        <v>0.701031</v>
      </c>
      <c r="AE56" s="9">
        <v>0.762887</v>
      </c>
      <c r="AF56" s="9">
        <v>0.722336781</v>
      </c>
      <c r="AG56" s="9">
        <v>0.752577</v>
      </c>
      <c r="AH56" s="9">
        <v>0.718213</v>
      </c>
      <c r="AI56" s="9">
        <v>0.773883</v>
      </c>
      <c r="AJ56" s="9">
        <v>0.766323</v>
      </c>
      <c r="AK56" s="9">
        <v>0.766323</v>
      </c>
      <c r="AL56" s="9">
        <v>0.771821</v>
      </c>
      <c r="AM56" s="9">
        <v>0.769759</v>
      </c>
      <c r="AN56" s="9">
        <v>0.766323</v>
      </c>
      <c r="AO56" s="9">
        <v>0.740893471</v>
      </c>
      <c r="AP56" s="9">
        <v>0.749141</v>
      </c>
      <c r="AQ56" s="9">
        <v>0.725086</v>
      </c>
      <c r="AR56" s="9">
        <v>0.714089346</v>
      </c>
      <c r="AS56" s="9">
        <v>0.742268</v>
      </c>
      <c r="AT56" s="9">
        <v>0.728522</v>
      </c>
      <c r="AU56" s="9">
        <v>0.730584</v>
      </c>
      <c r="AV56" s="9">
        <v>0.756014</v>
      </c>
      <c r="AW56" s="9">
        <v>0.800687</v>
      </c>
      <c r="AX56" s="9">
        <v>0.778007</v>
      </c>
      <c r="AY56" s="9">
        <v>0.776632</v>
      </c>
      <c r="AZ56" s="9">
        <v>0.570447</v>
      </c>
      <c r="BA56" s="9">
        <v>0.7189</v>
      </c>
      <c r="BB56" s="9">
        <v>0.738832</v>
      </c>
      <c r="BC56" s="9">
        <v>0.71134</v>
      </c>
      <c r="BD56" s="9">
        <v>0.697594488</v>
      </c>
      <c r="BE56" s="9">
        <v>0.742268</v>
      </c>
      <c r="BF56" s="9">
        <v>0.728522</v>
      </c>
      <c r="BG56" s="9">
        <v>0.783505</v>
      </c>
      <c r="BH56" s="9">
        <v>0.790378</v>
      </c>
      <c r="BI56" s="9">
        <v>0.800687</v>
      </c>
      <c r="BJ56" s="9">
        <v>0.784192</v>
      </c>
      <c r="BK56" s="9">
        <v>0.783505</v>
      </c>
      <c r="BL56" s="9">
        <v>0.790378</v>
      </c>
      <c r="BM56" s="9">
        <v>0.685911</v>
      </c>
      <c r="BN56" s="9">
        <v>0.718213</v>
      </c>
      <c r="BO56" s="9">
        <v>0.683849</v>
      </c>
      <c r="BP56" s="9">
        <v>0.756014</v>
      </c>
      <c r="BQ56" s="9">
        <v>0.804124</v>
      </c>
      <c r="BR56" s="9">
        <v>0.817869</v>
      </c>
      <c r="BS56" s="9">
        <v>0.679038</v>
      </c>
      <c r="BT56" s="9">
        <v>0.704467</v>
      </c>
      <c r="BU56" s="9">
        <v>0.790378</v>
      </c>
      <c r="BV56" s="6"/>
      <c r="BW56" s="6" t="str">
        <f t="shared" si="1"/>
        <v>ROCKET</v>
      </c>
      <c r="BX56" s="6" t="str">
        <f t="shared" si="2"/>
        <v>InceptionTime</v>
      </c>
      <c r="BY56" s="6" t="str">
        <f t="shared" si="3"/>
        <v>STC</v>
      </c>
      <c r="BZ56" s="6"/>
      <c r="CA56" s="11" t="str">
        <f t="shared" si="4"/>
        <v>#VALUE!</v>
      </c>
      <c r="CC56" s="6"/>
      <c r="CD56" s="6"/>
      <c r="CE56" s="6"/>
    </row>
    <row r="57" ht="15.75" customHeight="1">
      <c r="A57" s="1" t="s">
        <v>151</v>
      </c>
      <c r="B57" s="7" t="s">
        <v>211</v>
      </c>
      <c r="C57" s="16">
        <v>0.573160173160173</v>
      </c>
      <c r="D57" s="16">
        <v>0.583766233766233</v>
      </c>
      <c r="E57" s="16">
        <v>0.589826839826839</v>
      </c>
      <c r="F57" s="16">
        <v>0.527489177489177</v>
      </c>
      <c r="G57" s="16">
        <v>0.578571428571428</v>
      </c>
      <c r="H57" s="16">
        <v>0.531168831168831</v>
      </c>
      <c r="I57" s="16">
        <v>0.549134199134199</v>
      </c>
      <c r="J57" s="16">
        <v>0.554329004329004</v>
      </c>
      <c r="K57" s="16">
        <v>0.541558441558441</v>
      </c>
      <c r="L57" s="16">
        <v>0.567316017316017</v>
      </c>
      <c r="M57" s="16">
        <v>0.532251082251082</v>
      </c>
      <c r="N57" s="16">
        <v>0.585064935064935</v>
      </c>
      <c r="O57" s="16">
        <v>0.568614718614718</v>
      </c>
      <c r="P57" s="16">
        <v>0.557359307359307</v>
      </c>
      <c r="Q57" s="9">
        <v>0.549351</v>
      </c>
      <c r="R57" s="9">
        <v>0.558442</v>
      </c>
      <c r="S57" s="9">
        <v>0.525974</v>
      </c>
      <c r="T57" s="9">
        <v>0.554545474</v>
      </c>
      <c r="U57" s="9">
        <v>0.558441579</v>
      </c>
      <c r="V57" s="9">
        <v>0.272727</v>
      </c>
      <c r="W57" s="9">
        <v>0.572727</v>
      </c>
      <c r="X57" s="9">
        <v>0.577922</v>
      </c>
      <c r="Y57" s="9">
        <v>0.590909</v>
      </c>
      <c r="Z57" s="9">
        <v>0.566233766</v>
      </c>
      <c r="AA57" s="9">
        <v>0.558442</v>
      </c>
      <c r="AB57" s="9">
        <v>0.558442</v>
      </c>
      <c r="AC57" s="9">
        <v>0.542857</v>
      </c>
      <c r="AD57" s="9">
        <v>0.551948</v>
      </c>
      <c r="AE57" s="9">
        <v>0.545455</v>
      </c>
      <c r="AF57" s="9">
        <v>0.553246772</v>
      </c>
      <c r="AG57" s="9">
        <v>0.558442</v>
      </c>
      <c r="AH57" s="9">
        <v>0.474026</v>
      </c>
      <c r="AI57" s="9">
        <v>0.564935</v>
      </c>
      <c r="AJ57" s="9">
        <v>0.558442</v>
      </c>
      <c r="AK57" s="9">
        <v>0.558442</v>
      </c>
      <c r="AL57" s="9">
        <v>0.557143</v>
      </c>
      <c r="AM57" s="9">
        <v>0.558442</v>
      </c>
      <c r="AN57" s="9">
        <v>0.558442</v>
      </c>
      <c r="AO57" s="9">
        <v>0.561038983</v>
      </c>
      <c r="AP57" s="9">
        <v>0.558442</v>
      </c>
      <c r="AQ57" s="9">
        <v>0.506494</v>
      </c>
      <c r="AR57" s="9">
        <v>0.533766252</v>
      </c>
      <c r="AS57" s="9">
        <v>0.558442</v>
      </c>
      <c r="AT57" s="9">
        <v>0.519481</v>
      </c>
      <c r="AU57" s="9">
        <v>0.566234</v>
      </c>
      <c r="AV57" s="9">
        <v>0.558442</v>
      </c>
      <c r="AW57" s="9">
        <v>0.571429</v>
      </c>
      <c r="AX57" s="9">
        <v>0.558442</v>
      </c>
      <c r="AY57" s="9">
        <v>0.558442</v>
      </c>
      <c r="AZ57" s="9">
        <v>0.558442</v>
      </c>
      <c r="BA57" s="9">
        <v>0.563636</v>
      </c>
      <c r="BB57" s="9">
        <v>0.558442</v>
      </c>
      <c r="BC57" s="9">
        <v>0.506494</v>
      </c>
      <c r="BD57" s="9">
        <v>0.563636374</v>
      </c>
      <c r="BE57" s="9">
        <v>0.558442</v>
      </c>
      <c r="BF57" s="9">
        <v>0.590909</v>
      </c>
      <c r="BG57" s="9">
        <v>0.558442</v>
      </c>
      <c r="BH57" s="9">
        <v>0.558442</v>
      </c>
      <c r="BI57" s="9">
        <v>0.558442</v>
      </c>
      <c r="BJ57" s="9">
        <v>0.557143</v>
      </c>
      <c r="BK57" s="9">
        <v>0.558442</v>
      </c>
      <c r="BL57" s="9">
        <v>0.558442</v>
      </c>
      <c r="BM57" s="9">
        <v>0.542857</v>
      </c>
      <c r="BN57" s="9">
        <v>0.558442</v>
      </c>
      <c r="BO57" s="9">
        <v>0.538961</v>
      </c>
      <c r="BP57" s="9">
        <v>0.567532</v>
      </c>
      <c r="BQ57" s="9">
        <v>0.558442</v>
      </c>
      <c r="BR57" s="9">
        <v>0.558442</v>
      </c>
      <c r="BS57" s="9">
        <v>0.572727</v>
      </c>
      <c r="BT57" s="9">
        <v>0.558442</v>
      </c>
      <c r="BU57" s="9">
        <v>0.558442</v>
      </c>
      <c r="BV57" s="6"/>
      <c r="BW57" s="6" t="str">
        <f t="shared" si="1"/>
        <v>5V_One_Acc</v>
      </c>
      <c r="BX57" s="6" t="str">
        <f t="shared" si="2"/>
        <v>5V_One_Acc</v>
      </c>
      <c r="BY57" s="6" t="str">
        <f t="shared" si="3"/>
        <v>ROCKET</v>
      </c>
      <c r="BZ57" s="6"/>
      <c r="CA57" s="11" t="str">
        <f t="shared" si="4"/>
        <v>#VALUE!</v>
      </c>
      <c r="CC57" s="6"/>
      <c r="CD57" s="6"/>
      <c r="CE57" s="6"/>
    </row>
    <row r="58" ht="15.75" customHeight="1">
      <c r="A58" s="1" t="s">
        <v>152</v>
      </c>
      <c r="B58" s="7" t="s">
        <v>211</v>
      </c>
      <c r="C58" s="16">
        <v>0.971381443298968</v>
      </c>
      <c r="D58" s="16">
        <v>0.965924398625429</v>
      </c>
      <c r="E58" s="16">
        <v>0.965663230240549</v>
      </c>
      <c r="F58" s="16">
        <v>0.966378006872852</v>
      </c>
      <c r="G58" s="16">
        <v>0.960233676975945</v>
      </c>
      <c r="H58" s="16">
        <v>0.97007560137457</v>
      </c>
      <c r="I58" s="16">
        <v>0.963807560137457</v>
      </c>
      <c r="J58" s="16">
        <v>0.963285223367697</v>
      </c>
      <c r="K58" s="16">
        <v>0.932068728522336</v>
      </c>
      <c r="L58" s="16">
        <v>0.933924398625429</v>
      </c>
      <c r="M58" s="16">
        <v>0.917910652920962</v>
      </c>
      <c r="N58" s="16">
        <v>0.937704467353951</v>
      </c>
      <c r="O58" s="16">
        <v>0.922996563573883</v>
      </c>
      <c r="P58" s="16">
        <v>0.921470790378006</v>
      </c>
      <c r="Q58" s="9">
        <v>0.813361</v>
      </c>
      <c r="R58" s="9">
        <v>0.822268</v>
      </c>
      <c r="S58" s="9">
        <v>0.822268</v>
      </c>
      <c r="T58" s="9">
        <v>0.81962887</v>
      </c>
      <c r="U58" s="9">
        <v>0.824742258</v>
      </c>
      <c r="V58" s="9">
        <v>0.188866</v>
      </c>
      <c r="W58" s="9">
        <v>0.850639</v>
      </c>
      <c r="X58" s="9">
        <v>0.851134</v>
      </c>
      <c r="Y58" s="9">
        <v>0.858969</v>
      </c>
      <c r="Z58" s="9">
        <v>0.849814427</v>
      </c>
      <c r="AA58" s="9">
        <v>0.856082</v>
      </c>
      <c r="AB58" s="9">
        <v>0.854021</v>
      </c>
      <c r="AC58" s="9">
        <v>0.854268</v>
      </c>
      <c r="AD58" s="9">
        <v>0.856082</v>
      </c>
      <c r="AE58" s="9">
        <v>0.863505</v>
      </c>
      <c r="AF58" s="9">
        <v>0.85839175</v>
      </c>
      <c r="AG58" s="9">
        <v>0.859381</v>
      </c>
      <c r="AH58" s="9">
        <v>0.85732</v>
      </c>
      <c r="AI58" s="9">
        <v>0.865567</v>
      </c>
      <c r="AJ58" s="9">
        <v>0.866804</v>
      </c>
      <c r="AK58" s="9">
        <v>0.875052</v>
      </c>
      <c r="AL58" s="9">
        <v>0.871835</v>
      </c>
      <c r="AM58" s="9">
        <v>0.875052</v>
      </c>
      <c r="AN58" s="9">
        <v>0.86268</v>
      </c>
      <c r="AO58" s="9">
        <v>0.852206182</v>
      </c>
      <c r="AP58" s="9">
        <v>0.854433</v>
      </c>
      <c r="AQ58" s="9">
        <v>0.863505</v>
      </c>
      <c r="AR58" s="9">
        <v>0.854597938</v>
      </c>
      <c r="AS58" s="9">
        <v>0.852784</v>
      </c>
      <c r="AT58" s="9">
        <v>0.861031</v>
      </c>
      <c r="AU58" s="9">
        <v>0.864</v>
      </c>
      <c r="AV58" s="9">
        <v>0.863505</v>
      </c>
      <c r="AW58" s="9">
        <v>0.852371</v>
      </c>
      <c r="AX58" s="9">
        <v>0.867216</v>
      </c>
      <c r="AY58" s="9">
        <v>0.867629</v>
      </c>
      <c r="AZ58" s="9">
        <v>0.870103</v>
      </c>
      <c r="BA58" s="9">
        <v>0.851464</v>
      </c>
      <c r="BB58" s="9">
        <v>0.852784</v>
      </c>
      <c r="BC58" s="9">
        <v>0.863093</v>
      </c>
      <c r="BD58" s="9">
        <v>0.855835044</v>
      </c>
      <c r="BE58" s="9">
        <v>0.856495</v>
      </c>
      <c r="BF58" s="9">
        <v>0.862268</v>
      </c>
      <c r="BG58" s="9">
        <v>0.851794</v>
      </c>
      <c r="BH58" s="9">
        <v>0.863918</v>
      </c>
      <c r="BI58" s="9">
        <v>0.863918</v>
      </c>
      <c r="BJ58" s="9">
        <v>0.86268</v>
      </c>
      <c r="BK58" s="9">
        <v>0.861443</v>
      </c>
      <c r="BL58" s="9">
        <v>0.872577</v>
      </c>
      <c r="BM58" s="9">
        <v>0.858392</v>
      </c>
      <c r="BN58" s="9">
        <v>0.858969</v>
      </c>
      <c r="BO58" s="9">
        <v>0.819381</v>
      </c>
      <c r="BP58" s="9">
        <v>0.846845</v>
      </c>
      <c r="BQ58" s="9">
        <v>0.874227</v>
      </c>
      <c r="BR58" s="9">
        <v>0.890722</v>
      </c>
      <c r="BS58" s="9">
        <v>0.77633</v>
      </c>
      <c r="BT58" s="9">
        <v>0.779794</v>
      </c>
      <c r="BU58" s="9">
        <v>0.814021</v>
      </c>
      <c r="BV58" s="6"/>
      <c r="BW58" s="6" t="str">
        <f t="shared" si="1"/>
        <v>TS-CHIEF</v>
      </c>
      <c r="BX58" s="6" t="str">
        <f t="shared" si="2"/>
        <v>ResNet</v>
      </c>
      <c r="BY58" s="6" t="str">
        <f t="shared" si="3"/>
        <v>InceptionTime</v>
      </c>
      <c r="BZ58" s="6"/>
      <c r="CA58" s="11" t="str">
        <f t="shared" si="4"/>
        <v>#VALUE!</v>
      </c>
      <c r="CC58" s="6"/>
      <c r="CD58" s="6"/>
      <c r="CE58" s="6"/>
    </row>
    <row r="59" ht="15.75" customHeight="1">
      <c r="A59" s="1" t="s">
        <v>153</v>
      </c>
      <c r="B59" s="7" t="s">
        <v>211</v>
      </c>
      <c r="C59" s="16">
        <v>0.947257731958763</v>
      </c>
      <c r="D59" s="16">
        <v>0.944687285223367</v>
      </c>
      <c r="E59" s="16">
        <v>0.930680412371133</v>
      </c>
      <c r="F59" s="16">
        <v>0.913333333333333</v>
      </c>
      <c r="G59" s="16">
        <v>0.936810996563573</v>
      </c>
      <c r="H59" s="16">
        <v>0.916247422680412</v>
      </c>
      <c r="I59" s="16">
        <v>0.928054982817869</v>
      </c>
      <c r="J59" s="16">
        <v>0.92446735395189</v>
      </c>
      <c r="K59" s="16">
        <v>0.929773195876288</v>
      </c>
      <c r="L59" s="16">
        <v>0.893127147766323</v>
      </c>
      <c r="M59" s="16">
        <v>0.871697594501718</v>
      </c>
      <c r="N59" s="16">
        <v>0.89828178694158</v>
      </c>
      <c r="O59" s="16">
        <v>0.84015120274914</v>
      </c>
      <c r="P59" s="16">
        <v>0.875161512027491</v>
      </c>
      <c r="Q59" s="9">
        <v>0.760082</v>
      </c>
      <c r="R59" s="9">
        <v>0.764948</v>
      </c>
      <c r="S59" s="9">
        <v>0.766186</v>
      </c>
      <c r="T59" s="9">
        <v>0.749443305</v>
      </c>
      <c r="U59" s="9">
        <v>0.748865962</v>
      </c>
      <c r="V59" s="9">
        <v>0.172371</v>
      </c>
      <c r="W59" s="9">
        <v>0.788948</v>
      </c>
      <c r="X59" s="9">
        <v>0.789278</v>
      </c>
      <c r="Y59" s="9">
        <v>0.794227</v>
      </c>
      <c r="Z59" s="9">
        <v>0.79562887</v>
      </c>
      <c r="AA59" s="9">
        <v>0.798763</v>
      </c>
      <c r="AB59" s="9">
        <v>0.797938</v>
      </c>
      <c r="AC59" s="9">
        <v>0.777567</v>
      </c>
      <c r="AD59" s="9">
        <v>0.783918</v>
      </c>
      <c r="AE59" s="9">
        <v>0.814433</v>
      </c>
      <c r="AF59" s="9">
        <v>0.788041246</v>
      </c>
      <c r="AG59" s="9">
        <v>0.796289</v>
      </c>
      <c r="AH59" s="9">
        <v>0.803299</v>
      </c>
      <c r="AI59" s="9">
        <v>0.795876</v>
      </c>
      <c r="AJ59" s="9">
        <v>0.793402</v>
      </c>
      <c r="AK59" s="9">
        <v>0.814845</v>
      </c>
      <c r="AL59" s="9">
        <v>0.809402</v>
      </c>
      <c r="AM59" s="9">
        <v>0.816495</v>
      </c>
      <c r="AN59" s="9">
        <v>0.795876</v>
      </c>
      <c r="AO59" s="9">
        <v>0.788041246</v>
      </c>
      <c r="AP59" s="9">
        <v>0.794639</v>
      </c>
      <c r="AQ59" s="9">
        <v>0.785567</v>
      </c>
      <c r="AR59" s="9">
        <v>0.799010313</v>
      </c>
      <c r="AS59" s="9">
        <v>0.802887</v>
      </c>
      <c r="AT59" s="9">
        <v>0.806186</v>
      </c>
      <c r="AU59" s="9">
        <v>0.812041</v>
      </c>
      <c r="AV59" s="9">
        <v>0.803299</v>
      </c>
      <c r="AW59" s="9">
        <v>0.732371</v>
      </c>
      <c r="AX59" s="9">
        <v>0.820948</v>
      </c>
      <c r="AY59" s="9">
        <v>0.82268</v>
      </c>
      <c r="AZ59" s="9">
        <v>0.849897</v>
      </c>
      <c r="BA59" s="9">
        <v>0.786887</v>
      </c>
      <c r="BB59" s="9">
        <v>0.782268</v>
      </c>
      <c r="BC59" s="9">
        <v>0.804948</v>
      </c>
      <c r="BD59" s="9">
        <v>0.78523711</v>
      </c>
      <c r="BE59" s="9">
        <v>0.782268</v>
      </c>
      <c r="BF59" s="9">
        <v>0.813608</v>
      </c>
      <c r="BG59" s="9">
        <v>0.806433</v>
      </c>
      <c r="BH59" s="9">
        <v>0.812783</v>
      </c>
      <c r="BI59" s="9">
        <v>0.798351</v>
      </c>
      <c r="BJ59" s="9">
        <v>0.805361</v>
      </c>
      <c r="BK59" s="9">
        <v>0.807835</v>
      </c>
      <c r="BL59" s="9">
        <v>0.835052</v>
      </c>
      <c r="BM59" s="9">
        <v>0.810557</v>
      </c>
      <c r="BN59" s="9">
        <v>0.80701</v>
      </c>
      <c r="BO59" s="9">
        <v>0.816082</v>
      </c>
      <c r="BP59" s="9">
        <v>0.819464</v>
      </c>
      <c r="BQ59" s="9">
        <v>0.81732</v>
      </c>
      <c r="BR59" s="9">
        <v>0.840825</v>
      </c>
      <c r="BS59" s="9">
        <v>0.714144</v>
      </c>
      <c r="BT59" s="9">
        <v>0.723711</v>
      </c>
      <c r="BU59" s="9">
        <v>0.719175</v>
      </c>
      <c r="BV59" s="6"/>
      <c r="BW59" s="6" t="str">
        <f t="shared" si="1"/>
        <v>TS-CHIEF</v>
      </c>
      <c r="BX59" s="6" t="str">
        <f t="shared" si="2"/>
        <v>HIVE-COTE v1,0</v>
      </c>
      <c r="BY59" s="6" t="str">
        <f t="shared" si="3"/>
        <v>STC</v>
      </c>
      <c r="BZ59" s="6"/>
      <c r="CA59" s="11" t="str">
        <f t="shared" si="4"/>
        <v>#VALUE!</v>
      </c>
      <c r="CC59" s="6"/>
      <c r="CD59" s="6"/>
      <c r="CE59" s="6"/>
    </row>
    <row r="60" ht="15.75" customHeight="1">
      <c r="A60" s="1" t="s">
        <v>154</v>
      </c>
      <c r="B60" s="7" t="s">
        <v>211</v>
      </c>
      <c r="C60" s="16">
        <v>0.930111821086261</v>
      </c>
      <c r="D60" s="16">
        <v>0.936501597444089</v>
      </c>
      <c r="E60" s="16">
        <v>0.905484558040468</v>
      </c>
      <c r="F60" s="16">
        <v>0.880564430244941</v>
      </c>
      <c r="G60" s="16">
        <v>0.908892438764643</v>
      </c>
      <c r="H60" s="16">
        <v>0.903115015974441</v>
      </c>
      <c r="I60" s="16">
        <v>0.914962726304579</v>
      </c>
      <c r="J60" s="16">
        <v>0.904765708200213</v>
      </c>
      <c r="K60" s="16">
        <v>0.850985090521831</v>
      </c>
      <c r="L60" s="16">
        <v>0.896698615548455</v>
      </c>
      <c r="M60" s="16">
        <v>0.844195953141639</v>
      </c>
      <c r="N60" s="16">
        <v>0.878035143769968</v>
      </c>
      <c r="O60" s="16">
        <v>0.85545793397231</v>
      </c>
      <c r="P60" s="16">
        <v>0.848482428115016</v>
      </c>
      <c r="Q60" s="9">
        <v>0.673642</v>
      </c>
      <c r="R60" s="9">
        <v>0.722045</v>
      </c>
      <c r="S60" s="9">
        <v>0.789936</v>
      </c>
      <c r="T60" s="9">
        <v>0.823162937</v>
      </c>
      <c r="U60" s="9">
        <v>0.809105456</v>
      </c>
      <c r="V60" s="9">
        <v>0.539137</v>
      </c>
      <c r="W60" s="9">
        <v>0.810064</v>
      </c>
      <c r="X60" s="9">
        <v>0.826677</v>
      </c>
      <c r="Y60" s="9">
        <v>0.841054</v>
      </c>
      <c r="Z60" s="9">
        <v>0.75303514</v>
      </c>
      <c r="AA60" s="9">
        <v>0.8123</v>
      </c>
      <c r="AB60" s="9">
        <v>0.828275</v>
      </c>
      <c r="AC60" s="9">
        <v>0.739776</v>
      </c>
      <c r="AD60" s="9">
        <v>0.748403</v>
      </c>
      <c r="AE60" s="9">
        <v>0.698083</v>
      </c>
      <c r="AF60" s="9">
        <v>0.772683704</v>
      </c>
      <c r="AG60" s="9">
        <v>0.780351</v>
      </c>
      <c r="AH60" s="9">
        <v>0.770767</v>
      </c>
      <c r="AI60" s="9">
        <v>0.755112</v>
      </c>
      <c r="AJ60" s="9">
        <v>0.82508</v>
      </c>
      <c r="AK60" s="9">
        <v>0.833067</v>
      </c>
      <c r="AL60" s="9">
        <v>0.74984</v>
      </c>
      <c r="AM60" s="9">
        <v>0.802716</v>
      </c>
      <c r="AN60" s="9">
        <v>0.802716</v>
      </c>
      <c r="AO60" s="9">
        <v>0.710862625</v>
      </c>
      <c r="AP60" s="9">
        <v>0.735623</v>
      </c>
      <c r="AQ60" s="9">
        <v>0.759585</v>
      </c>
      <c r="AR60" s="9">
        <v>0.754952073</v>
      </c>
      <c r="AS60" s="9">
        <v>0.783546</v>
      </c>
      <c r="AT60" s="9">
        <v>0.741214</v>
      </c>
      <c r="AU60" s="9">
        <v>0.816933</v>
      </c>
      <c r="AV60" s="9">
        <v>0.820288</v>
      </c>
      <c r="AW60" s="9">
        <v>0.829872</v>
      </c>
      <c r="AX60" s="9">
        <v>0.82524</v>
      </c>
      <c r="AY60" s="9">
        <v>0.83147</v>
      </c>
      <c r="AZ60" s="9">
        <v>0.83147</v>
      </c>
      <c r="BA60" s="9">
        <v>0.697604</v>
      </c>
      <c r="BB60" s="9">
        <v>0.753195</v>
      </c>
      <c r="BC60" s="9">
        <v>0.798722</v>
      </c>
      <c r="BD60" s="9">
        <v>0.710383391</v>
      </c>
      <c r="BE60" s="9">
        <v>0.739617</v>
      </c>
      <c r="BF60" s="9">
        <v>0.783546</v>
      </c>
      <c r="BG60" s="9">
        <v>0.8123</v>
      </c>
      <c r="BH60" s="9">
        <v>0.82508</v>
      </c>
      <c r="BI60" s="9">
        <v>0.826677</v>
      </c>
      <c r="BJ60" s="9">
        <v>0.813738</v>
      </c>
      <c r="BK60" s="9">
        <v>0.81869</v>
      </c>
      <c r="BL60" s="9">
        <v>0.826677</v>
      </c>
      <c r="BM60" s="9">
        <v>0.71278</v>
      </c>
      <c r="BN60" s="9">
        <v>0.759585</v>
      </c>
      <c r="BO60" s="9">
        <v>0.724441</v>
      </c>
      <c r="BP60" s="9">
        <v>0.789137</v>
      </c>
      <c r="BQ60" s="9">
        <v>0.791534</v>
      </c>
      <c r="BR60" s="9">
        <v>0.807508</v>
      </c>
      <c r="BS60" s="9">
        <v>0.733227</v>
      </c>
      <c r="BT60" s="9">
        <v>0.852236</v>
      </c>
      <c r="BU60" s="9">
        <v>0.859425</v>
      </c>
      <c r="BV60" s="6"/>
      <c r="BW60" s="6" t="str">
        <f t="shared" si="1"/>
        <v>HIVE-COTE v1,0</v>
      </c>
      <c r="BX60" s="6" t="str">
        <f t="shared" si="2"/>
        <v>TS-CHIEF</v>
      </c>
      <c r="BY60" s="6" t="str">
        <f t="shared" si="3"/>
        <v>ProximityForest</v>
      </c>
      <c r="BZ60" s="6"/>
      <c r="CA60" s="11" t="str">
        <f t="shared" si="4"/>
        <v>#VALUE!</v>
      </c>
      <c r="CC60" s="6"/>
      <c r="CD60" s="6"/>
      <c r="CE60" s="6"/>
    </row>
    <row r="61" ht="15.75" customHeight="1">
      <c r="A61" s="1" t="s">
        <v>155</v>
      </c>
      <c r="B61" s="7" t="s">
        <v>211</v>
      </c>
      <c r="C61" s="16">
        <v>0.916666666666666</v>
      </c>
      <c r="D61" s="16">
        <v>0.883333333333333</v>
      </c>
      <c r="E61" s="16">
        <v>0.902222222222222</v>
      </c>
      <c r="F61" s="16">
        <v>0.874444444444444</v>
      </c>
      <c r="G61" s="16">
        <v>0.878888888888888</v>
      </c>
      <c r="H61" s="16">
        <v>0.862222222222222</v>
      </c>
      <c r="I61" s="16">
        <v>0.878888888888889</v>
      </c>
      <c r="J61" s="16">
        <v>0.913333333333333</v>
      </c>
      <c r="K61" s="16">
        <v>0.874444444444444</v>
      </c>
      <c r="L61" s="16">
        <v>0.874444444444444</v>
      </c>
      <c r="M61" s="16">
        <v>0.875555555555555</v>
      </c>
      <c r="N61" s="16">
        <v>0.893333333333333</v>
      </c>
      <c r="O61" s="16">
        <v>0.893333333333333</v>
      </c>
      <c r="P61" s="16">
        <v>0.745555555555555</v>
      </c>
      <c r="Q61" s="9">
        <v>0.513333</v>
      </c>
      <c r="R61" s="9">
        <v>0.533333</v>
      </c>
      <c r="S61" s="9">
        <v>0.4</v>
      </c>
      <c r="T61" s="9">
        <v>0.406666672</v>
      </c>
      <c r="U61" s="9">
        <v>0.400000006</v>
      </c>
      <c r="V61" s="9">
        <v>0.4</v>
      </c>
      <c r="W61" s="9">
        <v>0.4</v>
      </c>
      <c r="X61" s="9">
        <v>0.4</v>
      </c>
      <c r="Y61" s="9">
        <v>0.4</v>
      </c>
      <c r="Z61" s="9">
        <v>0.380000007</v>
      </c>
      <c r="AA61" s="9">
        <v>0.4</v>
      </c>
      <c r="AB61" s="9">
        <v>0.4</v>
      </c>
      <c r="AC61" s="9">
        <v>0.486667</v>
      </c>
      <c r="AD61" s="9">
        <v>0.466667</v>
      </c>
      <c r="AE61" s="9">
        <v>0.4</v>
      </c>
      <c r="AF61" s="9">
        <v>0.400000006</v>
      </c>
      <c r="AG61" s="9">
        <v>0.4</v>
      </c>
      <c r="AH61" s="9">
        <v>0.4</v>
      </c>
      <c r="AI61" s="9">
        <v>0.406667</v>
      </c>
      <c r="AJ61" s="9">
        <v>0.4</v>
      </c>
      <c r="AK61" s="9">
        <v>0.4</v>
      </c>
      <c r="AL61" s="9">
        <v>0.38</v>
      </c>
      <c r="AM61" s="9">
        <v>0.4</v>
      </c>
      <c r="AN61" s="9">
        <v>0.4</v>
      </c>
      <c r="AO61" s="9">
        <v>0.400000006</v>
      </c>
      <c r="AP61" s="9">
        <v>0.4</v>
      </c>
      <c r="AQ61" s="9">
        <v>0.4</v>
      </c>
      <c r="AR61" s="9">
        <v>0.433333337</v>
      </c>
      <c r="AS61" s="9">
        <v>0.4</v>
      </c>
      <c r="AT61" s="9">
        <v>0.4</v>
      </c>
      <c r="AU61" s="9">
        <v>0.4</v>
      </c>
      <c r="AV61" s="9">
        <v>0.4</v>
      </c>
      <c r="AW61" s="9">
        <v>0.4</v>
      </c>
      <c r="AX61" s="9">
        <v>0.4</v>
      </c>
      <c r="AY61" s="9">
        <v>0.4</v>
      </c>
      <c r="AZ61" s="9">
        <v>0.4</v>
      </c>
      <c r="BA61" s="9">
        <v>0.4</v>
      </c>
      <c r="BB61" s="9">
        <v>0.4</v>
      </c>
      <c r="BC61" s="9">
        <v>0.4</v>
      </c>
      <c r="BD61" s="9">
        <v>0.400000006</v>
      </c>
      <c r="BE61" s="9">
        <v>0.4</v>
      </c>
      <c r="BF61" s="9">
        <v>0.5</v>
      </c>
      <c r="BG61" s="9">
        <v>0.4</v>
      </c>
      <c r="BH61" s="9">
        <v>0.4</v>
      </c>
      <c r="BI61" s="9">
        <v>0.3</v>
      </c>
      <c r="BJ61" s="9">
        <v>0.366667</v>
      </c>
      <c r="BK61" s="9">
        <v>0.4</v>
      </c>
      <c r="BL61" s="9">
        <v>0.4</v>
      </c>
      <c r="BM61" s="9">
        <v>0.44</v>
      </c>
      <c r="BN61" s="9">
        <v>0.4</v>
      </c>
      <c r="BO61" s="9">
        <v>0.4</v>
      </c>
      <c r="BP61" s="9">
        <v>0.4</v>
      </c>
      <c r="BQ61" s="9">
        <v>0.4</v>
      </c>
      <c r="BR61" s="9">
        <v>0.4</v>
      </c>
      <c r="BS61" s="9">
        <v>0.4</v>
      </c>
      <c r="BT61" s="9">
        <v>0.4</v>
      </c>
      <c r="BU61" s="9">
        <v>0.4</v>
      </c>
      <c r="BV61" s="6"/>
      <c r="BW61" s="6" t="str">
        <f t="shared" si="1"/>
        <v>TS-CHIEF</v>
      </c>
      <c r="BX61" s="6" t="str">
        <f t="shared" si="2"/>
        <v>WEASEL</v>
      </c>
      <c r="BY61" s="6" t="str">
        <f t="shared" si="3"/>
        <v>ROCKET</v>
      </c>
      <c r="BZ61" s="6"/>
      <c r="CA61" s="11" t="str">
        <f t="shared" si="4"/>
        <v>#VALUE!</v>
      </c>
      <c r="CC61" s="6"/>
      <c r="CD61" s="6"/>
      <c r="CE61" s="6"/>
    </row>
    <row r="62" ht="15.75" customHeight="1">
      <c r="A62" s="1" t="s">
        <v>156</v>
      </c>
      <c r="B62" s="7" t="s">
        <v>211</v>
      </c>
      <c r="C62" s="16">
        <v>0.973553719008264</v>
      </c>
      <c r="D62" s="16">
        <v>0.974793388429752</v>
      </c>
      <c r="E62" s="16">
        <v>0.938705234159779</v>
      </c>
      <c r="F62" s="16">
        <v>0.952479338842975</v>
      </c>
      <c r="G62" s="16">
        <v>0.956336088154269</v>
      </c>
      <c r="H62" s="16">
        <v>0.97465564738292</v>
      </c>
      <c r="I62" s="16">
        <v>0.858539944903581</v>
      </c>
      <c r="J62" s="16">
        <v>0.851790633608815</v>
      </c>
      <c r="K62" s="16">
        <v>0.976859504132231</v>
      </c>
      <c r="L62" s="16">
        <v>0.960055096418732</v>
      </c>
      <c r="M62" s="16">
        <v>0.969146005509641</v>
      </c>
      <c r="N62" s="16">
        <v>0.65426997245179</v>
      </c>
      <c r="O62" s="16">
        <v>0.643250688705234</v>
      </c>
      <c r="P62" s="16">
        <v>0.724242424242424</v>
      </c>
      <c r="Q62" s="9">
        <v>0.41157</v>
      </c>
      <c r="R62" s="9">
        <v>0.413223</v>
      </c>
      <c r="S62" s="9">
        <v>0.421488</v>
      </c>
      <c r="T62" s="9">
        <v>0.444628102</v>
      </c>
      <c r="U62" s="9">
        <v>0.446280986</v>
      </c>
      <c r="V62" s="9">
        <v>0.181818</v>
      </c>
      <c r="W62" s="9">
        <v>0.455372</v>
      </c>
      <c r="X62" s="9">
        <v>0.450413</v>
      </c>
      <c r="Y62" s="9">
        <v>0.450413</v>
      </c>
      <c r="Z62" s="9">
        <v>0.41404959</v>
      </c>
      <c r="AA62" s="9">
        <v>0.400826</v>
      </c>
      <c r="AB62" s="9">
        <v>0.409091</v>
      </c>
      <c r="AC62" s="9">
        <v>0.384298</v>
      </c>
      <c r="AD62" s="9">
        <v>0.38843</v>
      </c>
      <c r="AE62" s="9">
        <v>0.404959</v>
      </c>
      <c r="AF62" s="9">
        <v>0.416528928</v>
      </c>
      <c r="AG62" s="9">
        <v>0.413223</v>
      </c>
      <c r="AH62" s="9">
        <v>0.404959</v>
      </c>
      <c r="AI62" s="9">
        <v>0.435537</v>
      </c>
      <c r="AJ62" s="9">
        <v>0.446281</v>
      </c>
      <c r="AK62" s="9">
        <v>0.46281</v>
      </c>
      <c r="AL62" s="9">
        <v>0.430579</v>
      </c>
      <c r="AM62" s="9">
        <v>0.429752</v>
      </c>
      <c r="AN62" s="9">
        <v>0.454545</v>
      </c>
      <c r="AO62" s="9">
        <v>0.459504133</v>
      </c>
      <c r="AP62" s="9">
        <v>0.46281</v>
      </c>
      <c r="AQ62" s="9">
        <v>0.495868</v>
      </c>
      <c r="AR62" s="9">
        <v>0.457024795</v>
      </c>
      <c r="AS62" s="9">
        <v>0.458678</v>
      </c>
      <c r="AT62" s="9">
        <v>0.487603</v>
      </c>
      <c r="AU62" s="9">
        <v>0.431405</v>
      </c>
      <c r="AV62" s="9">
        <v>0.417355</v>
      </c>
      <c r="AW62" s="9">
        <v>0.5</v>
      </c>
      <c r="AX62" s="9">
        <v>0.433884</v>
      </c>
      <c r="AY62" s="9">
        <v>0.429752</v>
      </c>
      <c r="AZ62" s="9">
        <v>0.454545</v>
      </c>
      <c r="BA62" s="9">
        <v>0.461983</v>
      </c>
      <c r="BB62" s="9">
        <v>0.454545</v>
      </c>
      <c r="BC62" s="9">
        <v>0.508264</v>
      </c>
      <c r="BD62" s="9">
        <v>0.466115707</v>
      </c>
      <c r="BE62" s="9">
        <v>0.466942</v>
      </c>
      <c r="BF62" s="9">
        <v>0.5</v>
      </c>
      <c r="BG62" s="9">
        <v>0.506612</v>
      </c>
      <c r="BH62" s="9">
        <v>0.487603</v>
      </c>
      <c r="BI62" s="9">
        <v>0.479339</v>
      </c>
      <c r="BJ62" s="9">
        <v>0.480992</v>
      </c>
      <c r="BK62" s="9">
        <v>0.495868</v>
      </c>
      <c r="BL62" s="9">
        <v>0.479339</v>
      </c>
      <c r="BM62" s="9">
        <v>0.458678</v>
      </c>
      <c r="BN62" s="9">
        <v>0.458678</v>
      </c>
      <c r="BO62" s="9">
        <v>0.479339</v>
      </c>
      <c r="BP62" s="9">
        <v>0.449587</v>
      </c>
      <c r="BQ62" s="9">
        <v>0.471074</v>
      </c>
      <c r="BR62" s="9">
        <v>0.495868</v>
      </c>
      <c r="BS62" s="9">
        <v>0.32562</v>
      </c>
      <c r="BT62" s="9">
        <v>0.322314</v>
      </c>
      <c r="BU62" s="9">
        <v>0.347107</v>
      </c>
      <c r="BV62" s="6"/>
      <c r="BW62" s="6" t="str">
        <f t="shared" si="1"/>
        <v>S-BOSS</v>
      </c>
      <c r="BX62" s="6" t="str">
        <f t="shared" si="2"/>
        <v>HIVE-COTE v1,0</v>
      </c>
      <c r="BY62" s="6" t="str">
        <f t="shared" si="3"/>
        <v>ResNet</v>
      </c>
      <c r="BZ62" s="6"/>
      <c r="CA62" s="11" t="str">
        <f t="shared" si="4"/>
        <v>#VALUE!</v>
      </c>
      <c r="CC62" s="6"/>
      <c r="CD62" s="6"/>
      <c r="CE62" s="6"/>
    </row>
    <row r="63" ht="15.75" customHeight="1">
      <c r="A63" s="1" t="s">
        <v>157</v>
      </c>
      <c r="B63" s="7" t="s">
        <v>211</v>
      </c>
      <c r="C63" s="16">
        <v>0.825330225330225</v>
      </c>
      <c r="D63" s="16">
        <v>0.826495726495726</v>
      </c>
      <c r="E63" s="16">
        <v>0.844716394716394</v>
      </c>
      <c r="F63" s="16">
        <v>0.861344211344211</v>
      </c>
      <c r="G63" s="16">
        <v>0.833682983682983</v>
      </c>
      <c r="H63" s="16">
        <v>0.847668997668997</v>
      </c>
      <c r="I63" s="16">
        <v>0.829098679098679</v>
      </c>
      <c r="J63" s="16">
        <v>0.821717171717171</v>
      </c>
      <c r="K63" s="16">
        <v>0.818881118881119</v>
      </c>
      <c r="L63" s="16">
        <v>0.779176379176379</v>
      </c>
      <c r="M63" s="16">
        <v>0.817365967365967</v>
      </c>
      <c r="N63" s="16">
        <v>0.812509712509712</v>
      </c>
      <c r="O63" s="16">
        <v>0.805710955710955</v>
      </c>
      <c r="P63" s="16">
        <v>0.791919191919191</v>
      </c>
      <c r="Q63" s="9">
        <v>0.660606</v>
      </c>
      <c r="R63" s="9">
        <v>0.613054</v>
      </c>
      <c r="S63" s="9">
        <v>0.744755</v>
      </c>
      <c r="T63" s="9">
        <v>0.677855492</v>
      </c>
      <c r="U63" s="9">
        <v>0.692307711</v>
      </c>
      <c r="V63" s="9">
        <v>0.613054</v>
      </c>
      <c r="W63" s="9">
        <v>0.731702</v>
      </c>
      <c r="X63" s="9">
        <v>0.731935</v>
      </c>
      <c r="Y63" s="9">
        <v>0.791375</v>
      </c>
      <c r="Z63" s="9">
        <v>0.721445227</v>
      </c>
      <c r="AA63" s="9">
        <v>0.748252</v>
      </c>
      <c r="AB63" s="9">
        <v>0.749417</v>
      </c>
      <c r="AC63" s="9">
        <v>0.697902</v>
      </c>
      <c r="AD63" s="9">
        <v>0.715618</v>
      </c>
      <c r="AE63" s="9">
        <v>0.731935</v>
      </c>
      <c r="AF63" s="9">
        <v>0.697202802</v>
      </c>
      <c r="AG63" s="9">
        <v>0.713287</v>
      </c>
      <c r="AH63" s="9">
        <v>0.713287</v>
      </c>
      <c r="AI63" s="9">
        <v>0.773193</v>
      </c>
      <c r="AJ63" s="9">
        <v>0.772727</v>
      </c>
      <c r="AK63" s="9">
        <v>0.763403</v>
      </c>
      <c r="AL63" s="9">
        <v>0.758974</v>
      </c>
      <c r="AM63" s="9">
        <v>0.758741</v>
      </c>
      <c r="AN63" s="9">
        <v>0.758741</v>
      </c>
      <c r="AO63" s="9">
        <v>0.703962719</v>
      </c>
      <c r="AP63" s="9">
        <v>0.722611</v>
      </c>
      <c r="AQ63" s="9">
        <v>0.740093</v>
      </c>
      <c r="AR63" s="9">
        <v>0.693473184</v>
      </c>
      <c r="AS63" s="9">
        <v>0.740093</v>
      </c>
      <c r="AT63" s="9">
        <v>0.761072</v>
      </c>
      <c r="AU63" s="9">
        <v>0.762471</v>
      </c>
      <c r="AV63" s="9">
        <v>0.762238</v>
      </c>
      <c r="AW63" s="9">
        <v>0.754079</v>
      </c>
      <c r="AX63" s="9">
        <v>0.734732</v>
      </c>
      <c r="AY63" s="9">
        <v>0.764569</v>
      </c>
      <c r="AZ63" s="9">
        <v>0.772727</v>
      </c>
      <c r="BA63" s="9">
        <v>0.72634</v>
      </c>
      <c r="BB63" s="9">
        <v>0.75641</v>
      </c>
      <c r="BC63" s="9">
        <v>0.750583</v>
      </c>
      <c r="BD63" s="9">
        <v>0.756643355</v>
      </c>
      <c r="BE63" s="9">
        <v>0.757576</v>
      </c>
      <c r="BF63" s="9">
        <v>0.729604</v>
      </c>
      <c r="BG63" s="9">
        <v>0.782284</v>
      </c>
      <c r="BH63" s="9">
        <v>0.784382</v>
      </c>
      <c r="BI63" s="9">
        <v>0.789044</v>
      </c>
      <c r="BJ63" s="9">
        <v>0.784615</v>
      </c>
      <c r="BK63" s="9">
        <v>0.780886</v>
      </c>
      <c r="BL63" s="9">
        <v>0.765734</v>
      </c>
      <c r="BM63" s="9">
        <v>0.741492</v>
      </c>
      <c r="BN63" s="9">
        <v>0.745921</v>
      </c>
      <c r="BO63" s="9">
        <v>0.75641</v>
      </c>
      <c r="BP63" s="9">
        <v>0.662704</v>
      </c>
      <c r="BQ63" s="9">
        <v>0.613054</v>
      </c>
      <c r="BR63" s="9">
        <v>0.763403</v>
      </c>
      <c r="BS63" s="9">
        <v>0.665501</v>
      </c>
      <c r="BT63" s="9">
        <v>0.664336</v>
      </c>
      <c r="BU63" s="9">
        <v>0.666667</v>
      </c>
      <c r="BV63" s="6"/>
      <c r="BW63" s="6" t="str">
        <f t="shared" si="1"/>
        <v>InceptionTime</v>
      </c>
      <c r="BX63" s="6" t="str">
        <f t="shared" si="2"/>
        <v>ResNet</v>
      </c>
      <c r="BY63" s="6" t="str">
        <f t="shared" si="3"/>
        <v>ROCKET</v>
      </c>
      <c r="BZ63" s="6"/>
      <c r="CA63" s="11" t="str">
        <f t="shared" si="4"/>
        <v>#VALUE!</v>
      </c>
      <c r="CC63" s="6"/>
      <c r="CD63" s="6"/>
      <c r="CE63" s="6"/>
    </row>
    <row r="64" ht="15.75" customHeight="1">
      <c r="A64" s="1" t="s">
        <v>158</v>
      </c>
      <c r="B64" s="7" t="s">
        <v>211</v>
      </c>
      <c r="C64" s="16">
        <v>0.369848804500703</v>
      </c>
      <c r="D64" s="16">
        <v>0.371167369901547</v>
      </c>
      <c r="E64" s="16">
        <v>0.27514064697609</v>
      </c>
      <c r="F64" s="16">
        <v>0.334440928270042</v>
      </c>
      <c r="G64" s="16">
        <v>0.356522503516174</v>
      </c>
      <c r="H64" s="16">
        <v>0.345675105485232</v>
      </c>
      <c r="I64" s="16">
        <v>0.320411392405063</v>
      </c>
      <c r="J64" s="16">
        <v>0.259476090014064</v>
      </c>
      <c r="K64" s="16">
        <v>0.279588607594936</v>
      </c>
      <c r="L64" s="16">
        <v>0.272609001406469</v>
      </c>
      <c r="M64" s="16">
        <v>0.254606188466947</v>
      </c>
      <c r="N64" s="16">
        <v>0.346624472573839</v>
      </c>
      <c r="O64" s="16">
        <v>0.193653305203938</v>
      </c>
      <c r="P64" s="16">
        <v>0.300158227848101</v>
      </c>
      <c r="Q64" s="9">
        <v>0.145042</v>
      </c>
      <c r="R64" s="9">
        <v>0.141878</v>
      </c>
      <c r="S64" s="9">
        <v>0.141878</v>
      </c>
      <c r="T64" s="9">
        <v>0.143565401</v>
      </c>
      <c r="U64" s="9">
        <v>0.145569623</v>
      </c>
      <c r="V64" s="9">
        <v>0.068565</v>
      </c>
      <c r="W64" s="9">
        <v>0.154958</v>
      </c>
      <c r="X64" s="9">
        <v>0.1577</v>
      </c>
      <c r="Y64" s="9">
        <v>0.160338</v>
      </c>
      <c r="Z64" s="9">
        <v>0.153797466</v>
      </c>
      <c r="AA64" s="9">
        <v>0.156118</v>
      </c>
      <c r="AB64" s="9">
        <v>0.1577</v>
      </c>
      <c r="AC64" s="9">
        <v>0.152426</v>
      </c>
      <c r="AD64" s="9">
        <v>0.151899</v>
      </c>
      <c r="AE64" s="9">
        <v>0.144515</v>
      </c>
      <c r="AF64" s="9">
        <v>0.15179325</v>
      </c>
      <c r="AG64" s="9">
        <v>0.149789</v>
      </c>
      <c r="AH64" s="9">
        <v>0.159283</v>
      </c>
      <c r="AI64" s="9">
        <v>0.143038</v>
      </c>
      <c r="AJ64" s="9">
        <v>0.152426</v>
      </c>
      <c r="AK64" s="9">
        <v>0.165084</v>
      </c>
      <c r="AL64" s="9">
        <v>0.151899</v>
      </c>
      <c r="AM64" s="9">
        <v>0.153481</v>
      </c>
      <c r="AN64" s="9">
        <v>0.145042</v>
      </c>
      <c r="AO64" s="9">
        <v>0.147257385</v>
      </c>
      <c r="AP64" s="9">
        <v>0.149789</v>
      </c>
      <c r="AQ64" s="9">
        <v>0.144515</v>
      </c>
      <c r="AR64" s="9">
        <v>0.153375527</v>
      </c>
      <c r="AS64" s="9">
        <v>0.152426</v>
      </c>
      <c r="AT64" s="9">
        <v>0.142405</v>
      </c>
      <c r="AU64" s="9">
        <v>0.151582</v>
      </c>
      <c r="AV64" s="9">
        <v>0.149262</v>
      </c>
      <c r="AW64" s="9">
        <v>0.159283</v>
      </c>
      <c r="AX64" s="9">
        <v>0.150527</v>
      </c>
      <c r="AY64" s="9">
        <v>0.150844</v>
      </c>
      <c r="AZ64" s="9">
        <v>0.112869</v>
      </c>
      <c r="BA64" s="9">
        <v>0.165823</v>
      </c>
      <c r="BB64" s="9">
        <v>0.167194</v>
      </c>
      <c r="BC64" s="9">
        <v>0.151899</v>
      </c>
      <c r="BD64" s="9">
        <v>0.155801687</v>
      </c>
      <c r="BE64" s="9">
        <v>0.156646</v>
      </c>
      <c r="BF64" s="9">
        <v>0.158755</v>
      </c>
      <c r="BG64" s="9">
        <v>0.144198</v>
      </c>
      <c r="BH64" s="9">
        <v>0.149262</v>
      </c>
      <c r="BI64" s="9">
        <v>0.150844</v>
      </c>
      <c r="BJ64" s="9">
        <v>0.145464</v>
      </c>
      <c r="BK64" s="9">
        <v>0.149262</v>
      </c>
      <c r="BL64" s="9">
        <v>0.162447</v>
      </c>
      <c r="BM64" s="9">
        <v>0.148207</v>
      </c>
      <c r="BN64" s="9">
        <v>0.150844</v>
      </c>
      <c r="BO64" s="9">
        <v>0.112869</v>
      </c>
      <c r="BP64" s="9">
        <v>0.127426</v>
      </c>
      <c r="BQ64" s="9">
        <v>0.120781</v>
      </c>
      <c r="BR64" s="9">
        <v>0.112869</v>
      </c>
      <c r="BS64" s="9">
        <v>0.112869</v>
      </c>
      <c r="BT64" s="9">
        <v>0.112869</v>
      </c>
      <c r="BU64" s="9">
        <v>0.112869</v>
      </c>
      <c r="BV64" s="6"/>
      <c r="BW64" s="6" t="str">
        <f t="shared" si="1"/>
        <v>HIVE-COTE v1,0</v>
      </c>
      <c r="BX64" s="6" t="str">
        <f t="shared" si="2"/>
        <v>TS-CHIEF</v>
      </c>
      <c r="BY64" s="6" t="str">
        <f t="shared" si="3"/>
        <v>STC</v>
      </c>
      <c r="BZ64" s="6"/>
      <c r="CA64" s="11" t="str">
        <f t="shared" si="4"/>
        <v>#VALUE!</v>
      </c>
      <c r="CC64" s="6"/>
      <c r="CD64" s="6"/>
      <c r="CE64" s="6"/>
    </row>
    <row r="65" ht="15.75" customHeight="1">
      <c r="A65" s="1" t="s">
        <v>159</v>
      </c>
      <c r="B65" s="7" t="s">
        <v>211</v>
      </c>
      <c r="C65" s="16">
        <v>0.960096153846153</v>
      </c>
      <c r="D65" s="16">
        <v>0.957692307692307</v>
      </c>
      <c r="E65" s="16">
        <v>0.19551282051282</v>
      </c>
      <c r="F65" s="16">
        <v>0.922115384615384</v>
      </c>
      <c r="G65" s="16">
        <v>0.977403846153846</v>
      </c>
      <c r="H65" s="16">
        <v>0.43701923076923</v>
      </c>
      <c r="I65" s="16">
        <v>0.275480769230769</v>
      </c>
      <c r="J65" s="16">
        <v>0.537820512820512</v>
      </c>
      <c r="K65" s="16">
        <v>0.957371794871794</v>
      </c>
      <c r="L65" s="16">
        <v>0.950961538461538</v>
      </c>
      <c r="M65" s="16">
        <v>0.941826923076923</v>
      </c>
      <c r="N65" s="16">
        <v>0.182532051282051</v>
      </c>
      <c r="O65" s="16">
        <v>0.280128205128205</v>
      </c>
      <c r="P65" s="16">
        <v>0.276923076923076</v>
      </c>
      <c r="Q65" s="9">
        <v>0.032692</v>
      </c>
      <c r="R65" s="9">
        <v>0.028846</v>
      </c>
      <c r="S65" s="9">
        <v>0.125</v>
      </c>
      <c r="T65" s="9">
        <v>0.039423078</v>
      </c>
      <c r="U65" s="9">
        <v>0.033653848</v>
      </c>
      <c r="V65" s="9">
        <v>0.019231</v>
      </c>
      <c r="W65" s="9">
        <v>0.047115</v>
      </c>
      <c r="X65" s="9">
        <v>0.052885</v>
      </c>
      <c r="Y65" s="9">
        <v>0.115385</v>
      </c>
      <c r="Z65" s="9">
        <v>0.025</v>
      </c>
      <c r="AA65" s="9">
        <v>0.024038</v>
      </c>
      <c r="AB65" s="9">
        <v>0.081731</v>
      </c>
      <c r="AC65" s="9">
        <v>0.032692</v>
      </c>
      <c r="AD65" s="9">
        <v>0.019231</v>
      </c>
      <c r="AE65" s="9">
        <v>0.100962</v>
      </c>
      <c r="AF65" s="9">
        <v>0.032692308</v>
      </c>
      <c r="AG65" s="9">
        <v>0.024038</v>
      </c>
      <c r="AH65" s="9">
        <v>0.067308</v>
      </c>
      <c r="AI65" s="9">
        <v>0.033654</v>
      </c>
      <c r="AJ65" s="9">
        <v>0.028846</v>
      </c>
      <c r="AK65" s="9">
        <v>0.0625</v>
      </c>
      <c r="AL65" s="9">
        <v>0.023077</v>
      </c>
      <c r="AM65" s="9">
        <v>0.019231</v>
      </c>
      <c r="AN65" s="9">
        <v>0.0625</v>
      </c>
      <c r="AO65" s="9">
        <v>0.035576924</v>
      </c>
      <c r="AP65" s="9">
        <v>0.033654</v>
      </c>
      <c r="AQ65" s="9">
        <v>0.081731</v>
      </c>
      <c r="AR65" s="9">
        <v>0.032692308</v>
      </c>
      <c r="AS65" s="9">
        <v>0.028846</v>
      </c>
      <c r="AT65" s="9">
        <v>0.072115</v>
      </c>
      <c r="AU65" s="9">
        <v>0.035577</v>
      </c>
      <c r="AV65" s="9">
        <v>0.038462</v>
      </c>
      <c r="AW65" s="9">
        <v>0.096154</v>
      </c>
      <c r="AX65" s="9">
        <v>0.019231</v>
      </c>
      <c r="AY65" s="9">
        <v>0.014423</v>
      </c>
      <c r="AZ65" s="9">
        <v>0.057692</v>
      </c>
      <c r="BA65" s="9">
        <v>0.025</v>
      </c>
      <c r="BB65" s="9">
        <v>0.024038</v>
      </c>
      <c r="BC65" s="9">
        <v>0.072115</v>
      </c>
      <c r="BD65" s="9">
        <v>0.026923077</v>
      </c>
      <c r="BE65" s="9">
        <v>0.024038</v>
      </c>
      <c r="BF65" s="9">
        <v>0.076923</v>
      </c>
      <c r="BG65" s="9">
        <v>0.028846</v>
      </c>
      <c r="BH65" s="9">
        <v>0.033654</v>
      </c>
      <c r="BI65" s="9">
        <v>0.043269</v>
      </c>
      <c r="BJ65" s="9">
        <v>0.033654</v>
      </c>
      <c r="BK65" s="9">
        <v>0.033654</v>
      </c>
      <c r="BL65" s="9">
        <v>0.043269</v>
      </c>
      <c r="BM65" s="9">
        <v>0.024038</v>
      </c>
      <c r="BN65" s="9">
        <v>0.019231</v>
      </c>
      <c r="BO65" s="9">
        <v>0.076923</v>
      </c>
      <c r="BP65" s="9">
        <v>0.036538</v>
      </c>
      <c r="BQ65" s="9">
        <v>0.038462</v>
      </c>
      <c r="BR65" s="9">
        <v>0.057692</v>
      </c>
      <c r="BS65" s="9">
        <v>0.023077</v>
      </c>
      <c r="BT65" s="9">
        <v>0.019231</v>
      </c>
      <c r="BU65" s="9">
        <v>0.038462</v>
      </c>
      <c r="BV65" s="6"/>
      <c r="BW65" s="6" t="str">
        <f t="shared" si="1"/>
        <v>STC</v>
      </c>
      <c r="BX65" s="6" t="str">
        <f t="shared" si="2"/>
        <v>TS-CHIEF</v>
      </c>
      <c r="BY65" s="6" t="str">
        <f t="shared" si="3"/>
        <v>HIVE-COTE v1,0</v>
      </c>
      <c r="BZ65" s="6"/>
      <c r="CA65" s="11" t="str">
        <f t="shared" si="4"/>
        <v>#VALUE!</v>
      </c>
      <c r="CC65" s="6"/>
      <c r="CD65" s="6"/>
      <c r="CE65" s="6"/>
    </row>
    <row r="66" ht="15.75" customHeight="1">
      <c r="A66" s="1" t="s">
        <v>160</v>
      </c>
      <c r="B66" s="7" t="s">
        <v>211</v>
      </c>
      <c r="C66" s="16">
        <v>0.968910256410256</v>
      </c>
      <c r="D66" s="16">
        <v>0.966826923076923</v>
      </c>
      <c r="E66" s="16">
        <v>0.908493589743589</v>
      </c>
      <c r="F66" s="16">
        <v>0.933333333333333</v>
      </c>
      <c r="G66" s="16">
        <v>0.945673076923077</v>
      </c>
      <c r="H66" s="16">
        <v>0.953685897435897</v>
      </c>
      <c r="I66" s="16">
        <v>0.715705128205128</v>
      </c>
      <c r="J66" s="16">
        <v>0.937820512820512</v>
      </c>
      <c r="K66" s="16">
        <v>0.974999999999999</v>
      </c>
      <c r="L66" s="16">
        <v>0.962179487179487</v>
      </c>
      <c r="M66" s="16">
        <v>0.967628205128205</v>
      </c>
      <c r="N66" s="16">
        <v>0.794551282051282</v>
      </c>
      <c r="O66" s="16">
        <v>0.307211538461538</v>
      </c>
      <c r="P66" s="16">
        <v>0.823557692307692</v>
      </c>
      <c r="Q66" s="9">
        <v>0.031731</v>
      </c>
      <c r="R66" s="9">
        <v>0.019231</v>
      </c>
      <c r="S66" s="9">
        <v>0.072115</v>
      </c>
      <c r="T66" s="9">
        <v>0.027884616</v>
      </c>
      <c r="U66" s="9">
        <v>0.024038462</v>
      </c>
      <c r="V66" s="9">
        <v>0.019231</v>
      </c>
      <c r="W66" s="9">
        <v>0.035577</v>
      </c>
      <c r="X66" s="9">
        <v>0.033654</v>
      </c>
      <c r="Y66" s="9">
        <v>0.149038</v>
      </c>
      <c r="Z66" s="9">
        <v>0.039423077</v>
      </c>
      <c r="AA66" s="9">
        <v>0.028846</v>
      </c>
      <c r="AB66" s="9">
        <v>0.173077</v>
      </c>
      <c r="AC66" s="9">
        <v>0.019231</v>
      </c>
      <c r="AD66" s="9">
        <v>0.019231</v>
      </c>
      <c r="AE66" s="9">
        <v>0.043269</v>
      </c>
      <c r="AF66" s="9">
        <v>0.022115385</v>
      </c>
      <c r="AG66" s="9">
        <v>0.019231</v>
      </c>
      <c r="AH66" s="9">
        <v>0.072115</v>
      </c>
      <c r="AI66" s="9">
        <v>0.025</v>
      </c>
      <c r="AJ66" s="9">
        <v>0.019231</v>
      </c>
      <c r="AK66" s="9">
        <v>0.125</v>
      </c>
      <c r="AL66" s="9">
        <v>0.016346</v>
      </c>
      <c r="AM66" s="9">
        <v>0.019231</v>
      </c>
      <c r="AN66" s="9">
        <v>0.043269</v>
      </c>
      <c r="AO66" s="9">
        <v>0.030769232</v>
      </c>
      <c r="AP66" s="9">
        <v>0.028846</v>
      </c>
      <c r="AQ66" s="9">
        <v>0.038462</v>
      </c>
      <c r="AR66" s="9">
        <v>0.023076924</v>
      </c>
      <c r="AS66" s="9">
        <v>0.019231</v>
      </c>
      <c r="AT66" s="9">
        <v>0.072115</v>
      </c>
      <c r="AU66" s="9">
        <v>0.027885</v>
      </c>
      <c r="AV66" s="9">
        <v>0.033654</v>
      </c>
      <c r="AW66" s="9">
        <v>0.096154</v>
      </c>
      <c r="AX66" s="9">
        <v>0.018269</v>
      </c>
      <c r="AY66" s="9">
        <v>0.019231</v>
      </c>
      <c r="AZ66" s="9">
        <v>0.019231</v>
      </c>
      <c r="BA66" s="9">
        <v>0.025</v>
      </c>
      <c r="BB66" s="9">
        <v>0.019231</v>
      </c>
      <c r="BC66" s="9">
        <v>0.052885</v>
      </c>
      <c r="BD66" s="9">
        <v>0.022115385</v>
      </c>
      <c r="BE66" s="9">
        <v>0.024038</v>
      </c>
      <c r="BF66" s="9">
        <v>0.057692</v>
      </c>
      <c r="BG66" s="9">
        <v>0.017308</v>
      </c>
      <c r="BH66" s="9">
        <v>0.019231</v>
      </c>
      <c r="BI66" s="9">
        <v>0.043269</v>
      </c>
      <c r="BJ66" s="9">
        <v>0.021154</v>
      </c>
      <c r="BK66" s="9">
        <v>0.019231</v>
      </c>
      <c r="BL66" s="9">
        <v>0.019231</v>
      </c>
      <c r="BM66" s="9">
        <v>0.021154</v>
      </c>
      <c r="BN66" s="9">
        <v>0.019231</v>
      </c>
      <c r="BO66" s="9">
        <v>0.072115</v>
      </c>
      <c r="BP66" s="9">
        <v>0.021154</v>
      </c>
      <c r="BQ66" s="9">
        <v>0.019231</v>
      </c>
      <c r="BR66" s="9">
        <v>0.024038</v>
      </c>
      <c r="BS66" s="9">
        <v>0.018269</v>
      </c>
      <c r="BT66" s="9">
        <v>0.019231</v>
      </c>
      <c r="BU66" s="9">
        <v>0.028846</v>
      </c>
      <c r="BV66" s="6"/>
      <c r="BW66" s="6" t="str">
        <f t="shared" si="1"/>
        <v>S-BOSS</v>
      </c>
      <c r="BX66" s="6" t="str">
        <f t="shared" si="2"/>
        <v>TS-CHIEF</v>
      </c>
      <c r="BY66" s="6" t="str">
        <f t="shared" si="3"/>
        <v>BOSS</v>
      </c>
      <c r="BZ66" s="6"/>
      <c r="CA66" s="11" t="str">
        <f t="shared" si="4"/>
        <v>#VALUE!</v>
      </c>
      <c r="CC66" s="6"/>
      <c r="CD66" s="6"/>
      <c r="CE66" s="6"/>
    </row>
    <row r="67" ht="15.75" customHeight="1">
      <c r="A67" s="1" t="s">
        <v>161</v>
      </c>
      <c r="B67" s="7" t="s">
        <v>211</v>
      </c>
      <c r="C67" s="16">
        <v>0.961378205128205</v>
      </c>
      <c r="D67" s="16">
        <v>0.953044871794871</v>
      </c>
      <c r="E67" s="16">
        <v>0.881730769230769</v>
      </c>
      <c r="F67" s="16">
        <v>0.905288461538461</v>
      </c>
      <c r="G67" s="16">
        <v>0.899679487179487</v>
      </c>
      <c r="H67" s="16">
        <v>0.45400641025641</v>
      </c>
      <c r="I67" s="16">
        <v>0.500480769230769</v>
      </c>
      <c r="J67" s="16">
        <v>0.897916666666666</v>
      </c>
      <c r="K67" s="16">
        <v>0.95801282051282</v>
      </c>
      <c r="L67" s="16">
        <v>0.952884615384615</v>
      </c>
      <c r="M67" s="16">
        <v>0.959455128205128</v>
      </c>
      <c r="N67" s="16">
        <v>0.682532051282051</v>
      </c>
      <c r="O67" s="16">
        <v>0.178205128205128</v>
      </c>
      <c r="P67" s="16">
        <v>0.476121794871794</v>
      </c>
      <c r="Q67" s="9">
        <v>0.021154</v>
      </c>
      <c r="R67" s="9">
        <v>0.019231</v>
      </c>
      <c r="S67" s="9">
        <v>0.100962</v>
      </c>
      <c r="T67" s="9">
        <v>0.01923077</v>
      </c>
      <c r="U67" s="9">
        <v>0.01923077</v>
      </c>
      <c r="V67" s="9">
        <v>0.019231</v>
      </c>
      <c r="W67" s="9">
        <v>0.021154</v>
      </c>
      <c r="X67" s="9">
        <v>0.019231</v>
      </c>
      <c r="Y67" s="9">
        <v>0.067308</v>
      </c>
      <c r="Z67" s="9">
        <v>0.023076924</v>
      </c>
      <c r="AA67" s="9">
        <v>0.019231</v>
      </c>
      <c r="AB67" s="9">
        <v>0.0625</v>
      </c>
      <c r="AC67" s="9">
        <v>0.026923</v>
      </c>
      <c r="AD67" s="9">
        <v>0.024038</v>
      </c>
      <c r="AE67" s="9">
        <v>0.057692</v>
      </c>
      <c r="AF67" s="9">
        <v>0.027884616</v>
      </c>
      <c r="AG67" s="9">
        <v>0.028846</v>
      </c>
      <c r="AH67" s="9">
        <v>0.028846</v>
      </c>
      <c r="AI67" s="9">
        <v>0.027885</v>
      </c>
      <c r="AJ67" s="9">
        <v>0.028846</v>
      </c>
      <c r="AK67" s="9">
        <v>0.067308</v>
      </c>
      <c r="AL67" s="9">
        <v>0.023077</v>
      </c>
      <c r="AM67" s="9">
        <v>0.024038</v>
      </c>
      <c r="AN67" s="9">
        <v>0.043269</v>
      </c>
      <c r="AO67" s="9">
        <v>0.018269231</v>
      </c>
      <c r="AP67" s="9">
        <v>0.019231</v>
      </c>
      <c r="AQ67" s="9">
        <v>0.038462</v>
      </c>
      <c r="AR67" s="9">
        <v>0.025961539</v>
      </c>
      <c r="AS67" s="9">
        <v>0.024038</v>
      </c>
      <c r="AT67" s="9">
        <v>0.052885</v>
      </c>
      <c r="AU67" s="9">
        <v>0.016346</v>
      </c>
      <c r="AV67" s="9">
        <v>0.019231</v>
      </c>
      <c r="AW67" s="9">
        <v>0.057692</v>
      </c>
      <c r="AX67" s="9">
        <v>0.027885</v>
      </c>
      <c r="AY67" s="9">
        <v>0.028846</v>
      </c>
      <c r="AZ67" s="9">
        <v>0.028846</v>
      </c>
      <c r="BA67" s="9">
        <v>0.023077</v>
      </c>
      <c r="BB67" s="9">
        <v>0.024038</v>
      </c>
      <c r="BC67" s="9">
        <v>0.038462</v>
      </c>
      <c r="BD67" s="9">
        <v>0.025000001</v>
      </c>
      <c r="BE67" s="9">
        <v>0.019231</v>
      </c>
      <c r="BF67" s="9">
        <v>0.057692</v>
      </c>
      <c r="BG67" s="9">
        <v>0.024038</v>
      </c>
      <c r="BH67" s="9">
        <v>0.024038</v>
      </c>
      <c r="BI67" s="9">
        <v>0.043269</v>
      </c>
      <c r="BJ67" s="9">
        <v>0.015385</v>
      </c>
      <c r="BK67" s="9">
        <v>0.019231</v>
      </c>
      <c r="BL67" s="9">
        <v>0.028846</v>
      </c>
      <c r="BM67" s="9">
        <v>0.024038</v>
      </c>
      <c r="BN67" s="9">
        <v>0.019231</v>
      </c>
      <c r="BO67" s="9">
        <v>0.076923</v>
      </c>
      <c r="BP67" s="9">
        <v>0.019231</v>
      </c>
      <c r="BQ67" s="9">
        <v>0.019231</v>
      </c>
      <c r="BR67" s="9">
        <v>0.019231</v>
      </c>
      <c r="BS67" s="9">
        <v>0.018269</v>
      </c>
      <c r="BT67" s="9">
        <v>0.019231</v>
      </c>
      <c r="BU67" s="9">
        <v>0.033654</v>
      </c>
      <c r="BV67" s="6"/>
      <c r="BW67" s="6" t="str">
        <f t="shared" si="1"/>
        <v>TS-CHIEF</v>
      </c>
      <c r="BX67" s="6" t="str">
        <f t="shared" si="2"/>
        <v>BOSS</v>
      </c>
      <c r="BY67" s="6" t="str">
        <f t="shared" si="3"/>
        <v>S-BOSS</v>
      </c>
      <c r="BZ67" s="6"/>
      <c r="CA67" s="11" t="str">
        <f t="shared" si="4"/>
        <v>#VALUE!</v>
      </c>
      <c r="CC67" s="6"/>
      <c r="CD67" s="6"/>
      <c r="CE67" s="6"/>
    </row>
    <row r="68" ht="15.75" customHeight="1">
      <c r="A68" s="1" t="s">
        <v>162</v>
      </c>
      <c r="B68" s="7" t="s">
        <v>211</v>
      </c>
      <c r="C68" s="16">
        <v>1.0</v>
      </c>
      <c r="D68" s="16">
        <v>1.0</v>
      </c>
      <c r="E68" s="16">
        <v>1.0</v>
      </c>
      <c r="F68" s="16">
        <v>0.996825396825396</v>
      </c>
      <c r="G68" s="16">
        <v>0.999047619047619</v>
      </c>
      <c r="H68" s="16">
        <v>1.0</v>
      </c>
      <c r="I68" s="16">
        <v>1.0</v>
      </c>
      <c r="J68" s="16">
        <v>0.994920634920635</v>
      </c>
      <c r="K68" s="16">
        <v>0.997777777777777</v>
      </c>
      <c r="L68" s="16">
        <v>1.0</v>
      </c>
      <c r="M68" s="16">
        <v>0.998095238095238</v>
      </c>
      <c r="N68" s="16">
        <v>0.996507936507936</v>
      </c>
      <c r="O68" s="16">
        <v>0.995873015873015</v>
      </c>
      <c r="P68" s="16">
        <v>0.988253968253968</v>
      </c>
      <c r="Q68" s="9">
        <v>0.942857</v>
      </c>
      <c r="R68" s="9">
        <v>0.942857</v>
      </c>
      <c r="S68" s="9">
        <v>0.971429</v>
      </c>
      <c r="T68" s="9">
        <v>0.939047623</v>
      </c>
      <c r="U68" s="9">
        <v>0.942857146</v>
      </c>
      <c r="V68" s="9">
        <v>0.095238</v>
      </c>
      <c r="W68" s="9">
        <v>0.990476</v>
      </c>
      <c r="X68" s="9">
        <v>0.990476</v>
      </c>
      <c r="Y68" s="9">
        <v>0.990476</v>
      </c>
      <c r="Z68" s="9">
        <v>0.940952384</v>
      </c>
      <c r="AA68" s="9">
        <v>0.990476</v>
      </c>
      <c r="AB68" s="9">
        <v>0.990476</v>
      </c>
      <c r="AC68" s="9">
        <v>0.994286</v>
      </c>
      <c r="AD68" s="9">
        <v>0.990476</v>
      </c>
      <c r="AE68" s="9">
        <v>1.0</v>
      </c>
      <c r="AF68" s="9">
        <v>0.994285715</v>
      </c>
      <c r="AG68" s="9">
        <v>1.0</v>
      </c>
      <c r="AH68" s="9">
        <v>1.0</v>
      </c>
      <c r="AI68" s="9">
        <v>0.971429</v>
      </c>
      <c r="AJ68" s="9">
        <v>0.971429</v>
      </c>
      <c r="AK68" s="9">
        <v>0.990476</v>
      </c>
      <c r="AL68" s="9">
        <v>0.986667</v>
      </c>
      <c r="AM68" s="9">
        <v>0.980952</v>
      </c>
      <c r="AN68" s="9">
        <v>0.971429</v>
      </c>
      <c r="AO68" s="9">
        <v>0.960000002</v>
      </c>
      <c r="AP68" s="9">
        <v>0.990476</v>
      </c>
      <c r="AQ68" s="9">
        <v>1.0</v>
      </c>
      <c r="AR68" s="9">
        <v>0.990476191</v>
      </c>
      <c r="AS68" s="9">
        <v>0.990476</v>
      </c>
      <c r="AT68" s="9">
        <v>0.990476</v>
      </c>
      <c r="AU68" s="9">
        <v>0.986667</v>
      </c>
      <c r="AV68" s="9">
        <v>0.990476</v>
      </c>
      <c r="AW68" s="9">
        <v>0.990476</v>
      </c>
      <c r="AX68" s="9">
        <v>0.948571</v>
      </c>
      <c r="AY68" s="9">
        <v>0.961905</v>
      </c>
      <c r="AZ68" s="9">
        <v>0.961905</v>
      </c>
      <c r="BA68" s="9">
        <v>0.954286</v>
      </c>
      <c r="BB68" s="9">
        <v>1.0</v>
      </c>
      <c r="BC68" s="9">
        <v>0.933333</v>
      </c>
      <c r="BD68" s="9">
        <v>0.994285715</v>
      </c>
      <c r="BE68" s="9">
        <v>1.0</v>
      </c>
      <c r="BF68" s="9">
        <v>1.0</v>
      </c>
      <c r="BG68" s="9">
        <v>0.937143</v>
      </c>
      <c r="BH68" s="9">
        <v>0.980952</v>
      </c>
      <c r="BI68" s="9">
        <v>0.990476</v>
      </c>
      <c r="BJ68" s="9">
        <v>0.980952</v>
      </c>
      <c r="BK68" s="9">
        <v>0.980952</v>
      </c>
      <c r="BL68" s="9">
        <v>0.980952</v>
      </c>
      <c r="BM68" s="9">
        <v>0.99619</v>
      </c>
      <c r="BN68" s="9">
        <v>1.0</v>
      </c>
      <c r="BO68" s="9">
        <v>1.0</v>
      </c>
      <c r="BP68" s="9">
        <v>0.954286</v>
      </c>
      <c r="BQ68" s="9">
        <v>0.980952</v>
      </c>
      <c r="BR68" s="9">
        <v>0.990476</v>
      </c>
      <c r="BS68" s="9">
        <v>0.965714</v>
      </c>
      <c r="BT68" s="9">
        <v>0.971429</v>
      </c>
      <c r="BU68" s="9">
        <v>0.971429</v>
      </c>
      <c r="BV68" s="6"/>
      <c r="BW68" s="6" t="str">
        <f t="shared" si="1"/>
        <v>TS-CHIEF</v>
      </c>
      <c r="BX68" s="6" t="str">
        <f t="shared" si="2"/>
        <v>TS-CHIEF</v>
      </c>
      <c r="BY68" s="6" t="str">
        <f t="shared" si="3"/>
        <v>TS-CHIEF</v>
      </c>
      <c r="BZ68" s="6"/>
      <c r="CA68" s="11" t="str">
        <f t="shared" si="4"/>
        <v>#VALUE!</v>
      </c>
      <c r="CC68" s="6"/>
      <c r="CD68" s="6"/>
      <c r="CE68" s="6"/>
    </row>
    <row r="69" ht="15.75" customHeight="1">
      <c r="A69" s="1" t="s">
        <v>163</v>
      </c>
      <c r="B69" s="7" t="s">
        <v>211</v>
      </c>
      <c r="C69" s="16">
        <v>0.846341463414634</v>
      </c>
      <c r="D69" s="16">
        <v>0.855934959349593</v>
      </c>
      <c r="E69" s="16">
        <v>0.852357723577236</v>
      </c>
      <c r="F69" s="16">
        <v>0.822113821138211</v>
      </c>
      <c r="G69" s="16">
        <v>0.845528455284553</v>
      </c>
      <c r="H69" s="16">
        <v>0.81739837398374</v>
      </c>
      <c r="I69" s="16">
        <v>0.840162601626016</v>
      </c>
      <c r="J69" s="16">
        <v>0.844878048780488</v>
      </c>
      <c r="K69" s="16">
        <v>0.832520325203252</v>
      </c>
      <c r="L69" s="16">
        <v>0.849756097560975</v>
      </c>
      <c r="M69" s="16">
        <v>0.828455284552845</v>
      </c>
      <c r="N69" s="16">
        <v>0.857235772357723</v>
      </c>
      <c r="O69" s="16">
        <v>0.845040650406504</v>
      </c>
      <c r="P69" s="16">
        <v>0.858373983739837</v>
      </c>
      <c r="Q69" s="9">
        <v>0.846829</v>
      </c>
      <c r="R69" s="9">
        <v>0.848781</v>
      </c>
      <c r="S69" s="9">
        <v>0.834146</v>
      </c>
      <c r="T69" s="9">
        <v>0.836097562</v>
      </c>
      <c r="U69" s="9">
        <v>0.829268277</v>
      </c>
      <c r="V69" s="9">
        <v>0.487805</v>
      </c>
      <c r="W69" s="9">
        <v>0.849756</v>
      </c>
      <c r="X69" s="9">
        <v>0.848781</v>
      </c>
      <c r="Y69" s="9">
        <v>0.868293</v>
      </c>
      <c r="Z69" s="9">
        <v>0.850731719</v>
      </c>
      <c r="AA69" s="9">
        <v>0.848781</v>
      </c>
      <c r="AB69" s="9">
        <v>0.839024</v>
      </c>
      <c r="AC69" s="9">
        <v>0.834146</v>
      </c>
      <c r="AD69" s="9">
        <v>0.843902</v>
      </c>
      <c r="AE69" s="9">
        <v>0.809756</v>
      </c>
      <c r="AF69" s="9">
        <v>0.846829271</v>
      </c>
      <c r="AG69" s="9">
        <v>0.848781</v>
      </c>
      <c r="AH69" s="9">
        <v>0.809756</v>
      </c>
      <c r="AI69" s="9">
        <v>0.829268</v>
      </c>
      <c r="AJ69" s="9">
        <v>0.829268</v>
      </c>
      <c r="AK69" s="9">
        <v>0.848781</v>
      </c>
      <c r="AL69" s="9">
        <v>0.846829</v>
      </c>
      <c r="AM69" s="9">
        <v>0.848781</v>
      </c>
      <c r="AN69" s="9">
        <v>0.848781</v>
      </c>
      <c r="AO69" s="9">
        <v>0.845853651</v>
      </c>
      <c r="AP69" s="9">
        <v>0.834146</v>
      </c>
      <c r="AQ69" s="9">
        <v>0.829268</v>
      </c>
      <c r="AR69" s="9">
        <v>0.84000001</v>
      </c>
      <c r="AS69" s="9">
        <v>0.843902</v>
      </c>
      <c r="AT69" s="9">
        <v>0.82439</v>
      </c>
      <c r="AU69" s="9">
        <v>0.839024</v>
      </c>
      <c r="AV69" s="9">
        <v>0.839024</v>
      </c>
      <c r="AW69" s="9">
        <v>0.843902</v>
      </c>
      <c r="AX69" s="9">
        <v>0.845854</v>
      </c>
      <c r="AY69" s="9">
        <v>0.848781</v>
      </c>
      <c r="AZ69" s="9">
        <v>0.843902</v>
      </c>
      <c r="BA69" s="9">
        <v>0.835122</v>
      </c>
      <c r="BB69" s="9">
        <v>0.829268</v>
      </c>
      <c r="BC69" s="9">
        <v>0.848781</v>
      </c>
      <c r="BD69" s="9">
        <v>0.846829283</v>
      </c>
      <c r="BE69" s="9">
        <v>0.848781</v>
      </c>
      <c r="BF69" s="9">
        <v>0.82439</v>
      </c>
      <c r="BG69" s="9">
        <v>0.84878</v>
      </c>
      <c r="BH69" s="9">
        <v>0.863415</v>
      </c>
      <c r="BI69" s="9">
        <v>0.834146</v>
      </c>
      <c r="BJ69" s="9">
        <v>0.837073</v>
      </c>
      <c r="BK69" s="9">
        <v>0.848781</v>
      </c>
      <c r="BL69" s="9">
        <v>0.848781</v>
      </c>
      <c r="BM69" s="9">
        <v>0.843902</v>
      </c>
      <c r="BN69" s="9">
        <v>0.843902</v>
      </c>
      <c r="BO69" s="9">
        <v>0.839024</v>
      </c>
      <c r="BP69" s="9">
        <v>0.850732</v>
      </c>
      <c r="BQ69" s="9">
        <v>0.848781</v>
      </c>
      <c r="BR69" s="9">
        <v>0.843902</v>
      </c>
      <c r="BS69" s="9">
        <v>0.845854</v>
      </c>
      <c r="BT69" s="9">
        <v>0.843902</v>
      </c>
      <c r="BU69" s="9">
        <v>0.839024</v>
      </c>
      <c r="BV69" s="6"/>
      <c r="BW69" s="6" t="str">
        <f t="shared" si="1"/>
        <v>5V_One_Acc</v>
      </c>
      <c r="BX69" s="6" t="str">
        <f t="shared" si="2"/>
        <v>12V_Fold_Median</v>
      </c>
      <c r="BY69" s="6" t="str">
        <f t="shared" si="3"/>
        <v>Catch22</v>
      </c>
      <c r="BZ69" s="6"/>
      <c r="CA69" s="11" t="str">
        <f t="shared" si="4"/>
        <v>#VALUE!</v>
      </c>
      <c r="CC69" s="6"/>
      <c r="CD69" s="6"/>
      <c r="CE69" s="6"/>
    </row>
    <row r="70" ht="15.75" customHeight="1">
      <c r="A70" s="1" t="s">
        <v>164</v>
      </c>
      <c r="B70" s="7" t="s">
        <v>211</v>
      </c>
      <c r="C70" s="16">
        <v>0.875486827033219</v>
      </c>
      <c r="D70" s="16">
        <v>0.885223367697594</v>
      </c>
      <c r="E70" s="16">
        <v>0.899312714776632</v>
      </c>
      <c r="F70" s="16">
        <v>0.906300114547537</v>
      </c>
      <c r="G70" s="16">
        <v>0.895303550973654</v>
      </c>
      <c r="H70" s="16">
        <v>0.905612829324169</v>
      </c>
      <c r="I70" s="16">
        <v>0.865864833906071</v>
      </c>
      <c r="J70" s="16">
        <v>0.876288659793814</v>
      </c>
      <c r="K70" s="16">
        <v>0.866208476517755</v>
      </c>
      <c r="L70" s="16">
        <v>0.864604810996563</v>
      </c>
      <c r="M70" s="16">
        <v>0.865521191294387</v>
      </c>
      <c r="N70" s="16">
        <v>0.873654066437571</v>
      </c>
      <c r="O70" s="16">
        <v>0.848911798396334</v>
      </c>
      <c r="P70" s="16">
        <v>0.833676975945017</v>
      </c>
      <c r="Q70" s="9">
        <v>0.799313</v>
      </c>
      <c r="R70" s="9">
        <v>0.800687</v>
      </c>
      <c r="S70" s="9">
        <v>0.797251</v>
      </c>
      <c r="T70" s="9">
        <v>0.77594502</v>
      </c>
      <c r="U70" s="9">
        <v>0.786941588</v>
      </c>
      <c r="V70" s="9">
        <v>0.683849</v>
      </c>
      <c r="W70" s="9">
        <v>0.815808</v>
      </c>
      <c r="X70" s="9">
        <v>0.814433</v>
      </c>
      <c r="Y70" s="9">
        <v>0.862543</v>
      </c>
      <c r="Z70" s="9">
        <v>0.82474227</v>
      </c>
      <c r="AA70" s="9">
        <v>0.831615</v>
      </c>
      <c r="AB70" s="9">
        <v>0.848797</v>
      </c>
      <c r="AC70" s="9">
        <v>0.778007</v>
      </c>
      <c r="AD70" s="9">
        <v>0.800687</v>
      </c>
      <c r="AE70" s="9">
        <v>0.821306</v>
      </c>
      <c r="AF70" s="9">
        <v>0.782130587</v>
      </c>
      <c r="AG70" s="9">
        <v>0.800687</v>
      </c>
      <c r="AH70" s="9">
        <v>0.814433</v>
      </c>
      <c r="AI70" s="9">
        <v>0.828179</v>
      </c>
      <c r="AJ70" s="9">
        <v>0.828179</v>
      </c>
      <c r="AK70" s="9">
        <v>0.828179</v>
      </c>
      <c r="AL70" s="9">
        <v>0.821306</v>
      </c>
      <c r="AM70" s="9">
        <v>0.821306</v>
      </c>
      <c r="AN70" s="9">
        <v>0.821306</v>
      </c>
      <c r="AO70" s="9">
        <v>0.811683857</v>
      </c>
      <c r="AP70" s="9">
        <v>0.817869</v>
      </c>
      <c r="AQ70" s="9">
        <v>0.793814</v>
      </c>
      <c r="AR70" s="9">
        <v>0.812371147</v>
      </c>
      <c r="AS70" s="9">
        <v>0.810997</v>
      </c>
      <c r="AT70" s="9">
        <v>0.793814</v>
      </c>
      <c r="AU70" s="9">
        <v>0.80756</v>
      </c>
      <c r="AV70" s="9">
        <v>0.835052</v>
      </c>
      <c r="AW70" s="9">
        <v>0.821306</v>
      </c>
      <c r="AX70" s="9">
        <v>0.827491</v>
      </c>
      <c r="AY70" s="9">
        <v>0.838488</v>
      </c>
      <c r="AZ70" s="9">
        <v>0.845361</v>
      </c>
      <c r="BA70" s="9">
        <v>0.812371</v>
      </c>
      <c r="BB70" s="9">
        <v>0.817869</v>
      </c>
      <c r="BC70" s="9">
        <v>0.845361</v>
      </c>
      <c r="BD70" s="9">
        <v>0.778006876</v>
      </c>
      <c r="BE70" s="9">
        <v>0.797251</v>
      </c>
      <c r="BF70" s="9">
        <v>0.848797</v>
      </c>
      <c r="BG70" s="9">
        <v>0.852921</v>
      </c>
      <c r="BH70" s="9">
        <v>0.852234</v>
      </c>
      <c r="BI70" s="9">
        <v>0.848797</v>
      </c>
      <c r="BJ70" s="9">
        <v>0.819931</v>
      </c>
      <c r="BK70" s="9">
        <v>0.852234</v>
      </c>
      <c r="BL70" s="9">
        <v>0.862543</v>
      </c>
      <c r="BM70" s="9">
        <v>0.776632</v>
      </c>
      <c r="BN70" s="9">
        <v>0.797251</v>
      </c>
      <c r="BO70" s="9">
        <v>0.841924</v>
      </c>
      <c r="BP70" s="9">
        <v>0.819931</v>
      </c>
      <c r="BQ70" s="9">
        <v>0.821306</v>
      </c>
      <c r="BR70" s="9">
        <v>0.80756</v>
      </c>
      <c r="BS70" s="9">
        <v>0.72646</v>
      </c>
      <c r="BT70" s="9">
        <v>0.683849</v>
      </c>
      <c r="BU70" s="9">
        <v>0.793814</v>
      </c>
      <c r="BV70" s="6"/>
      <c r="BW70" s="6" t="str">
        <f t="shared" si="1"/>
        <v>InceptionTime</v>
      </c>
      <c r="BX70" s="6" t="str">
        <f t="shared" si="2"/>
        <v>ResNet</v>
      </c>
      <c r="BY70" s="6" t="str">
        <f t="shared" si="3"/>
        <v>ROCKET</v>
      </c>
      <c r="BZ70" s="6"/>
      <c r="CA70" s="11" t="str">
        <f t="shared" si="4"/>
        <v>#VALUE!</v>
      </c>
      <c r="CC70" s="6"/>
      <c r="CD70" s="6"/>
      <c r="CE70" s="6"/>
    </row>
    <row r="71" ht="15.75" customHeight="1">
      <c r="A71" s="1" t="s">
        <v>165</v>
      </c>
      <c r="B71" s="7" t="s">
        <v>211</v>
      </c>
      <c r="C71" s="16">
        <v>0.811056910569105</v>
      </c>
      <c r="D71" s="16">
        <v>0.81609756097561</v>
      </c>
      <c r="E71" s="16">
        <v>0.803577235772358</v>
      </c>
      <c r="F71" s="16">
        <v>0.781626016260162</v>
      </c>
      <c r="G71" s="16">
        <v>0.807642276422764</v>
      </c>
      <c r="H71" s="16">
        <v>0.789430894308943</v>
      </c>
      <c r="I71" s="16">
        <v>0.790731707317073</v>
      </c>
      <c r="J71" s="16">
        <v>0.801463414634146</v>
      </c>
      <c r="K71" s="16">
        <v>0.774634146341463</v>
      </c>
      <c r="L71" s="16">
        <v>0.794634146341463</v>
      </c>
      <c r="M71" s="16">
        <v>0.768617886178862</v>
      </c>
      <c r="N71" s="16">
        <v>0.813170731707317</v>
      </c>
      <c r="O71" s="16">
        <v>0.801626016260162</v>
      </c>
      <c r="P71" s="16">
        <v>0.786341463414634</v>
      </c>
      <c r="Q71" s="9">
        <v>0.766829</v>
      </c>
      <c r="R71" s="9">
        <v>0.765854</v>
      </c>
      <c r="S71" s="9">
        <v>0.760976</v>
      </c>
      <c r="T71" s="9">
        <v>0.716097558</v>
      </c>
      <c r="U71" s="9">
        <v>0.67804879</v>
      </c>
      <c r="V71" s="9">
        <v>0.35122</v>
      </c>
      <c r="W71" s="9">
        <v>0.746341</v>
      </c>
      <c r="X71" s="9">
        <v>0.77561</v>
      </c>
      <c r="Y71" s="9">
        <v>0.795122</v>
      </c>
      <c r="Z71" s="9">
        <v>0.779512203</v>
      </c>
      <c r="AA71" s="9">
        <v>0.795122</v>
      </c>
      <c r="AB71" s="9">
        <v>0.8</v>
      </c>
      <c r="AC71" s="9">
        <v>0.760976</v>
      </c>
      <c r="AD71" s="9">
        <v>0.756098</v>
      </c>
      <c r="AE71" s="9">
        <v>0.765854</v>
      </c>
      <c r="AF71" s="9">
        <v>0.776585352</v>
      </c>
      <c r="AG71" s="9">
        <v>0.77561</v>
      </c>
      <c r="AH71" s="9">
        <v>0.770732</v>
      </c>
      <c r="AI71" s="9">
        <v>0.806829</v>
      </c>
      <c r="AJ71" s="9">
        <v>0.804878</v>
      </c>
      <c r="AK71" s="9">
        <v>0.804878</v>
      </c>
      <c r="AL71" s="9">
        <v>0.724878</v>
      </c>
      <c r="AM71" s="9">
        <v>0.678049</v>
      </c>
      <c r="AN71" s="9">
        <v>0.809756</v>
      </c>
      <c r="AO71" s="9">
        <v>0.743414629</v>
      </c>
      <c r="AP71" s="9">
        <v>0.770732</v>
      </c>
      <c r="AQ71" s="9">
        <v>0.760976</v>
      </c>
      <c r="AR71" s="9">
        <v>0.698536587</v>
      </c>
      <c r="AS71" s="9">
        <v>0.678049</v>
      </c>
      <c r="AT71" s="9">
        <v>0.765854</v>
      </c>
      <c r="AU71" s="9">
        <v>0.741463</v>
      </c>
      <c r="AV71" s="9">
        <v>0.765854</v>
      </c>
      <c r="AW71" s="9">
        <v>0.765854</v>
      </c>
      <c r="AX71" s="9">
        <v>0.764878</v>
      </c>
      <c r="AY71" s="9">
        <v>0.780488</v>
      </c>
      <c r="AZ71" s="9">
        <v>0.780488</v>
      </c>
      <c r="BA71" s="9">
        <v>0.742439</v>
      </c>
      <c r="BB71" s="9">
        <v>0.765854</v>
      </c>
      <c r="BC71" s="9">
        <v>0.77561</v>
      </c>
      <c r="BD71" s="9">
        <v>0.758048785</v>
      </c>
      <c r="BE71" s="9">
        <v>0.780488</v>
      </c>
      <c r="BF71" s="9">
        <v>0.770732</v>
      </c>
      <c r="BG71" s="9">
        <v>0.770732</v>
      </c>
      <c r="BH71" s="9">
        <v>0.760976</v>
      </c>
      <c r="BI71" s="9">
        <v>0.785366</v>
      </c>
      <c r="BJ71" s="9">
        <v>0.789268</v>
      </c>
      <c r="BK71" s="9">
        <v>0.785366</v>
      </c>
      <c r="BL71" s="9">
        <v>0.678049</v>
      </c>
      <c r="BM71" s="9">
        <v>0.747317</v>
      </c>
      <c r="BN71" s="9">
        <v>0.756098</v>
      </c>
      <c r="BO71" s="9">
        <v>0.77561</v>
      </c>
      <c r="BP71" s="9">
        <v>0.760976</v>
      </c>
      <c r="BQ71" s="9">
        <v>0.790244</v>
      </c>
      <c r="BR71" s="9">
        <v>0.795122</v>
      </c>
      <c r="BS71" s="9">
        <v>0.799024</v>
      </c>
      <c r="BT71" s="9">
        <v>0.795122</v>
      </c>
      <c r="BU71" s="9">
        <v>0.804878</v>
      </c>
      <c r="BV71" s="6"/>
      <c r="BW71" s="6" t="str">
        <f t="shared" si="1"/>
        <v>HIVE-COTE v1,0</v>
      </c>
      <c r="BX71" s="6" t="str">
        <f t="shared" si="2"/>
        <v>RISE</v>
      </c>
      <c r="BY71" s="6" t="str">
        <f t="shared" si="3"/>
        <v>TS-CHIEF</v>
      </c>
      <c r="BZ71" s="6"/>
      <c r="CA71" s="11" t="str">
        <f t="shared" si="4"/>
        <v>#VALUE!</v>
      </c>
      <c r="CC71" s="6"/>
      <c r="CD71" s="6"/>
      <c r="CE71" s="6"/>
    </row>
    <row r="72" ht="15.75" customHeight="1">
      <c r="A72" s="1" t="s">
        <v>166</v>
      </c>
      <c r="B72" s="7" t="s">
        <v>211</v>
      </c>
      <c r="C72" s="16">
        <v>0.832</v>
      </c>
      <c r="D72" s="16">
        <v>0.855333333333333</v>
      </c>
      <c r="E72" s="16">
        <v>0.804666666666666</v>
      </c>
      <c r="F72" s="16">
        <v>0.628</v>
      </c>
      <c r="G72" s="16">
        <v>0.867333333333333</v>
      </c>
      <c r="H72" s="16">
        <v>0.416</v>
      </c>
      <c r="I72" s="16">
        <v>0.774666666666666</v>
      </c>
      <c r="J72" s="16">
        <v>0.854666666666666</v>
      </c>
      <c r="K72" s="16">
        <v>0.826</v>
      </c>
      <c r="L72" s="16">
        <v>0.801333333333333</v>
      </c>
      <c r="M72" s="16">
        <v>0.802666666666666</v>
      </c>
      <c r="N72" s="16">
        <v>0.781999999999999</v>
      </c>
      <c r="O72" s="16">
        <v>0.76</v>
      </c>
      <c r="P72" s="16">
        <v>0.705333333333333</v>
      </c>
      <c r="Q72" s="9">
        <v>0.512</v>
      </c>
      <c r="R72" s="9">
        <v>0.48</v>
      </c>
      <c r="S72" s="9">
        <v>0.6</v>
      </c>
      <c r="T72" s="9">
        <v>0.444</v>
      </c>
      <c r="U72" s="9">
        <v>0.519999981</v>
      </c>
      <c r="V72" s="9">
        <v>0.12</v>
      </c>
      <c r="W72" s="9">
        <v>0.364</v>
      </c>
      <c r="X72" s="9">
        <v>0.5</v>
      </c>
      <c r="Y72" s="9">
        <v>0.6</v>
      </c>
      <c r="Z72" s="9">
        <v>0.555999994</v>
      </c>
      <c r="AA72" s="9">
        <v>0.58</v>
      </c>
      <c r="AB72" s="9">
        <v>0.54</v>
      </c>
      <c r="AC72" s="9">
        <v>0.388</v>
      </c>
      <c r="AD72" s="9">
        <v>0.48</v>
      </c>
      <c r="AE72" s="9">
        <v>0.64</v>
      </c>
      <c r="AF72" s="9">
        <v>0.516000009</v>
      </c>
      <c r="AG72" s="9">
        <v>0.54</v>
      </c>
      <c r="AH72" s="9">
        <v>0.525333</v>
      </c>
      <c r="AI72" s="9">
        <v>0.528</v>
      </c>
      <c r="AJ72" s="9">
        <v>0.54</v>
      </c>
      <c r="AK72" s="9">
        <v>0.56</v>
      </c>
      <c r="AL72" s="9">
        <v>0.46</v>
      </c>
      <c r="AM72" s="9">
        <v>0.58</v>
      </c>
      <c r="AN72" s="9">
        <v>0.58</v>
      </c>
      <c r="AO72" s="9">
        <v>0.572000009</v>
      </c>
      <c r="AP72" s="9">
        <v>0.62</v>
      </c>
      <c r="AQ72" s="9">
        <v>0.68</v>
      </c>
      <c r="AR72" s="9">
        <v>0.548000002</v>
      </c>
      <c r="AS72" s="9">
        <v>0.54</v>
      </c>
      <c r="AT72" s="9">
        <v>0.6</v>
      </c>
      <c r="AU72" s="9">
        <v>0.596</v>
      </c>
      <c r="AV72" s="9">
        <v>0.6</v>
      </c>
      <c r="AW72" s="9">
        <v>0.66</v>
      </c>
      <c r="AX72" s="9">
        <v>0.684</v>
      </c>
      <c r="AY72" s="9">
        <v>0.7</v>
      </c>
      <c r="AZ72" s="9">
        <v>0.68</v>
      </c>
      <c r="BA72" s="9">
        <v>0.496</v>
      </c>
      <c r="BB72" s="9">
        <v>0.54</v>
      </c>
      <c r="BC72" s="9">
        <v>0.64</v>
      </c>
      <c r="BD72" s="9">
        <v>0.504000008</v>
      </c>
      <c r="BE72" s="9">
        <v>0.54</v>
      </c>
      <c r="BF72" s="9">
        <v>0.62</v>
      </c>
      <c r="BG72" s="9">
        <v>0.584</v>
      </c>
      <c r="BH72" s="9">
        <v>0.6</v>
      </c>
      <c r="BI72" s="9">
        <v>0.66</v>
      </c>
      <c r="BJ72" s="9">
        <v>0.42</v>
      </c>
      <c r="BK72" s="9">
        <v>0.52</v>
      </c>
      <c r="BL72" s="9">
        <v>0.66</v>
      </c>
      <c r="BM72" s="9">
        <v>0.556</v>
      </c>
      <c r="BN72" s="9">
        <v>0.6</v>
      </c>
      <c r="BO72" s="9">
        <v>0.62</v>
      </c>
      <c r="BP72" s="9">
        <v>0.564</v>
      </c>
      <c r="BQ72" s="9">
        <v>0.64</v>
      </c>
      <c r="BR72" s="9">
        <v>0.72</v>
      </c>
      <c r="BS72" s="9">
        <v>0.18</v>
      </c>
      <c r="BT72" s="9">
        <v>0.18</v>
      </c>
      <c r="BU72" s="9">
        <v>0.2</v>
      </c>
      <c r="BV72" s="6"/>
      <c r="BW72" s="6" t="str">
        <f t="shared" si="1"/>
        <v>STC</v>
      </c>
      <c r="BX72" s="6" t="str">
        <f t="shared" si="2"/>
        <v>HIVE-COTE v1,0</v>
      </c>
      <c r="BY72" s="6" t="str">
        <f t="shared" si="3"/>
        <v>WEASEL</v>
      </c>
      <c r="BZ72" s="6"/>
      <c r="CA72" s="11" t="str">
        <f t="shared" si="4"/>
        <v>#VALUE!</v>
      </c>
      <c r="CC72" s="6"/>
      <c r="CD72" s="6"/>
      <c r="CE72" s="6"/>
    </row>
    <row r="73" ht="15.75" customHeight="1">
      <c r="A73" s="1" t="s">
        <v>167</v>
      </c>
      <c r="B73" s="7" t="s">
        <v>211</v>
      </c>
      <c r="C73" s="16">
        <v>0.594222222222222</v>
      </c>
      <c r="D73" s="16">
        <v>0.724177777777777</v>
      </c>
      <c r="E73" s="16">
        <v>0.608977777777777</v>
      </c>
      <c r="F73" s="16">
        <v>0.706044444444444</v>
      </c>
      <c r="G73" s="16">
        <v>0.717866666666666</v>
      </c>
      <c r="H73" s="16">
        <v>0.755288888888888</v>
      </c>
      <c r="I73" s="16">
        <v>0.571999999999999</v>
      </c>
      <c r="J73" s="16">
        <v>0.595911111111111</v>
      </c>
      <c r="K73" s="16">
        <v>0.588977777777777</v>
      </c>
      <c r="L73" s="16">
        <v>0.577066666666666</v>
      </c>
      <c r="M73" s="16">
        <v>0.5848</v>
      </c>
      <c r="N73" s="16">
        <v>0.605866666666666</v>
      </c>
      <c r="O73" s="16">
        <v>0.471822222222222</v>
      </c>
      <c r="P73" s="16">
        <v>0.600711111111111</v>
      </c>
      <c r="Q73" s="9">
        <v>0.556267</v>
      </c>
      <c r="R73" s="9">
        <v>0.554667</v>
      </c>
      <c r="S73" s="9">
        <v>0.576</v>
      </c>
      <c r="T73" s="9">
        <v>0.522133327</v>
      </c>
      <c r="U73" s="9">
        <v>0.527999997</v>
      </c>
      <c r="V73" s="9">
        <v>0.333333</v>
      </c>
      <c r="W73" s="9">
        <v>0.4528</v>
      </c>
      <c r="X73" s="9">
        <v>0.450667</v>
      </c>
      <c r="Y73" s="9">
        <v>0.469333</v>
      </c>
      <c r="Z73" s="9">
        <v>0.433066666</v>
      </c>
      <c r="AA73" s="9">
        <v>0.434667</v>
      </c>
      <c r="AB73" s="9">
        <v>0.448</v>
      </c>
      <c r="AC73" s="9">
        <v>0.570133</v>
      </c>
      <c r="AD73" s="9">
        <v>0.570667</v>
      </c>
      <c r="AE73" s="9">
        <v>0.552</v>
      </c>
      <c r="AF73" s="1" t="s">
        <v>85</v>
      </c>
      <c r="AG73" s="1" t="s">
        <v>85</v>
      </c>
      <c r="AH73" s="9">
        <v>0.7</v>
      </c>
      <c r="AI73" s="9">
        <v>0.400533</v>
      </c>
      <c r="AJ73" s="9">
        <v>0.416</v>
      </c>
      <c r="AK73" s="9">
        <v>0.418667</v>
      </c>
      <c r="AL73" s="9">
        <v>0.436267</v>
      </c>
      <c r="AM73" s="9">
        <v>0.426667</v>
      </c>
      <c r="AN73" s="9">
        <v>0.448</v>
      </c>
      <c r="AO73" s="9">
        <v>0.577600002</v>
      </c>
      <c r="AP73" s="9">
        <v>0.573333</v>
      </c>
      <c r="AQ73" s="9">
        <v>0.554667</v>
      </c>
      <c r="AR73" s="9">
        <v>0.589333332</v>
      </c>
      <c r="AS73" s="9">
        <v>0.589333</v>
      </c>
      <c r="AT73" s="9">
        <v>0.592</v>
      </c>
      <c r="AU73" s="9">
        <v>0.429333</v>
      </c>
      <c r="AV73" s="9">
        <v>0.421333</v>
      </c>
      <c r="AW73" s="9">
        <v>0.48</v>
      </c>
      <c r="AX73" s="9">
        <v>0.463467</v>
      </c>
      <c r="AY73" s="9">
        <v>0.461333</v>
      </c>
      <c r="AZ73" s="9">
        <v>0.453333</v>
      </c>
      <c r="BA73" s="9">
        <v>0.5616</v>
      </c>
      <c r="BB73" s="9">
        <v>0.56</v>
      </c>
      <c r="BC73" s="9">
        <v>0.533333</v>
      </c>
      <c r="BD73" s="9">
        <v>0.545066679</v>
      </c>
      <c r="BE73" s="9">
        <v>0.538667</v>
      </c>
      <c r="BF73" s="9">
        <v>0.621333</v>
      </c>
      <c r="BG73" s="9">
        <v>0.444267</v>
      </c>
      <c r="BH73" s="9">
        <v>0.445333</v>
      </c>
      <c r="BI73" s="9">
        <v>0.456</v>
      </c>
      <c r="BJ73" s="9">
        <v>0.476267</v>
      </c>
      <c r="BK73" s="9">
        <v>0.48</v>
      </c>
      <c r="BL73" s="9">
        <v>0.461333</v>
      </c>
      <c r="BM73" s="9">
        <v>0.520533</v>
      </c>
      <c r="BN73" s="9">
        <v>0.525333</v>
      </c>
      <c r="BO73" s="9">
        <v>0.538667</v>
      </c>
      <c r="BP73" s="9">
        <v>0.464</v>
      </c>
      <c r="BQ73" s="9">
        <v>0.469333</v>
      </c>
      <c r="BR73" s="9">
        <v>0.466667</v>
      </c>
      <c r="BS73" s="9">
        <v>0.389867</v>
      </c>
      <c r="BT73" s="9">
        <v>0.413333</v>
      </c>
      <c r="BU73" s="9">
        <v>0.434667</v>
      </c>
      <c r="BV73" s="6"/>
      <c r="BW73" s="6" t="str">
        <f t="shared" si="1"/>
        <v>ResNet</v>
      </c>
      <c r="BX73" s="6" t="str">
        <f t="shared" si="2"/>
        <v>HIVE-COTE v1,0</v>
      </c>
      <c r="BY73" s="6" t="str">
        <f t="shared" si="3"/>
        <v>STC</v>
      </c>
      <c r="BZ73" s="6"/>
      <c r="CA73" s="11" t="str">
        <f t="shared" si="4"/>
        <v>#VALUE!</v>
      </c>
      <c r="CC73" s="6"/>
      <c r="CD73" s="6"/>
      <c r="CE73" s="6"/>
    </row>
    <row r="74" ht="15.75" customHeight="1">
      <c r="A74" s="1" t="s">
        <v>168</v>
      </c>
      <c r="B74" s="7" t="s">
        <v>211</v>
      </c>
      <c r="C74" s="16">
        <v>0.938888888888888</v>
      </c>
      <c r="D74" s="16">
        <v>0.969166666666666</v>
      </c>
      <c r="E74" s="16">
        <v>0.923111111111111</v>
      </c>
      <c r="F74" s="16">
        <v>0.884666666666666</v>
      </c>
      <c r="G74" s="16">
        <v>0.932277777777777</v>
      </c>
      <c r="H74" s="16">
        <v>0.808888888888889</v>
      </c>
      <c r="I74" s="16">
        <v>0.963111111111111</v>
      </c>
      <c r="J74" s="16">
        <v>0.781444444444444</v>
      </c>
      <c r="K74" s="16">
        <v>0.885166666666666</v>
      </c>
      <c r="L74" s="16">
        <v>0.879111111111111</v>
      </c>
      <c r="M74" s="16">
        <v>0.887666666666666</v>
      </c>
      <c r="N74" s="16">
        <v>0.87</v>
      </c>
      <c r="O74" s="16">
        <v>0.947388888888888</v>
      </c>
      <c r="P74" s="16">
        <v>0.870611111111111</v>
      </c>
      <c r="Q74" s="9">
        <v>0.811333</v>
      </c>
      <c r="R74" s="9">
        <v>0.8</v>
      </c>
      <c r="S74" s="9">
        <v>0.84</v>
      </c>
      <c r="T74" s="9">
        <v>0.715333331</v>
      </c>
      <c r="U74" s="9">
        <v>0.711666644</v>
      </c>
      <c r="V74" s="9">
        <v>0.35</v>
      </c>
      <c r="W74" s="9">
        <v>0.875</v>
      </c>
      <c r="X74" s="9">
        <v>0.873333</v>
      </c>
      <c r="Y74" s="9">
        <v>0.896667</v>
      </c>
      <c r="Z74" s="9">
        <v>0.876666665</v>
      </c>
      <c r="AA74" s="9">
        <v>0.878333</v>
      </c>
      <c r="AB74" s="9">
        <v>0.903333</v>
      </c>
      <c r="AC74" s="9">
        <v>0.852333</v>
      </c>
      <c r="AD74" s="9">
        <v>0.85</v>
      </c>
      <c r="AE74" s="9">
        <v>0.86</v>
      </c>
      <c r="AF74" s="9">
        <v>0.849000001</v>
      </c>
      <c r="AG74" s="9">
        <v>0.845</v>
      </c>
      <c r="AH74" s="9">
        <v>0.858333</v>
      </c>
      <c r="AI74" s="9">
        <v>0.903333</v>
      </c>
      <c r="AJ74" s="9">
        <v>0.913333</v>
      </c>
      <c r="AK74" s="9">
        <v>0.92</v>
      </c>
      <c r="AL74" s="9">
        <v>0.902667</v>
      </c>
      <c r="AM74" s="9">
        <v>0.901667</v>
      </c>
      <c r="AN74" s="9">
        <v>0.916667</v>
      </c>
      <c r="AO74" s="9">
        <v>0.842999995</v>
      </c>
      <c r="AP74" s="9">
        <v>0.843333</v>
      </c>
      <c r="AQ74" s="9">
        <v>0.87</v>
      </c>
      <c r="AR74" s="9">
        <v>0.834000003</v>
      </c>
      <c r="AS74" s="9">
        <v>0.84</v>
      </c>
      <c r="AT74" s="9">
        <v>0.856667</v>
      </c>
      <c r="AU74" s="9">
        <v>0.899</v>
      </c>
      <c r="AV74" s="9">
        <v>0.896667</v>
      </c>
      <c r="AW74" s="9">
        <v>0.913333</v>
      </c>
      <c r="AX74" s="9">
        <v>0.905333</v>
      </c>
      <c r="AY74" s="9">
        <v>0.903333</v>
      </c>
      <c r="AZ74" s="9">
        <v>0.913333</v>
      </c>
      <c r="BA74" s="9">
        <v>0.841667</v>
      </c>
      <c r="BB74" s="9">
        <v>0.843333</v>
      </c>
      <c r="BC74" s="9">
        <v>0.846667</v>
      </c>
      <c r="BD74" s="9">
        <v>0.843000007</v>
      </c>
      <c r="BE74" s="9">
        <v>0.85</v>
      </c>
      <c r="BF74" s="9">
        <v>0.856667</v>
      </c>
      <c r="BG74" s="9">
        <v>0.906</v>
      </c>
      <c r="BH74" s="9">
        <v>0.906667</v>
      </c>
      <c r="BI74" s="9">
        <v>0.906667</v>
      </c>
      <c r="BJ74" s="9">
        <v>0.909</v>
      </c>
      <c r="BK74" s="9">
        <v>0.911667</v>
      </c>
      <c r="BL74" s="9">
        <v>0.916667</v>
      </c>
      <c r="BM74" s="9">
        <v>0.853333</v>
      </c>
      <c r="BN74" s="9">
        <v>0.85</v>
      </c>
      <c r="BO74" s="9">
        <v>0.871667</v>
      </c>
      <c r="BP74" s="9">
        <v>0.912333</v>
      </c>
      <c r="BQ74" s="9">
        <v>0.916667</v>
      </c>
      <c r="BR74" s="9">
        <v>0.926667</v>
      </c>
      <c r="BS74" s="9">
        <v>0.753333</v>
      </c>
      <c r="BT74" s="9">
        <v>0.841667</v>
      </c>
      <c r="BU74" s="9">
        <v>0.668333</v>
      </c>
      <c r="BV74" s="6"/>
      <c r="BW74" s="6" t="str">
        <f t="shared" si="1"/>
        <v>HIVE-COTE v1,0</v>
      </c>
      <c r="BX74" s="6" t="str">
        <f t="shared" si="2"/>
        <v>ProximityForest</v>
      </c>
      <c r="BY74" s="6" t="str">
        <f t="shared" si="3"/>
        <v>TSF</v>
      </c>
      <c r="BZ74" s="6"/>
      <c r="CA74" s="11" t="str">
        <f t="shared" si="4"/>
        <v>#VALUE!</v>
      </c>
      <c r="CC74" s="6"/>
      <c r="CD74" s="6"/>
      <c r="CE74" s="6"/>
    </row>
    <row r="75" ht="15.75" customHeight="1">
      <c r="A75" s="1" t="s">
        <v>169</v>
      </c>
      <c r="B75" s="7" t="s">
        <v>211</v>
      </c>
      <c r="C75" s="16">
        <v>0.884962962962962</v>
      </c>
      <c r="D75" s="16">
        <v>0.888962962962962</v>
      </c>
      <c r="E75" s="16">
        <v>0.652592592592592</v>
      </c>
      <c r="F75" s="16">
        <v>0.551555555555555</v>
      </c>
      <c r="G75" s="16">
        <v>0.788296296296296</v>
      </c>
      <c r="H75" s="16">
        <v>0.420962962962962</v>
      </c>
      <c r="I75" s="16">
        <v>0.890888888888888</v>
      </c>
      <c r="J75" s="16">
        <v>0.460296296296296</v>
      </c>
      <c r="K75" s="16">
        <v>0.681777777777777</v>
      </c>
      <c r="L75" s="16">
        <v>0.692148148148148</v>
      </c>
      <c r="M75" s="16">
        <v>0.664888888888888</v>
      </c>
      <c r="N75" s="16">
        <v>0.723999999999999</v>
      </c>
      <c r="O75" s="16">
        <v>0.864148148148148</v>
      </c>
      <c r="P75" s="16">
        <v>0.682518518518518</v>
      </c>
      <c r="Q75" s="9">
        <v>0.404444</v>
      </c>
      <c r="R75" s="9">
        <v>0.382222</v>
      </c>
      <c r="S75" s="9">
        <v>0.442222</v>
      </c>
      <c r="T75" s="9">
        <v>0.382222226</v>
      </c>
      <c r="U75" s="9">
        <v>0.395555556</v>
      </c>
      <c r="V75" s="9">
        <v>0.166667</v>
      </c>
      <c r="W75" s="9">
        <v>0.527111</v>
      </c>
      <c r="X75" s="9">
        <v>0.602222</v>
      </c>
      <c r="Y75" s="9">
        <v>0.637778</v>
      </c>
      <c r="Z75" s="9">
        <v>0.529777777</v>
      </c>
      <c r="AA75" s="9">
        <v>0.582222</v>
      </c>
      <c r="AB75" s="9">
        <v>0.515556</v>
      </c>
      <c r="AC75" s="9">
        <v>0.428</v>
      </c>
      <c r="AD75" s="9">
        <v>0.431111</v>
      </c>
      <c r="AE75" s="9">
        <v>0.466667</v>
      </c>
      <c r="AF75" s="9">
        <v>0.362666667</v>
      </c>
      <c r="AG75" s="9">
        <v>0.377778</v>
      </c>
      <c r="AH75" s="9">
        <v>0.346667</v>
      </c>
      <c r="AI75" s="9">
        <v>0.478222</v>
      </c>
      <c r="AJ75" s="9">
        <v>0.46</v>
      </c>
      <c r="AK75" s="9">
        <v>0.355556</v>
      </c>
      <c r="AL75" s="9">
        <v>0.438667</v>
      </c>
      <c r="AM75" s="9">
        <v>0.455556</v>
      </c>
      <c r="AN75" s="9">
        <v>0.286667</v>
      </c>
      <c r="AO75" s="9">
        <v>0.421333331</v>
      </c>
      <c r="AP75" s="9">
        <v>0.44</v>
      </c>
      <c r="AQ75" s="9">
        <v>0.395556</v>
      </c>
      <c r="AR75" s="9">
        <v>0.380888891</v>
      </c>
      <c r="AS75" s="9">
        <v>0.44</v>
      </c>
      <c r="AT75" s="9">
        <v>0.373333</v>
      </c>
      <c r="AU75" s="9">
        <v>0.492444</v>
      </c>
      <c r="AV75" s="9">
        <v>0.455556</v>
      </c>
      <c r="AW75" s="9">
        <v>0.362222</v>
      </c>
      <c r="AX75" s="9">
        <v>0.427111</v>
      </c>
      <c r="AY75" s="9">
        <v>0.424444</v>
      </c>
      <c r="AZ75" s="9">
        <v>0.442222</v>
      </c>
      <c r="BA75" s="9">
        <v>0.409333</v>
      </c>
      <c r="BB75" s="9">
        <v>0.4</v>
      </c>
      <c r="BC75" s="9">
        <v>0.504444</v>
      </c>
      <c r="BD75" s="9">
        <v>0.387999997</v>
      </c>
      <c r="BE75" s="9">
        <v>0.391111</v>
      </c>
      <c r="BF75" s="9">
        <v>0.351111</v>
      </c>
      <c r="BG75" s="9">
        <v>0.431556</v>
      </c>
      <c r="BH75" s="9">
        <v>0.357778</v>
      </c>
      <c r="BI75" s="9">
        <v>0.493333</v>
      </c>
      <c r="BJ75" s="9">
        <v>0.473778</v>
      </c>
      <c r="BK75" s="9">
        <v>0.462222</v>
      </c>
      <c r="BL75" s="9">
        <v>0.491111</v>
      </c>
      <c r="BM75" s="9">
        <v>0.366667</v>
      </c>
      <c r="BN75" s="9">
        <v>0.388889</v>
      </c>
      <c r="BO75" s="9">
        <v>0.264444</v>
      </c>
      <c r="BP75" s="9">
        <v>0.341778</v>
      </c>
      <c r="BQ75" s="9">
        <v>0.322222</v>
      </c>
      <c r="BR75" s="9">
        <v>0.262222</v>
      </c>
      <c r="BS75" s="9">
        <v>0.452444</v>
      </c>
      <c r="BT75" s="9">
        <v>0.451111</v>
      </c>
      <c r="BU75" s="9">
        <v>0.433333</v>
      </c>
      <c r="BV75" s="6"/>
      <c r="BW75" s="6" t="str">
        <f t="shared" si="1"/>
        <v>ProximityForest</v>
      </c>
      <c r="BX75" s="6" t="str">
        <f t="shared" si="2"/>
        <v>HIVE-COTE v1,0</v>
      </c>
      <c r="BY75" s="6" t="str">
        <f t="shared" si="3"/>
        <v>TS-CHIEF</v>
      </c>
      <c r="BZ75" s="6"/>
      <c r="CA75" s="11" t="str">
        <f t="shared" si="4"/>
        <v>#VALUE!</v>
      </c>
      <c r="CC75" s="6"/>
      <c r="CD75" s="6"/>
      <c r="CE75" s="6"/>
    </row>
    <row r="76" ht="15.75" customHeight="1">
      <c r="A76" s="1" t="s">
        <v>170</v>
      </c>
      <c r="B76" s="7" t="s">
        <v>211</v>
      </c>
      <c r="C76" s="16">
        <v>0.933111111111111</v>
      </c>
      <c r="D76" s="16">
        <v>0.950592592592592</v>
      </c>
      <c r="E76" s="16">
        <v>0.911851851851851</v>
      </c>
      <c r="F76" s="16">
        <v>0.762888888888889</v>
      </c>
      <c r="G76" s="16">
        <v>0.913333333333333</v>
      </c>
      <c r="H76" s="16">
        <v>0.55474074074074</v>
      </c>
      <c r="I76" s="16">
        <v>0.938074074074074</v>
      </c>
      <c r="J76" s="16">
        <v>0.793481481481481</v>
      </c>
      <c r="K76" s="16">
        <v>0.84274074074074</v>
      </c>
      <c r="L76" s="16">
        <v>0.845407407407407</v>
      </c>
      <c r="M76" s="16">
        <v>0.835111111111111</v>
      </c>
      <c r="N76" s="16">
        <v>0.824148148148148</v>
      </c>
      <c r="O76" s="16">
        <v>0.916</v>
      </c>
      <c r="P76" s="16">
        <v>0.84874074074074</v>
      </c>
      <c r="Q76" s="9">
        <v>0.709333</v>
      </c>
      <c r="R76" s="9">
        <v>0.704444</v>
      </c>
      <c r="S76" s="9">
        <v>0.737778</v>
      </c>
      <c r="T76" s="9">
        <v>0.676444447</v>
      </c>
      <c r="U76" s="9">
        <v>0.680000007</v>
      </c>
      <c r="V76" s="9">
        <v>0.2</v>
      </c>
      <c r="W76" s="9">
        <v>0.828</v>
      </c>
      <c r="X76" s="9">
        <v>0.833333</v>
      </c>
      <c r="Y76" s="9">
        <v>0.846667</v>
      </c>
      <c r="Z76" s="9">
        <v>0.794222224</v>
      </c>
      <c r="AA76" s="9">
        <v>0.817778</v>
      </c>
      <c r="AB76" s="9">
        <v>0.833333</v>
      </c>
      <c r="AC76" s="9">
        <v>0.748889</v>
      </c>
      <c r="AD76" s="9">
        <v>0.753333</v>
      </c>
      <c r="AE76" s="9">
        <v>0.793333</v>
      </c>
      <c r="AF76" s="9">
        <v>0.757333314</v>
      </c>
      <c r="AG76" s="9">
        <v>0.757778</v>
      </c>
      <c r="AH76" s="9">
        <v>0.757778</v>
      </c>
      <c r="AI76" s="9">
        <v>0.816889</v>
      </c>
      <c r="AJ76" s="9">
        <v>0.82</v>
      </c>
      <c r="AK76" s="9">
        <v>0.822222</v>
      </c>
      <c r="AL76" s="9">
        <v>0.831556</v>
      </c>
      <c r="AM76" s="9">
        <v>0.831111</v>
      </c>
      <c r="AN76" s="9">
        <v>0.815556</v>
      </c>
      <c r="AO76" s="9">
        <v>0.740444458</v>
      </c>
      <c r="AP76" s="9">
        <v>0.762222</v>
      </c>
      <c r="AQ76" s="9">
        <v>0.773333</v>
      </c>
      <c r="AR76" s="9">
        <v>0.705333328</v>
      </c>
      <c r="AS76" s="9">
        <v>0.74</v>
      </c>
      <c r="AT76" s="9">
        <v>0.771111</v>
      </c>
      <c r="AU76" s="9">
        <v>0.826667</v>
      </c>
      <c r="AV76" s="9">
        <v>0.824444</v>
      </c>
      <c r="AW76" s="9">
        <v>0.851111</v>
      </c>
      <c r="AX76" s="9">
        <v>0.830222</v>
      </c>
      <c r="AY76" s="9">
        <v>0.824444</v>
      </c>
      <c r="AZ76" s="9">
        <v>0.784444</v>
      </c>
      <c r="BA76" s="9">
        <v>0.661778</v>
      </c>
      <c r="BB76" s="9">
        <v>0.74</v>
      </c>
      <c r="BC76" s="9">
        <v>0.755556</v>
      </c>
      <c r="BD76" s="9">
        <v>0.757333338</v>
      </c>
      <c r="BE76" s="9">
        <v>0.76</v>
      </c>
      <c r="BF76" s="9">
        <v>0.684444</v>
      </c>
      <c r="BG76" s="9">
        <v>0.782222</v>
      </c>
      <c r="BH76" s="9">
        <v>0.813333</v>
      </c>
      <c r="BI76" s="9">
        <v>0.855556</v>
      </c>
      <c r="BJ76" s="9">
        <v>0.816444</v>
      </c>
      <c r="BK76" s="9">
        <v>0.844444</v>
      </c>
      <c r="BL76" s="9">
        <v>0.831111</v>
      </c>
      <c r="BM76" s="9">
        <v>0.724444</v>
      </c>
      <c r="BN76" s="9">
        <v>0.724444</v>
      </c>
      <c r="BO76" s="9">
        <v>0.735556</v>
      </c>
      <c r="BP76" s="9">
        <v>0.804</v>
      </c>
      <c r="BQ76" s="9">
        <v>0.831111</v>
      </c>
      <c r="BR76" s="9">
        <v>0.824444</v>
      </c>
      <c r="BS76" s="9">
        <v>0.777333</v>
      </c>
      <c r="BT76" s="9">
        <v>0.784444</v>
      </c>
      <c r="BU76" s="9">
        <v>0.773333</v>
      </c>
      <c r="BV76" s="6"/>
      <c r="BW76" s="6" t="str">
        <f t="shared" si="1"/>
        <v>HIVE-COTE v1,0</v>
      </c>
      <c r="BX76" s="6" t="str">
        <f t="shared" si="2"/>
        <v>ProximityForest</v>
      </c>
      <c r="BY76" s="6" t="str">
        <f t="shared" si="3"/>
        <v>TS-CHIEF</v>
      </c>
      <c r="BZ76" s="6"/>
      <c r="CA76" s="11" t="str">
        <f t="shared" si="4"/>
        <v>#VALUE!</v>
      </c>
      <c r="CC76" s="6"/>
      <c r="CD76" s="6"/>
      <c r="CE76" s="6"/>
    </row>
    <row r="77" ht="15.75" customHeight="1">
      <c r="A77" s="1" t="s">
        <v>171</v>
      </c>
      <c r="B77" s="7" t="s">
        <v>211</v>
      </c>
      <c r="C77" s="16">
        <v>1.0</v>
      </c>
      <c r="D77" s="16">
        <v>1.0</v>
      </c>
      <c r="E77" s="16">
        <v>0.998148148148148</v>
      </c>
      <c r="F77" s="16">
        <v>0.923518518518518</v>
      </c>
      <c r="G77" s="16">
        <v>0.999629629629629</v>
      </c>
      <c r="H77" s="16">
        <v>0.727222222222222</v>
      </c>
      <c r="I77" s="16">
        <v>0.789259259259259</v>
      </c>
      <c r="J77" s="16">
        <v>0.997407407407407</v>
      </c>
      <c r="K77" s="16">
        <v>1.0</v>
      </c>
      <c r="L77" s="16">
        <v>0.985185185185185</v>
      </c>
      <c r="M77" s="16">
        <v>1.0</v>
      </c>
      <c r="N77" s="16">
        <v>0.767592592592592</v>
      </c>
      <c r="O77" s="16">
        <v>0.513703703703703</v>
      </c>
      <c r="P77" s="16">
        <v>0.993703703703703</v>
      </c>
      <c r="Q77" s="9">
        <v>0.498889</v>
      </c>
      <c r="R77" s="9">
        <v>0.5</v>
      </c>
      <c r="S77" s="9">
        <v>0.505556</v>
      </c>
      <c r="T77" s="9">
        <v>0.506666672</v>
      </c>
      <c r="U77" s="9">
        <v>0.5</v>
      </c>
      <c r="V77" s="9">
        <v>0.5</v>
      </c>
      <c r="W77" s="9">
        <v>0.515556</v>
      </c>
      <c r="X77" s="9">
        <v>0.5</v>
      </c>
      <c r="Y77" s="9">
        <v>0.511111</v>
      </c>
      <c r="Z77" s="9">
        <v>0.510000002</v>
      </c>
      <c r="AA77" s="9">
        <v>0.5</v>
      </c>
      <c r="AB77" s="9">
        <v>0.5</v>
      </c>
      <c r="AC77" s="9">
        <v>0.504444</v>
      </c>
      <c r="AD77" s="9">
        <v>0.5</v>
      </c>
      <c r="AE77" s="9">
        <v>0.533333</v>
      </c>
      <c r="AF77" s="9">
        <v>0.536666667</v>
      </c>
      <c r="AG77" s="9">
        <v>0.538889</v>
      </c>
      <c r="AH77" s="9">
        <v>0.544444</v>
      </c>
      <c r="AI77" s="9">
        <v>0.511111</v>
      </c>
      <c r="AJ77" s="9">
        <v>0.505556</v>
      </c>
      <c r="AK77" s="9">
        <v>0.522222</v>
      </c>
      <c r="AL77" s="9">
        <v>0.51</v>
      </c>
      <c r="AM77" s="9">
        <v>0.5</v>
      </c>
      <c r="AN77" s="9">
        <v>0.5</v>
      </c>
      <c r="AO77" s="9">
        <v>0.507777774</v>
      </c>
      <c r="AP77" s="9">
        <v>0.5</v>
      </c>
      <c r="AQ77" s="9">
        <v>0.494444</v>
      </c>
      <c r="AR77" s="9">
        <v>0.510000002</v>
      </c>
      <c r="AS77" s="9">
        <v>0.5</v>
      </c>
      <c r="AT77" s="9">
        <v>0.577778</v>
      </c>
      <c r="AU77" s="9">
        <v>0.505556</v>
      </c>
      <c r="AV77" s="9">
        <v>0.5</v>
      </c>
      <c r="AW77" s="9">
        <v>0.511111</v>
      </c>
      <c r="AX77" s="9">
        <v>0.49</v>
      </c>
      <c r="AY77" s="9">
        <v>0.5</v>
      </c>
      <c r="AZ77" s="9">
        <v>0.527778</v>
      </c>
      <c r="BA77" s="9">
        <v>0.505556</v>
      </c>
      <c r="BB77" s="9">
        <v>0.5</v>
      </c>
      <c r="BC77" s="9">
        <v>0.5</v>
      </c>
      <c r="BD77" s="9">
        <v>0.508888894</v>
      </c>
      <c r="BE77" s="9">
        <v>0.5</v>
      </c>
      <c r="BF77" s="9">
        <v>0.5</v>
      </c>
      <c r="BG77" s="9">
        <v>0.485556</v>
      </c>
      <c r="BH77" s="9">
        <v>0.483333</v>
      </c>
      <c r="BI77" s="9">
        <v>0.466667</v>
      </c>
      <c r="BJ77" s="9">
        <v>0.491111</v>
      </c>
      <c r="BK77" s="9">
        <v>0.5</v>
      </c>
      <c r="BL77" s="9">
        <v>0.477778</v>
      </c>
      <c r="BM77" s="9">
        <v>0.513333</v>
      </c>
      <c r="BN77" s="9">
        <v>0.5</v>
      </c>
      <c r="BO77" s="9">
        <v>0.544444</v>
      </c>
      <c r="BP77" s="9">
        <v>0.516667</v>
      </c>
      <c r="BQ77" s="9">
        <v>0.516667</v>
      </c>
      <c r="BR77" s="9">
        <v>0.5</v>
      </c>
      <c r="BS77" s="9">
        <v>0.496667</v>
      </c>
      <c r="BT77" s="9">
        <v>0.5</v>
      </c>
      <c r="BU77" s="9">
        <v>0.477778</v>
      </c>
      <c r="BV77" s="6"/>
      <c r="BW77" s="6" t="str">
        <f t="shared" si="1"/>
        <v>TS-CHIEF</v>
      </c>
      <c r="BX77" s="6" t="str">
        <f t="shared" si="2"/>
        <v>TS-CHIEF</v>
      </c>
      <c r="BY77" s="6" t="str">
        <f t="shared" si="3"/>
        <v>TS-CHIEF</v>
      </c>
      <c r="BZ77" s="6"/>
      <c r="CA77" s="11" t="str">
        <f t="shared" si="4"/>
        <v>#VALUE!</v>
      </c>
      <c r="CC77" s="6"/>
      <c r="CD77" s="6"/>
      <c r="CE77" s="6"/>
    </row>
    <row r="78" ht="15.75" customHeight="1">
      <c r="A78" s="1" t="s">
        <v>172</v>
      </c>
      <c r="B78" s="7" t="s">
        <v>211</v>
      </c>
      <c r="C78" s="16">
        <v>0.941055555555555</v>
      </c>
      <c r="D78" s="16">
        <v>0.931277777777777</v>
      </c>
      <c r="E78" s="16">
        <v>0.923222222222222</v>
      </c>
      <c r="F78" s="16">
        <v>0.938055555555555</v>
      </c>
      <c r="G78" s="16">
        <v>0.865333333333333</v>
      </c>
      <c r="H78" s="16">
        <v>0.933055555555555</v>
      </c>
      <c r="I78" s="16">
        <v>0.890055555555555</v>
      </c>
      <c r="J78" s="16">
        <v>0.916</v>
      </c>
      <c r="K78" s="16">
        <v>0.920444444444444</v>
      </c>
      <c r="L78" s="16">
        <v>0.904055555555555</v>
      </c>
      <c r="M78" s="16">
        <v>0.9085</v>
      </c>
      <c r="N78" s="16">
        <v>0.850055555555555</v>
      </c>
      <c r="O78" s="16">
        <v>0.804277777777777</v>
      </c>
      <c r="P78" s="16">
        <v>0.829333333333333</v>
      </c>
      <c r="Q78" s="9">
        <v>0.357</v>
      </c>
      <c r="R78" s="9">
        <v>0.37</v>
      </c>
      <c r="S78" s="9">
        <v>0.165</v>
      </c>
      <c r="T78" s="9">
        <v>0.268666664</v>
      </c>
      <c r="U78" s="9">
        <v>0.280000001</v>
      </c>
      <c r="V78" s="9">
        <v>0.016667</v>
      </c>
      <c r="W78" s="9">
        <v>0.457667</v>
      </c>
      <c r="X78" s="9">
        <v>0.468333</v>
      </c>
      <c r="Y78" s="9">
        <v>0.405</v>
      </c>
      <c r="Z78" s="9">
        <v>0.293999997</v>
      </c>
      <c r="AA78" s="9">
        <v>0.308333</v>
      </c>
      <c r="AB78" s="9">
        <v>0.26</v>
      </c>
      <c r="AC78" s="9">
        <v>0.403</v>
      </c>
      <c r="AD78" s="9">
        <v>0.455</v>
      </c>
      <c r="AE78" s="9">
        <v>0.4</v>
      </c>
      <c r="AF78" s="9">
        <v>0.451333332</v>
      </c>
      <c r="AG78" s="9">
        <v>0.416667</v>
      </c>
      <c r="AH78" s="9">
        <v>0.35</v>
      </c>
      <c r="AI78" s="9">
        <v>0.376667</v>
      </c>
      <c r="AJ78" s="9">
        <v>0.35</v>
      </c>
      <c r="AK78" s="9">
        <v>0.47</v>
      </c>
      <c r="AL78" s="9">
        <v>0.304333</v>
      </c>
      <c r="AM78" s="9">
        <v>0.273333</v>
      </c>
      <c r="AN78" s="9">
        <v>0.326667</v>
      </c>
      <c r="AO78" s="9">
        <v>0.380666667</v>
      </c>
      <c r="AP78" s="9">
        <v>0.38</v>
      </c>
      <c r="AQ78" s="9">
        <v>0.618333</v>
      </c>
      <c r="AR78" s="9">
        <v>0.390999997</v>
      </c>
      <c r="AS78" s="9">
        <v>0.371667</v>
      </c>
      <c r="AT78" s="9">
        <v>0.62</v>
      </c>
      <c r="AU78" s="9">
        <v>0.351667</v>
      </c>
      <c r="AV78" s="9">
        <v>0.346667</v>
      </c>
      <c r="AW78" s="9">
        <v>0.236667</v>
      </c>
      <c r="AX78" s="9">
        <v>0.331667</v>
      </c>
      <c r="AY78" s="9">
        <v>0.328333</v>
      </c>
      <c r="AZ78" s="9">
        <v>0.465</v>
      </c>
      <c r="BA78" s="9">
        <v>0.384333</v>
      </c>
      <c r="BB78" s="9">
        <v>0.336667</v>
      </c>
      <c r="BC78" s="9">
        <v>0.395</v>
      </c>
      <c r="BD78" s="9">
        <v>0.437333333</v>
      </c>
      <c r="BE78" s="9">
        <v>0.456667</v>
      </c>
      <c r="BF78" s="9">
        <v>0.411667</v>
      </c>
      <c r="BG78" s="9">
        <v>0.312667</v>
      </c>
      <c r="BH78" s="9">
        <v>0.356667</v>
      </c>
      <c r="BI78" s="9">
        <v>0.38</v>
      </c>
      <c r="BJ78" s="9">
        <v>0.433667</v>
      </c>
      <c r="BK78" s="9">
        <v>0.416667</v>
      </c>
      <c r="BL78" s="9">
        <v>0.463333</v>
      </c>
      <c r="BM78" s="9">
        <v>0.478667</v>
      </c>
      <c r="BN78" s="9">
        <v>0.466667</v>
      </c>
      <c r="BO78" s="9">
        <v>0.41</v>
      </c>
      <c r="BP78" s="9">
        <v>0.334667</v>
      </c>
      <c r="BQ78" s="9">
        <v>0.46</v>
      </c>
      <c r="BR78" s="9">
        <v>0.381667</v>
      </c>
      <c r="BS78" s="9">
        <v>0.270667</v>
      </c>
      <c r="BT78" s="9">
        <v>0.285</v>
      </c>
      <c r="BU78" s="9">
        <v>0.31</v>
      </c>
      <c r="BV78" s="6"/>
      <c r="BW78" s="6" t="str">
        <f t="shared" si="1"/>
        <v>TS-CHIEF</v>
      </c>
      <c r="BX78" s="6" t="str">
        <f t="shared" si="2"/>
        <v>InceptionTime</v>
      </c>
      <c r="BY78" s="6" t="str">
        <f t="shared" si="3"/>
        <v>ResNet</v>
      </c>
      <c r="BZ78" s="6"/>
      <c r="CA78" s="11" t="str">
        <f t="shared" si="4"/>
        <v>#VALUE!</v>
      </c>
      <c r="CC78" s="6"/>
      <c r="CD78" s="6"/>
      <c r="CE78" s="6"/>
    </row>
    <row r="79" ht="15.75" customHeight="1">
      <c r="A79" s="1" t="s">
        <v>173</v>
      </c>
      <c r="B79" s="7" t="s">
        <v>211</v>
      </c>
      <c r="C79" s="16">
        <v>0.837955555555555</v>
      </c>
      <c r="D79" s="16">
        <v>0.828266666666666</v>
      </c>
      <c r="E79" s="16">
        <v>0.818311111111111</v>
      </c>
      <c r="F79" s="16">
        <v>0.770755555555555</v>
      </c>
      <c r="G79" s="16">
        <v>0.8128</v>
      </c>
      <c r="H79" s="16">
        <v>0.796622222222222</v>
      </c>
      <c r="I79" s="16">
        <v>0.738133333333333</v>
      </c>
      <c r="J79" s="16">
        <v>0.805244444444444</v>
      </c>
      <c r="K79" s="16">
        <v>0.790933333333333</v>
      </c>
      <c r="L79" s="16">
        <v>0.773777777777777</v>
      </c>
      <c r="M79" s="16">
        <v>0.747111111111111</v>
      </c>
      <c r="N79" s="16">
        <v>0.805955555555555</v>
      </c>
      <c r="O79" s="16">
        <v>0.788177777777777</v>
      </c>
      <c r="P79" s="16">
        <v>0.816977777777777</v>
      </c>
      <c r="Q79" s="9">
        <v>0.569067</v>
      </c>
      <c r="R79" s="9">
        <v>0.602667</v>
      </c>
      <c r="S79" s="9">
        <v>0.629333</v>
      </c>
      <c r="T79" s="9">
        <v>0.436800003</v>
      </c>
      <c r="U79" s="9">
        <v>0.437333345</v>
      </c>
      <c r="V79" s="9">
        <v>0.333333</v>
      </c>
      <c r="W79" s="9">
        <v>0.786667</v>
      </c>
      <c r="X79" s="9">
        <v>0.786667</v>
      </c>
      <c r="Y79" s="9">
        <v>0.752</v>
      </c>
      <c r="Z79" s="9">
        <v>0.771733344</v>
      </c>
      <c r="AA79" s="9">
        <v>0.773333</v>
      </c>
      <c r="AB79" s="9">
        <v>0.754667</v>
      </c>
      <c r="AC79" s="9">
        <v>0.621333</v>
      </c>
      <c r="AD79" s="9">
        <v>0.653333</v>
      </c>
      <c r="AE79" s="9">
        <v>0.52</v>
      </c>
      <c r="AF79" s="9">
        <v>0.565866667</v>
      </c>
      <c r="AG79" s="9">
        <v>0.565333</v>
      </c>
      <c r="AH79" s="9">
        <v>0.442667</v>
      </c>
      <c r="AI79" s="9">
        <v>0.818667</v>
      </c>
      <c r="AJ79" s="9">
        <v>0.818667</v>
      </c>
      <c r="AK79" s="9">
        <v>0.805333</v>
      </c>
      <c r="AL79" s="9">
        <v>0.794133</v>
      </c>
      <c r="AM79" s="9">
        <v>0.792</v>
      </c>
      <c r="AN79" s="9">
        <v>0.797333</v>
      </c>
      <c r="AO79" s="9">
        <v>0.588266665</v>
      </c>
      <c r="AP79" s="9">
        <v>0.634667</v>
      </c>
      <c r="AQ79" s="9">
        <v>0.624</v>
      </c>
      <c r="AR79" s="9">
        <v>0.614933336</v>
      </c>
      <c r="AS79" s="9">
        <v>0.645333</v>
      </c>
      <c r="AT79" s="9">
        <v>0.64</v>
      </c>
      <c r="AU79" s="9">
        <v>0.798933</v>
      </c>
      <c r="AV79" s="9">
        <v>0.805333</v>
      </c>
      <c r="AW79" s="9">
        <v>0.792</v>
      </c>
      <c r="AX79" s="9">
        <v>0.802667</v>
      </c>
      <c r="AY79" s="9">
        <v>0.802667</v>
      </c>
      <c r="AZ79" s="9">
        <v>0.789333</v>
      </c>
      <c r="BA79" s="9">
        <v>0.589333</v>
      </c>
      <c r="BB79" s="9">
        <v>0.602667</v>
      </c>
      <c r="BC79" s="9">
        <v>0.616</v>
      </c>
      <c r="BD79" s="9">
        <v>0.581333333</v>
      </c>
      <c r="BE79" s="9">
        <v>0.618667</v>
      </c>
      <c r="BF79" s="9">
        <v>0.632</v>
      </c>
      <c r="BG79" s="9">
        <v>0.7936</v>
      </c>
      <c r="BH79" s="9">
        <v>0.792</v>
      </c>
      <c r="BI79" s="9">
        <v>0.781333</v>
      </c>
      <c r="BJ79" s="9">
        <v>0.787733</v>
      </c>
      <c r="BK79" s="9">
        <v>0.784</v>
      </c>
      <c r="BL79" s="9">
        <v>0.768</v>
      </c>
      <c r="BM79" s="9">
        <v>0.4336</v>
      </c>
      <c r="BN79" s="9">
        <v>0.413333</v>
      </c>
      <c r="BO79" s="9">
        <v>0.664</v>
      </c>
      <c r="BP79" s="9">
        <v>0.772267</v>
      </c>
      <c r="BQ79" s="9">
        <v>0.773333</v>
      </c>
      <c r="BR79" s="9">
        <v>0.786667</v>
      </c>
      <c r="BS79" s="9">
        <v>0.5376</v>
      </c>
      <c r="BT79" s="9">
        <v>0.528</v>
      </c>
      <c r="BU79" s="9">
        <v>0.52</v>
      </c>
      <c r="BV79" s="6"/>
      <c r="BW79" s="6" t="str">
        <f t="shared" si="1"/>
        <v>TS-CHIEF</v>
      </c>
      <c r="BX79" s="6" t="str">
        <f t="shared" si="2"/>
        <v>HIVE-COTE v1,0</v>
      </c>
      <c r="BY79" s="6" t="str">
        <f t="shared" si="3"/>
        <v>8V_Fold_Mean</v>
      </c>
      <c r="BZ79" s="6"/>
      <c r="CA79" s="11" t="str">
        <f t="shared" si="4"/>
        <v>#VALUE!</v>
      </c>
      <c r="CC79" s="6"/>
      <c r="CD79" s="6"/>
      <c r="CE79" s="6"/>
    </row>
    <row r="80" ht="15.75" customHeight="1">
      <c r="A80" s="1" t="s">
        <v>174</v>
      </c>
      <c r="B80" s="7" t="s">
        <v>211</v>
      </c>
      <c r="C80" s="16">
        <v>0.997333333333333</v>
      </c>
      <c r="D80" s="16">
        <v>0.986222222222222</v>
      </c>
      <c r="E80" s="16">
        <v>0.974888888888889</v>
      </c>
      <c r="F80" s="16">
        <v>0.984666666666666</v>
      </c>
      <c r="G80" s="16">
        <v>0.935777777777777</v>
      </c>
      <c r="H80" s="16">
        <v>0.992888888888888</v>
      </c>
      <c r="I80" s="16">
        <v>0.998</v>
      </c>
      <c r="J80" s="16">
        <v>0.855333333333333</v>
      </c>
      <c r="K80" s="16">
        <v>0.411777777777777</v>
      </c>
      <c r="L80" s="16">
        <v>0.444</v>
      </c>
      <c r="M80" s="16">
        <v>0.407333333333333</v>
      </c>
      <c r="N80" s="16">
        <v>0.848444444444444</v>
      </c>
      <c r="O80" s="16">
        <v>0.987333333333333</v>
      </c>
      <c r="P80" s="16">
        <v>0.855333333333333</v>
      </c>
      <c r="Q80" s="9">
        <v>0.953333</v>
      </c>
      <c r="R80" s="9">
        <v>0.953333</v>
      </c>
      <c r="S80" s="9">
        <v>0.96</v>
      </c>
      <c r="T80" s="9">
        <v>0.963999999</v>
      </c>
      <c r="U80" s="9">
        <v>0.959999979</v>
      </c>
      <c r="V80" s="9">
        <v>0.34</v>
      </c>
      <c r="W80" s="9">
        <v>0.902667</v>
      </c>
      <c r="X80" s="9">
        <v>0.906667</v>
      </c>
      <c r="Y80" s="9">
        <v>0.906667</v>
      </c>
      <c r="Z80" s="9">
        <v>0.930666673</v>
      </c>
      <c r="AA80" s="9">
        <v>0.933333</v>
      </c>
      <c r="AB80" s="9">
        <v>0.946667</v>
      </c>
      <c r="AC80" s="9">
        <v>0.928</v>
      </c>
      <c r="AD80" s="9">
        <v>0.926667</v>
      </c>
      <c r="AE80" s="9">
        <v>0.926667</v>
      </c>
      <c r="AF80" s="9">
        <v>0.925333321</v>
      </c>
      <c r="AG80" s="9">
        <v>0.94</v>
      </c>
      <c r="AH80" s="9">
        <v>0.933333</v>
      </c>
      <c r="AI80" s="9">
        <v>0.338667</v>
      </c>
      <c r="AJ80" s="9">
        <v>0.333333</v>
      </c>
      <c r="AK80" s="9">
        <v>0.34</v>
      </c>
      <c r="AL80" s="9">
        <v>0.930667</v>
      </c>
      <c r="AM80" s="9">
        <v>0.92</v>
      </c>
      <c r="AN80" s="9">
        <v>0.946667</v>
      </c>
      <c r="AO80" s="9">
        <v>0.918666673</v>
      </c>
      <c r="AP80" s="9">
        <v>0.92</v>
      </c>
      <c r="AQ80" s="9">
        <v>0.92</v>
      </c>
      <c r="AR80" s="9">
        <v>0.917333353</v>
      </c>
      <c r="AS80" s="9">
        <v>0.913333</v>
      </c>
      <c r="AT80" s="9">
        <v>0.94</v>
      </c>
      <c r="AU80" s="9">
        <v>0.344</v>
      </c>
      <c r="AV80" s="9">
        <v>0.333333</v>
      </c>
      <c r="AW80" s="9">
        <v>0.42</v>
      </c>
      <c r="AX80" s="9">
        <v>0.92</v>
      </c>
      <c r="AY80" s="9">
        <v>0.92</v>
      </c>
      <c r="AZ80" s="9">
        <v>0.966667</v>
      </c>
      <c r="BA80" s="9">
        <v>0.872</v>
      </c>
      <c r="BB80" s="9">
        <v>0.926667</v>
      </c>
      <c r="BC80" s="9">
        <v>0.933333</v>
      </c>
      <c r="BD80" s="9">
        <v>0.920000017</v>
      </c>
      <c r="BE80" s="9">
        <v>0.92</v>
      </c>
      <c r="BF80" s="9">
        <v>0.933333</v>
      </c>
      <c r="BG80" s="9">
        <v>0.358667</v>
      </c>
      <c r="BH80" s="9">
        <v>0.333333</v>
      </c>
      <c r="BI80" s="9">
        <v>0.373333</v>
      </c>
      <c r="BJ80" s="9">
        <v>0.933333</v>
      </c>
      <c r="BK80" s="9">
        <v>0.94</v>
      </c>
      <c r="BL80" s="9">
        <v>0.94</v>
      </c>
      <c r="BM80" s="9">
        <v>0.712</v>
      </c>
      <c r="BN80" s="9">
        <v>0.726667</v>
      </c>
      <c r="BO80" s="9">
        <v>0.706667</v>
      </c>
      <c r="BP80" s="9">
        <v>0.808</v>
      </c>
      <c r="BQ80" s="9">
        <v>0.813333</v>
      </c>
      <c r="BR80" s="9">
        <v>0.826667</v>
      </c>
      <c r="BS80" s="9">
        <v>0.892</v>
      </c>
      <c r="BT80" s="9">
        <v>0.9</v>
      </c>
      <c r="BU80" s="9">
        <v>0.92</v>
      </c>
      <c r="BV80" s="6"/>
      <c r="BW80" s="6" t="str">
        <f t="shared" si="1"/>
        <v>ProximityForest</v>
      </c>
      <c r="BX80" s="6" t="str">
        <f t="shared" si="2"/>
        <v>TS-CHIEF</v>
      </c>
      <c r="BY80" s="6" t="str">
        <f t="shared" si="3"/>
        <v>ResNet</v>
      </c>
      <c r="BZ80" s="6"/>
      <c r="CA80" s="11" t="str">
        <f t="shared" si="4"/>
        <v>#VALUE!</v>
      </c>
      <c r="CC80" s="6"/>
      <c r="CD80" s="6"/>
      <c r="CE80" s="6"/>
    </row>
    <row r="81" ht="15.75" customHeight="1">
      <c r="A81" s="1" t="s">
        <v>175</v>
      </c>
      <c r="B81" s="7" t="s">
        <v>211</v>
      </c>
      <c r="C81" s="16">
        <v>0.889739323349972</v>
      </c>
      <c r="D81" s="16">
        <v>0.826344980587909</v>
      </c>
      <c r="E81" s="16">
        <v>0.958069883527454</v>
      </c>
      <c r="F81" s="16">
        <v>0.954187465335551</v>
      </c>
      <c r="G81" s="16">
        <v>0.800942872989461</v>
      </c>
      <c r="H81" s="16">
        <v>0.960399334442595</v>
      </c>
      <c r="I81" s="16">
        <v>0.920133111480865</v>
      </c>
      <c r="J81" s="16">
        <v>0.909262340543538</v>
      </c>
      <c r="K81" s="16">
        <v>0.895341098169716</v>
      </c>
      <c r="L81" s="16">
        <v>0.622850804215196</v>
      </c>
      <c r="M81" s="16">
        <v>0.897670549084858</v>
      </c>
      <c r="N81" s="16">
        <v>0.866999445368829</v>
      </c>
      <c r="O81" s="16">
        <v>0.863727121464226</v>
      </c>
      <c r="P81" s="16">
        <v>0.883361064891846</v>
      </c>
      <c r="Q81" s="9">
        <v>0.499834</v>
      </c>
      <c r="R81" s="9">
        <v>0.494176</v>
      </c>
      <c r="S81" s="9">
        <v>0.557404</v>
      </c>
      <c r="T81" s="9">
        <v>0.550748742</v>
      </c>
      <c r="U81" s="9">
        <v>0.555740416</v>
      </c>
      <c r="V81" s="9">
        <v>0.570715</v>
      </c>
      <c r="W81" s="9">
        <v>0.49218</v>
      </c>
      <c r="X81" s="9">
        <v>0.429285</v>
      </c>
      <c r="Y81" s="9">
        <v>0.607321</v>
      </c>
      <c r="Z81" s="9">
        <v>0.501497495</v>
      </c>
      <c r="AA81" s="9">
        <v>0.429285</v>
      </c>
      <c r="AB81" s="9">
        <v>0.627288</v>
      </c>
      <c r="AC81" s="9">
        <v>0.520799</v>
      </c>
      <c r="AD81" s="9">
        <v>0.464226</v>
      </c>
      <c r="AE81" s="9">
        <v>0.673877</v>
      </c>
      <c r="AF81" s="9">
        <v>0.555740428</v>
      </c>
      <c r="AG81" s="9">
        <v>0.570715</v>
      </c>
      <c r="AH81" s="9">
        <v>0.65391</v>
      </c>
      <c r="AI81" s="9">
        <v>0.485524</v>
      </c>
      <c r="AJ81" s="9">
        <v>0.429285</v>
      </c>
      <c r="AK81" s="9">
        <v>0.524126</v>
      </c>
      <c r="AL81" s="9">
        <v>0.479867</v>
      </c>
      <c r="AM81" s="9">
        <v>0.487521</v>
      </c>
      <c r="AN81" s="9">
        <v>0.550749</v>
      </c>
      <c r="AO81" s="9">
        <v>0.490515798</v>
      </c>
      <c r="AP81" s="9">
        <v>0.454243</v>
      </c>
      <c r="AQ81" s="9">
        <v>0.580699</v>
      </c>
      <c r="AR81" s="9">
        <v>0.467886853</v>
      </c>
      <c r="AS81" s="9">
        <v>0.442596</v>
      </c>
      <c r="AT81" s="9">
        <v>0.552413</v>
      </c>
      <c r="AU81" s="9">
        <v>0.500499</v>
      </c>
      <c r="AV81" s="9">
        <v>0.429285</v>
      </c>
      <c r="AW81" s="9">
        <v>0.552413</v>
      </c>
      <c r="AX81" s="9">
        <v>0.479201</v>
      </c>
      <c r="AY81" s="9">
        <v>0.462562</v>
      </c>
      <c r="AZ81" s="9">
        <v>0.580699</v>
      </c>
      <c r="BA81" s="9">
        <v>0.466556</v>
      </c>
      <c r="BB81" s="9">
        <v>0.487521</v>
      </c>
      <c r="BC81" s="9">
        <v>0.603993</v>
      </c>
      <c r="BD81" s="9">
        <v>0.508485842</v>
      </c>
      <c r="BE81" s="9">
        <v>0.459235</v>
      </c>
      <c r="BF81" s="9">
        <v>0.499168</v>
      </c>
      <c r="BG81" s="9">
        <v>0.609983</v>
      </c>
      <c r="BH81" s="9">
        <v>0.638935</v>
      </c>
      <c r="BI81" s="9">
        <v>0.630616</v>
      </c>
      <c r="BJ81" s="9">
        <v>0.531448</v>
      </c>
      <c r="BK81" s="9">
        <v>0.497504</v>
      </c>
      <c r="BL81" s="9">
        <v>0.677205</v>
      </c>
      <c r="BM81" s="9">
        <v>0.506822</v>
      </c>
      <c r="BN81" s="9">
        <v>0.459235</v>
      </c>
      <c r="BO81" s="9">
        <v>0.49584</v>
      </c>
      <c r="BP81" s="9">
        <v>0.5401</v>
      </c>
      <c r="BQ81" s="9">
        <v>0.434276</v>
      </c>
      <c r="BR81" s="9">
        <v>0.667221</v>
      </c>
      <c r="BS81" s="9">
        <v>0.673544</v>
      </c>
      <c r="BT81" s="9">
        <v>0.727121</v>
      </c>
      <c r="BU81" s="9">
        <v>0.742096</v>
      </c>
      <c r="BV81" s="6"/>
      <c r="BW81" s="6" t="str">
        <f t="shared" si="1"/>
        <v>ResNet</v>
      </c>
      <c r="BX81" s="6" t="str">
        <f t="shared" si="2"/>
        <v>ROCKET</v>
      </c>
      <c r="BY81" s="6" t="str">
        <f t="shared" si="3"/>
        <v>InceptionTime</v>
      </c>
      <c r="BZ81" s="6"/>
      <c r="CA81" s="11" t="str">
        <f t="shared" si="4"/>
        <v>#VALUE!</v>
      </c>
      <c r="CC81" s="6"/>
      <c r="CD81" s="6"/>
      <c r="CE81" s="6"/>
    </row>
    <row r="82" ht="15.75" customHeight="1">
      <c r="A82" s="1" t="s">
        <v>176</v>
      </c>
      <c r="B82" s="7" t="s">
        <v>211</v>
      </c>
      <c r="C82" s="16">
        <v>0.901084295208114</v>
      </c>
      <c r="D82" s="16">
        <v>0.936656173487233</v>
      </c>
      <c r="E82" s="16">
        <v>0.935047219307449</v>
      </c>
      <c r="F82" s="16">
        <v>0.951276670164393</v>
      </c>
      <c r="G82" s="16">
        <v>0.936970968870234</v>
      </c>
      <c r="H82" s="16">
        <v>0.968870234347674</v>
      </c>
      <c r="I82" s="16">
        <v>0.899020636586219</v>
      </c>
      <c r="J82" s="16">
        <v>0.935292060160895</v>
      </c>
      <c r="K82" s="16">
        <v>0.884260230849947</v>
      </c>
      <c r="L82" s="16">
        <v>0.875795732773697</v>
      </c>
      <c r="M82" s="16">
        <v>0.879363413781042</v>
      </c>
      <c r="N82" s="16">
        <v>0.912486883525708</v>
      </c>
      <c r="O82" s="16">
        <v>0.874326687653025</v>
      </c>
      <c r="P82" s="16">
        <v>0.902343476740118</v>
      </c>
      <c r="Q82" s="9">
        <v>0.709969</v>
      </c>
      <c r="R82" s="9">
        <v>0.735572</v>
      </c>
      <c r="S82" s="9">
        <v>0.743966</v>
      </c>
      <c r="T82" s="9">
        <v>0.724029398</v>
      </c>
      <c r="U82" s="9">
        <v>0.731374621</v>
      </c>
      <c r="V82" s="9">
        <v>0.616999</v>
      </c>
      <c r="W82" s="9">
        <v>0.745016</v>
      </c>
      <c r="X82" s="9">
        <v>0.758657</v>
      </c>
      <c r="Y82" s="9">
        <v>0.766002</v>
      </c>
      <c r="Z82" s="9">
        <v>0.732214069</v>
      </c>
      <c r="AA82" s="9">
        <v>0.759706</v>
      </c>
      <c r="AB82" s="9">
        <v>0.767051</v>
      </c>
      <c r="AC82" s="9">
        <v>0.779853</v>
      </c>
      <c r="AD82" s="9">
        <v>0.777545</v>
      </c>
      <c r="AE82" s="9">
        <v>0.796432</v>
      </c>
      <c r="AF82" s="9">
        <v>0.729485834</v>
      </c>
      <c r="AG82" s="9">
        <v>0.774397</v>
      </c>
      <c r="AH82" s="9">
        <v>0.797482</v>
      </c>
      <c r="AI82" s="9">
        <v>0.770619</v>
      </c>
      <c r="AJ82" s="9">
        <v>0.76915</v>
      </c>
      <c r="AK82" s="9">
        <v>0.779643</v>
      </c>
      <c r="AL82" s="9">
        <v>0.768101</v>
      </c>
      <c r="AM82" s="9">
        <v>0.770199</v>
      </c>
      <c r="AN82" s="9">
        <v>0.782791</v>
      </c>
      <c r="AO82" s="9">
        <v>0.754249728</v>
      </c>
      <c r="AP82" s="9">
        <v>0.764953</v>
      </c>
      <c r="AQ82" s="9">
        <v>0.779643</v>
      </c>
      <c r="AR82" s="9">
        <v>0.770409226</v>
      </c>
      <c r="AS82" s="9">
        <v>0.767051</v>
      </c>
      <c r="AT82" s="9">
        <v>0.776495</v>
      </c>
      <c r="AU82" s="9">
        <v>0.729906</v>
      </c>
      <c r="AV82" s="9">
        <v>0.755509</v>
      </c>
      <c r="AW82" s="9">
        <v>0.755509</v>
      </c>
      <c r="AX82" s="9">
        <v>0.757398</v>
      </c>
      <c r="AY82" s="9">
        <v>0.758657</v>
      </c>
      <c r="AZ82" s="9">
        <v>0.743966</v>
      </c>
      <c r="BA82" s="9">
        <v>0.763903</v>
      </c>
      <c r="BB82" s="9">
        <v>0.786988</v>
      </c>
      <c r="BC82" s="9">
        <v>0.796432</v>
      </c>
      <c r="BD82" s="9">
        <v>0.757397687</v>
      </c>
      <c r="BE82" s="9">
        <v>0.781742</v>
      </c>
      <c r="BF82" s="9">
        <v>0.795383</v>
      </c>
      <c r="BG82" s="9">
        <v>0.785939</v>
      </c>
      <c r="BH82" s="9">
        <v>0.786988</v>
      </c>
      <c r="BI82" s="9">
        <v>0.795383</v>
      </c>
      <c r="BJ82" s="9">
        <v>0.770829</v>
      </c>
      <c r="BK82" s="9">
        <v>0.792235</v>
      </c>
      <c r="BL82" s="9">
        <v>0.798531</v>
      </c>
      <c r="BM82" s="9">
        <v>0.733893</v>
      </c>
      <c r="BN82" s="9">
        <v>0.767051</v>
      </c>
      <c r="BO82" s="9">
        <v>0.78489</v>
      </c>
      <c r="BP82" s="9">
        <v>0.780693</v>
      </c>
      <c r="BQ82" s="9">
        <v>0.780693</v>
      </c>
      <c r="BR82" s="9">
        <v>0.803778</v>
      </c>
      <c r="BS82" s="9">
        <v>0.806086</v>
      </c>
      <c r="BT82" s="9">
        <v>0.81532</v>
      </c>
      <c r="BU82" s="9">
        <v>0.820567</v>
      </c>
      <c r="BV82" s="6"/>
      <c r="BW82" s="6" t="str">
        <f t="shared" si="1"/>
        <v>ResNet</v>
      </c>
      <c r="BX82" s="6" t="str">
        <f t="shared" si="2"/>
        <v>InceptionTime</v>
      </c>
      <c r="BY82" s="6" t="str">
        <f t="shared" si="3"/>
        <v>STC</v>
      </c>
      <c r="BZ82" s="6"/>
      <c r="CA82" s="11" t="str">
        <f t="shared" si="4"/>
        <v>#VALUE!</v>
      </c>
      <c r="CC82" s="6"/>
      <c r="CD82" s="6"/>
      <c r="CE82" s="6"/>
    </row>
    <row r="83" ht="15.75" customHeight="1">
      <c r="A83" s="1" t="s">
        <v>177</v>
      </c>
      <c r="B83" s="7" t="s">
        <v>211</v>
      </c>
      <c r="C83" s="16">
        <v>0.981127570017807</v>
      </c>
      <c r="D83" s="16">
        <v>0.979557228428039</v>
      </c>
      <c r="E83" s="16">
        <v>0.980994010037234</v>
      </c>
      <c r="F83" s="16">
        <v>0.978128541363121</v>
      </c>
      <c r="G83" s="16">
        <v>0.978606119475473</v>
      </c>
      <c r="H83" s="16">
        <v>0.972029302250283</v>
      </c>
      <c r="I83" s="16">
        <v>0.979569370244455</v>
      </c>
      <c r="J83" s="16">
        <v>0.980431439209972</v>
      </c>
      <c r="K83" s="16">
        <v>0.952096486967783</v>
      </c>
      <c r="L83" s="16">
        <v>0.977752145054233</v>
      </c>
      <c r="M83" s="16">
        <v>0.976578436134045</v>
      </c>
      <c r="N83" s="16">
        <v>0.974380767362797</v>
      </c>
      <c r="O83" s="16">
        <v>0.970426582483406</v>
      </c>
      <c r="P83" s="16">
        <v>0.970175651610814</v>
      </c>
      <c r="Q83" s="9">
        <v>0.91389</v>
      </c>
      <c r="R83" s="9">
        <v>0.918893</v>
      </c>
      <c r="S83" s="9">
        <v>0.927635</v>
      </c>
      <c r="T83" s="9">
        <v>0.916610014</v>
      </c>
      <c r="U83" s="9">
        <v>0.919014096</v>
      </c>
      <c r="V83" s="9">
        <v>0.577222</v>
      </c>
      <c r="W83" s="9">
        <v>0.928849</v>
      </c>
      <c r="X83" s="9">
        <v>0.930063</v>
      </c>
      <c r="Y83" s="9">
        <v>0.930792</v>
      </c>
      <c r="Z83" s="9">
        <v>0.922948039</v>
      </c>
      <c r="AA83" s="9">
        <v>0.923992</v>
      </c>
      <c r="AB83" s="9">
        <v>0.932127</v>
      </c>
      <c r="AC83" s="9">
        <v>0.930452</v>
      </c>
      <c r="AD83" s="9">
        <v>0.929335</v>
      </c>
      <c r="AE83" s="9">
        <v>0.93407</v>
      </c>
      <c r="AF83" s="9">
        <v>0.929043221</v>
      </c>
      <c r="AG83" s="9">
        <v>0.927635</v>
      </c>
      <c r="AH83" s="9">
        <v>0.934677</v>
      </c>
      <c r="AI83" s="9">
        <v>0.927999</v>
      </c>
      <c r="AJ83" s="9">
        <v>0.927635</v>
      </c>
      <c r="AK83" s="9">
        <v>0.934556</v>
      </c>
      <c r="AL83" s="9">
        <v>0.925571</v>
      </c>
      <c r="AM83" s="9">
        <v>0.92812</v>
      </c>
      <c r="AN83" s="9">
        <v>0.937227</v>
      </c>
      <c r="AO83" s="9">
        <v>0.923336565</v>
      </c>
      <c r="AP83" s="9">
        <v>0.922292</v>
      </c>
      <c r="AQ83" s="9">
        <v>0.934556</v>
      </c>
      <c r="AR83" s="9">
        <v>0.923530841</v>
      </c>
      <c r="AS83" s="9">
        <v>0.924964</v>
      </c>
      <c r="AT83" s="9">
        <v>0.930792</v>
      </c>
      <c r="AU83" s="9">
        <v>0.932661</v>
      </c>
      <c r="AV83" s="9">
        <v>0.932734</v>
      </c>
      <c r="AW83" s="9">
        <v>0.937834</v>
      </c>
      <c r="AX83" s="9">
        <v>0.931374</v>
      </c>
      <c r="AY83" s="9">
        <v>0.932491</v>
      </c>
      <c r="AZ83" s="9">
        <v>0.939412</v>
      </c>
      <c r="BA83" s="9">
        <v>0.931909</v>
      </c>
      <c r="BB83" s="9">
        <v>0.931642</v>
      </c>
      <c r="BC83" s="9">
        <v>0.941234</v>
      </c>
      <c r="BD83" s="9">
        <v>0.927440512</v>
      </c>
      <c r="BE83" s="9">
        <v>0.926906</v>
      </c>
      <c r="BF83" s="9">
        <v>0.93577</v>
      </c>
      <c r="BG83" s="9">
        <v>0.935551</v>
      </c>
      <c r="BH83" s="9">
        <v>0.936863</v>
      </c>
      <c r="BI83" s="9">
        <v>0.95034</v>
      </c>
      <c r="BJ83" s="9">
        <v>0.940554</v>
      </c>
      <c r="BK83" s="9">
        <v>0.940748</v>
      </c>
      <c r="BL83" s="9">
        <v>0.953254</v>
      </c>
      <c r="BM83" s="9">
        <v>0.933366</v>
      </c>
      <c r="BN83" s="9">
        <v>0.93407</v>
      </c>
      <c r="BO83" s="9">
        <v>0.940869</v>
      </c>
      <c r="BP83" s="9">
        <v>0.945556</v>
      </c>
      <c r="BQ83" s="9">
        <v>0.946576</v>
      </c>
      <c r="BR83" s="9">
        <v>0.954104</v>
      </c>
      <c r="BS83" s="9">
        <v>0.894706</v>
      </c>
      <c r="BT83" s="9">
        <v>0.894245</v>
      </c>
      <c r="BU83" s="9">
        <v>0.921442</v>
      </c>
      <c r="BV83" s="6"/>
      <c r="BW83" s="6" t="str">
        <f t="shared" si="1"/>
        <v>TS-CHIEF</v>
      </c>
      <c r="BX83" s="6" t="str">
        <f t="shared" si="2"/>
        <v>ROCKET</v>
      </c>
      <c r="BY83" s="6" t="str">
        <f t="shared" si="3"/>
        <v>WEASEL</v>
      </c>
      <c r="BZ83" s="6"/>
      <c r="CA83" s="11" t="str">
        <f t="shared" si="4"/>
        <v>#VALUE!</v>
      </c>
      <c r="CC83" s="6"/>
      <c r="CD83" s="6"/>
      <c r="CE83" s="6"/>
    </row>
    <row r="84" ht="15.75" customHeight="1">
      <c r="A84" s="1" t="s">
        <v>178</v>
      </c>
      <c r="B84" s="7" t="s">
        <v>211</v>
      </c>
      <c r="C84" s="16">
        <v>0.973963963963963</v>
      </c>
      <c r="D84" s="16">
        <v>0.975135135135135</v>
      </c>
      <c r="E84" s="16">
        <v>0.978738738738738</v>
      </c>
      <c r="F84" s="16">
        <v>0.975495495495495</v>
      </c>
      <c r="G84" s="16">
        <v>0.971711711711711</v>
      </c>
      <c r="H84" s="16">
        <v>0.974864864864864</v>
      </c>
      <c r="I84" s="16">
        <v>0.96045045045045</v>
      </c>
      <c r="J84" s="16">
        <v>0.978558558558558</v>
      </c>
      <c r="K84" s="16">
        <v>0.966036036036035</v>
      </c>
      <c r="L84" s="16">
        <v>0.972162162162162</v>
      </c>
      <c r="M84" s="16">
        <v>0.97045045045045</v>
      </c>
      <c r="N84" s="16">
        <v>0.972972972972973</v>
      </c>
      <c r="O84" s="16">
        <v>0.967477477477477</v>
      </c>
      <c r="P84" s="16">
        <v>0.922882882882882</v>
      </c>
      <c r="Q84" s="9">
        <v>0.896757</v>
      </c>
      <c r="R84" s="9">
        <v>0.9</v>
      </c>
      <c r="S84" s="9">
        <v>0.908108</v>
      </c>
      <c r="T84" s="9">
        <v>0.888108099</v>
      </c>
      <c r="U84" s="9">
        <v>0.891891897</v>
      </c>
      <c r="V84" s="9">
        <v>0.643243</v>
      </c>
      <c r="W84" s="9">
        <v>0.906486</v>
      </c>
      <c r="X84" s="9">
        <v>0.908108</v>
      </c>
      <c r="Y84" s="9">
        <v>0.910811</v>
      </c>
      <c r="Z84" s="9">
        <v>0.902162158</v>
      </c>
      <c r="AA84" s="9">
        <v>0.905405</v>
      </c>
      <c r="AB84" s="9">
        <v>0.913514</v>
      </c>
      <c r="AC84" s="9">
        <v>0.896757</v>
      </c>
      <c r="AD84" s="9">
        <v>0.894595</v>
      </c>
      <c r="AE84" s="9">
        <v>0.92973</v>
      </c>
      <c r="AF84" s="9">
        <v>0.900540555</v>
      </c>
      <c r="AG84" s="9">
        <v>0.897297</v>
      </c>
      <c r="AH84" s="9">
        <v>0.910811</v>
      </c>
      <c r="AI84" s="9">
        <v>0.888649</v>
      </c>
      <c r="AJ84" s="9">
        <v>0.886486</v>
      </c>
      <c r="AK84" s="9">
        <v>0.897297</v>
      </c>
      <c r="AL84" s="9">
        <v>0.903243</v>
      </c>
      <c r="AM84" s="9">
        <v>0.905405</v>
      </c>
      <c r="AN84" s="9">
        <v>0.910811</v>
      </c>
      <c r="AO84" s="9">
        <v>0.906486499</v>
      </c>
      <c r="AP84" s="9">
        <v>0.910811</v>
      </c>
      <c r="AQ84" s="9">
        <v>0.92973</v>
      </c>
      <c r="AR84" s="9">
        <v>0.908108115</v>
      </c>
      <c r="AS84" s="9">
        <v>0.908108</v>
      </c>
      <c r="AT84" s="9">
        <v>0.924324</v>
      </c>
      <c r="AU84" s="9">
        <v>0.907027</v>
      </c>
      <c r="AV84" s="9">
        <v>0.910811</v>
      </c>
      <c r="AW84" s="9">
        <v>0.918919</v>
      </c>
      <c r="AX84" s="9">
        <v>0.911892</v>
      </c>
      <c r="AY84" s="9">
        <v>0.918919</v>
      </c>
      <c r="AZ84" s="9">
        <v>0.918919</v>
      </c>
      <c r="BA84" s="9">
        <v>0.909189</v>
      </c>
      <c r="BB84" s="9">
        <v>0.913514</v>
      </c>
      <c r="BC84" s="9">
        <v>0.940541</v>
      </c>
      <c r="BD84" s="9">
        <v>0.910270286</v>
      </c>
      <c r="BE84" s="9">
        <v>0.910811</v>
      </c>
      <c r="BF84" s="9">
        <v>0.927027</v>
      </c>
      <c r="BG84" s="9">
        <v>0.931351</v>
      </c>
      <c r="BH84" s="9">
        <v>0.92973</v>
      </c>
      <c r="BI84" s="9">
        <v>0.937838</v>
      </c>
      <c r="BJ84" s="9">
        <v>0.933513</v>
      </c>
      <c r="BK84" s="9">
        <v>0.932432</v>
      </c>
      <c r="BL84" s="9">
        <v>0.951351</v>
      </c>
      <c r="BM84" s="9">
        <v>0.916757</v>
      </c>
      <c r="BN84" s="9">
        <v>0.921622</v>
      </c>
      <c r="BO84" s="9">
        <v>0.935135</v>
      </c>
      <c r="BP84" s="9">
        <v>0.924324</v>
      </c>
      <c r="BQ84" s="9">
        <v>0.924324</v>
      </c>
      <c r="BR84" s="9">
        <v>0.943243</v>
      </c>
      <c r="BS84" s="9">
        <v>0.944865</v>
      </c>
      <c r="BT84" s="9">
        <v>0.945946</v>
      </c>
      <c r="BU84" s="9">
        <v>0.954054</v>
      </c>
      <c r="BV84" s="6"/>
      <c r="BW84" s="6" t="str">
        <f t="shared" si="1"/>
        <v>ROCKET</v>
      </c>
      <c r="BX84" s="6" t="str">
        <f t="shared" si="2"/>
        <v>WEASEL</v>
      </c>
      <c r="BY84" s="6" t="str">
        <f t="shared" si="3"/>
        <v>InceptionTime</v>
      </c>
      <c r="BZ84" s="6"/>
      <c r="CA84" s="11" t="str">
        <f t="shared" si="4"/>
        <v>#VALUE!</v>
      </c>
      <c r="CC84" s="6"/>
      <c r="CD84" s="6"/>
      <c r="CE84" s="6"/>
    </row>
    <row r="85" ht="15.75" customHeight="1">
      <c r="A85" s="1" t="s">
        <v>179</v>
      </c>
      <c r="B85" s="7" t="s">
        <v>211</v>
      </c>
      <c r="C85" s="16">
        <v>0.96192</v>
      </c>
      <c r="D85" s="16">
        <v>0.949439999999999</v>
      </c>
      <c r="E85" s="16">
        <v>0.9632</v>
      </c>
      <c r="F85" s="16">
        <v>0.96976</v>
      </c>
      <c r="G85" s="16">
        <v>0.933973333333333</v>
      </c>
      <c r="H85" s="16">
        <v>0.95856</v>
      </c>
      <c r="I85" s="16">
        <v>0.953066666666666</v>
      </c>
      <c r="J85" s="16">
        <v>0.9576</v>
      </c>
      <c r="K85" s="16">
        <v>0.925439999999999</v>
      </c>
      <c r="L85" s="16">
        <v>0.910559999999999</v>
      </c>
      <c r="M85" s="16">
        <v>0.92016</v>
      </c>
      <c r="N85" s="16">
        <v>0.922933333333333</v>
      </c>
      <c r="O85" s="16">
        <v>0.897866666666666</v>
      </c>
      <c r="P85" s="16">
        <v>0.88048</v>
      </c>
      <c r="Q85" s="9">
        <v>0.68736</v>
      </c>
      <c r="R85" s="9">
        <v>0.6848</v>
      </c>
      <c r="S85" s="9">
        <v>0.7408</v>
      </c>
      <c r="T85" s="9">
        <v>0.63168</v>
      </c>
      <c r="U85" s="9">
        <v>0.673600018</v>
      </c>
      <c r="V85" s="9">
        <v>0.0528</v>
      </c>
      <c r="W85" s="9">
        <v>0.70464</v>
      </c>
      <c r="X85" s="9">
        <v>0.696</v>
      </c>
      <c r="Y85" s="9">
        <v>0.7808</v>
      </c>
      <c r="Z85" s="9">
        <v>0.646400023</v>
      </c>
      <c r="AA85" s="9">
        <v>0.6208</v>
      </c>
      <c r="AB85" s="9">
        <v>0.5424</v>
      </c>
      <c r="AC85" s="9">
        <v>0.74016</v>
      </c>
      <c r="AD85" s="9">
        <v>0.7824</v>
      </c>
      <c r="AE85" s="9">
        <v>0.7216</v>
      </c>
      <c r="AF85" s="9">
        <v>0.703999984</v>
      </c>
      <c r="AG85" s="9">
        <v>0.7488</v>
      </c>
      <c r="AH85" s="9">
        <v>0.7856</v>
      </c>
      <c r="AI85" s="9">
        <v>0.77888</v>
      </c>
      <c r="AJ85" s="9">
        <v>0.768</v>
      </c>
      <c r="AK85" s="9">
        <v>0.8352</v>
      </c>
      <c r="AL85" s="9">
        <v>0.65472</v>
      </c>
      <c r="AM85" s="9">
        <v>0.6256</v>
      </c>
      <c r="AN85" s="9">
        <v>0.592</v>
      </c>
      <c r="AO85" s="9">
        <v>0.760320008</v>
      </c>
      <c r="AP85" s="9">
        <v>0.808</v>
      </c>
      <c r="AQ85" s="9">
        <v>0.7504</v>
      </c>
      <c r="AR85" s="9">
        <v>0.74368</v>
      </c>
      <c r="AS85" s="9">
        <v>0.7728</v>
      </c>
      <c r="AT85" s="9">
        <v>0.7984</v>
      </c>
      <c r="AU85" s="9">
        <v>0.74816</v>
      </c>
      <c r="AV85" s="9">
        <v>0.7488</v>
      </c>
      <c r="AW85" s="9">
        <v>0.7568</v>
      </c>
      <c r="AX85" s="9">
        <v>0.5936</v>
      </c>
      <c r="AY85" s="9">
        <v>0.68</v>
      </c>
      <c r="AZ85" s="9">
        <v>0.8288</v>
      </c>
      <c r="BA85" s="9">
        <v>0.76832</v>
      </c>
      <c r="BB85" s="9">
        <v>0.7648</v>
      </c>
      <c r="BC85" s="9">
        <v>0.8144</v>
      </c>
      <c r="BD85" s="9">
        <v>0.79072001</v>
      </c>
      <c r="BE85" s="9">
        <v>0.7904</v>
      </c>
      <c r="BF85" s="9">
        <v>0.7872</v>
      </c>
      <c r="BG85" s="9">
        <v>0.6928</v>
      </c>
      <c r="BH85" s="9">
        <v>0.704</v>
      </c>
      <c r="BI85" s="9">
        <v>0.8272</v>
      </c>
      <c r="BJ85" s="9">
        <v>0.78048</v>
      </c>
      <c r="BK85" s="9">
        <v>0.7776</v>
      </c>
      <c r="BL85" s="9">
        <v>0.5824</v>
      </c>
      <c r="BM85" s="9">
        <v>0.72128</v>
      </c>
      <c r="BN85" s="9">
        <v>0.7536</v>
      </c>
      <c r="BO85" s="9">
        <v>0.8016</v>
      </c>
      <c r="BP85" s="9">
        <v>0.5568</v>
      </c>
      <c r="BQ85" s="9">
        <v>0.6752</v>
      </c>
      <c r="BR85" s="9">
        <v>0.5024</v>
      </c>
      <c r="BS85" s="9">
        <v>0.576</v>
      </c>
      <c r="BT85" s="9">
        <v>0.6064</v>
      </c>
      <c r="BU85" s="9">
        <v>0.5456</v>
      </c>
      <c r="BV85" s="6"/>
      <c r="BW85" s="6" t="str">
        <f t="shared" si="1"/>
        <v>InceptionTime</v>
      </c>
      <c r="BX85" s="6" t="str">
        <f t="shared" si="2"/>
        <v>ROCKET</v>
      </c>
      <c r="BY85" s="6" t="str">
        <f t="shared" si="3"/>
        <v>TS-CHIEF</v>
      </c>
      <c r="BZ85" s="6"/>
      <c r="CA85" s="11" t="str">
        <f t="shared" si="4"/>
        <v>#VALUE!</v>
      </c>
      <c r="CC85" s="6"/>
      <c r="CD85" s="6"/>
      <c r="CE85" s="6"/>
    </row>
    <row r="86" ht="15.75" customHeight="1">
      <c r="A86" s="1" t="s">
        <v>180</v>
      </c>
      <c r="B86" s="7" t="s">
        <v>211</v>
      </c>
      <c r="C86" s="16">
        <v>0.970820770519263</v>
      </c>
      <c r="D86" s="16">
        <v>0.968509212730318</v>
      </c>
      <c r="E86" s="16">
        <v>0.96857621440536</v>
      </c>
      <c r="F86" s="16">
        <v>0.969581239530987</v>
      </c>
      <c r="G86" s="16">
        <v>0.901407035175879</v>
      </c>
      <c r="H86" s="16">
        <v>0.946700167504187</v>
      </c>
      <c r="I86" s="16">
        <v>0.967035175879397</v>
      </c>
      <c r="J86" s="16">
        <v>0.95323283082077</v>
      </c>
      <c r="K86" s="16">
        <v>0.964154103852596</v>
      </c>
      <c r="L86" s="16">
        <v>0.96251256281407</v>
      </c>
      <c r="M86" s="16">
        <v>0.963182579564489</v>
      </c>
      <c r="N86" s="16">
        <v>0.912730318257956</v>
      </c>
      <c r="O86" s="16">
        <v>0.87788944723618</v>
      </c>
      <c r="P86" s="16">
        <v>0.948006700167504</v>
      </c>
      <c r="Q86" s="9">
        <v>0.737688</v>
      </c>
      <c r="R86" s="9">
        <v>0.744724</v>
      </c>
      <c r="S86" s="9">
        <v>0.738693</v>
      </c>
      <c r="T86" s="9">
        <v>0.668542731</v>
      </c>
      <c r="U86" s="9">
        <v>0.703517616</v>
      </c>
      <c r="V86" s="9">
        <v>0.173869</v>
      </c>
      <c r="W86" s="9">
        <v>0.74392</v>
      </c>
      <c r="X86" s="9">
        <v>0.767839</v>
      </c>
      <c r="Y86" s="9">
        <v>0.747739</v>
      </c>
      <c r="Z86" s="9">
        <v>0.757587945</v>
      </c>
      <c r="AA86" s="9">
        <v>0.78794</v>
      </c>
      <c r="AB86" s="9">
        <v>0.78995</v>
      </c>
      <c r="AC86" s="9">
        <v>0.709548</v>
      </c>
      <c r="AD86" s="9">
        <v>0.745729</v>
      </c>
      <c r="AE86" s="9">
        <v>0.735678</v>
      </c>
      <c r="AF86" s="9">
        <v>0.740100491</v>
      </c>
      <c r="AG86" s="9">
        <v>0.742714</v>
      </c>
      <c r="AH86" s="9">
        <v>0.809045</v>
      </c>
      <c r="AI86" s="9">
        <v>0.770854</v>
      </c>
      <c r="AJ86" s="9">
        <v>0.78191</v>
      </c>
      <c r="AK86" s="9">
        <v>0.777889</v>
      </c>
      <c r="AL86" s="9">
        <v>0.72402</v>
      </c>
      <c r="AM86" s="9">
        <v>0.722613</v>
      </c>
      <c r="AN86" s="9">
        <v>0.838191</v>
      </c>
      <c r="AO86" s="9">
        <v>0.75296483</v>
      </c>
      <c r="AP86" s="9">
        <v>0.747739</v>
      </c>
      <c r="AQ86" s="9">
        <v>0.750754</v>
      </c>
      <c r="AR86" s="9">
        <v>0.733065331</v>
      </c>
      <c r="AS86" s="9">
        <v>0.728643</v>
      </c>
      <c r="AT86" s="9">
        <v>0.715578</v>
      </c>
      <c r="AU86" s="9">
        <v>0.75397</v>
      </c>
      <c r="AV86" s="9">
        <v>0.736683</v>
      </c>
      <c r="AW86" s="9">
        <v>0.729648</v>
      </c>
      <c r="AX86" s="9">
        <v>0.782714</v>
      </c>
      <c r="AY86" s="9">
        <v>0.777889</v>
      </c>
      <c r="AZ86" s="9">
        <v>0.776884</v>
      </c>
      <c r="BA86" s="9">
        <v>0.647035</v>
      </c>
      <c r="BB86" s="9">
        <v>0.686432</v>
      </c>
      <c r="BC86" s="9">
        <v>0.743719</v>
      </c>
      <c r="BD86" s="9">
        <v>0.728442204</v>
      </c>
      <c r="BE86" s="9">
        <v>0.712563</v>
      </c>
      <c r="BF86" s="9">
        <v>0.768844</v>
      </c>
      <c r="BG86" s="9">
        <v>0.756181</v>
      </c>
      <c r="BH86" s="9">
        <v>0.750754</v>
      </c>
      <c r="BI86" s="9">
        <v>0.780905</v>
      </c>
      <c r="BJ86" s="9">
        <v>0.694271</v>
      </c>
      <c r="BK86" s="9">
        <v>0.722613</v>
      </c>
      <c r="BL86" s="9">
        <v>0.81407</v>
      </c>
      <c r="BM86" s="9">
        <v>0.604623</v>
      </c>
      <c r="BN86" s="9">
        <v>0.619096</v>
      </c>
      <c r="BO86" s="9">
        <v>0.61206</v>
      </c>
      <c r="BP86" s="9">
        <v>0.700704</v>
      </c>
      <c r="BQ86" s="9">
        <v>0.695477</v>
      </c>
      <c r="BR86" s="9">
        <v>0.78191</v>
      </c>
      <c r="BS86" s="9">
        <v>0.650251</v>
      </c>
      <c r="BT86" s="9">
        <v>0.662312</v>
      </c>
      <c r="BU86" s="9">
        <v>0.716583</v>
      </c>
      <c r="BV86" s="6"/>
      <c r="BW86" s="6" t="str">
        <f t="shared" si="1"/>
        <v>TS-CHIEF</v>
      </c>
      <c r="BX86" s="6" t="str">
        <f t="shared" si="2"/>
        <v>InceptionTime</v>
      </c>
      <c r="BY86" s="6" t="str">
        <f t="shared" si="3"/>
        <v>ROCKET</v>
      </c>
      <c r="BZ86" s="6"/>
      <c r="CA86" s="11" t="str">
        <f t="shared" si="4"/>
        <v>#VALUE!</v>
      </c>
      <c r="CC86" s="6"/>
      <c r="CD86" s="6"/>
      <c r="CE86" s="6"/>
    </row>
    <row r="87" ht="15.75" customHeight="1">
      <c r="A87" s="1" t="s">
        <v>181</v>
      </c>
      <c r="B87" s="7" t="s">
        <v>211</v>
      </c>
      <c r="C87" s="16">
        <v>0.999</v>
      </c>
      <c r="D87" s="16">
        <v>0.994222222222222</v>
      </c>
      <c r="E87" s="16">
        <v>0.997777777777777</v>
      </c>
      <c r="F87" s="16">
        <v>0.995777777777777</v>
      </c>
      <c r="G87" s="16">
        <v>0.991888888888888</v>
      </c>
      <c r="H87" s="16">
        <v>0.994444444444444</v>
      </c>
      <c r="I87" s="16">
        <v>0.998333333333333</v>
      </c>
      <c r="J87" s="16">
        <v>0.986999999999999</v>
      </c>
      <c r="K87" s="16">
        <v>0.964888888888888</v>
      </c>
      <c r="L87" s="16">
        <v>0.951111111111111</v>
      </c>
      <c r="M87" s="16">
        <v>0.966555555555555</v>
      </c>
      <c r="N87" s="16">
        <v>0.677888888888889</v>
      </c>
      <c r="O87" s="16">
        <v>0.991555555555555</v>
      </c>
      <c r="P87" s="16">
        <v>0.966999999999999</v>
      </c>
      <c r="Q87" s="9">
        <v>0.962667</v>
      </c>
      <c r="R87" s="9">
        <v>0.963333</v>
      </c>
      <c r="S87" s="9">
        <v>0.963333</v>
      </c>
      <c r="T87" s="9">
        <v>0.95799998</v>
      </c>
      <c r="U87" s="9">
        <v>0.956666648</v>
      </c>
      <c r="V87" s="9">
        <v>0.166667</v>
      </c>
      <c r="W87" s="9">
        <v>0.936</v>
      </c>
      <c r="X87" s="9">
        <v>0.94</v>
      </c>
      <c r="Y87" s="9">
        <v>0.94</v>
      </c>
      <c r="Z87" s="9">
        <v>0.934666669</v>
      </c>
      <c r="AA87" s="9">
        <v>0.933333</v>
      </c>
      <c r="AB87" s="9">
        <v>0.943333</v>
      </c>
      <c r="AC87" s="9">
        <v>0.956667</v>
      </c>
      <c r="AD87" s="9">
        <v>0.956667</v>
      </c>
      <c r="AE87" s="9">
        <v>0.963333</v>
      </c>
      <c r="AF87" s="9">
        <v>0.952666652</v>
      </c>
      <c r="AG87" s="9">
        <v>0.953333</v>
      </c>
      <c r="AH87" s="9">
        <v>0.96</v>
      </c>
      <c r="AI87" s="9">
        <v>0.926667</v>
      </c>
      <c r="AJ87" s="9">
        <v>0.923333</v>
      </c>
      <c r="AK87" s="9">
        <v>0.933333</v>
      </c>
      <c r="AL87" s="9">
        <v>0.926</v>
      </c>
      <c r="AM87" s="9">
        <v>0.923333</v>
      </c>
      <c r="AN87" s="9">
        <v>0.93</v>
      </c>
      <c r="AO87" s="9">
        <v>0.95466665</v>
      </c>
      <c r="AP87" s="9">
        <v>0.953333</v>
      </c>
      <c r="AQ87" s="9">
        <v>0.946667</v>
      </c>
      <c r="AR87" s="9">
        <v>0.953333318</v>
      </c>
      <c r="AS87" s="9">
        <v>0.953333</v>
      </c>
      <c r="AT87" s="9">
        <v>0.96</v>
      </c>
      <c r="AU87" s="9">
        <v>0.950667</v>
      </c>
      <c r="AV87" s="9">
        <v>0.95</v>
      </c>
      <c r="AW87" s="9">
        <v>0.963333</v>
      </c>
      <c r="AX87" s="9">
        <v>0.916667</v>
      </c>
      <c r="AY87" s="9">
        <v>0.95</v>
      </c>
      <c r="AZ87" s="9">
        <v>0.953333</v>
      </c>
      <c r="BA87" s="9">
        <v>0.976667</v>
      </c>
      <c r="BB87" s="9">
        <v>0.976667</v>
      </c>
      <c r="BC87" s="9">
        <v>0.983333</v>
      </c>
      <c r="BD87" s="9">
        <v>0.974000013</v>
      </c>
      <c r="BE87" s="9">
        <v>0.976667</v>
      </c>
      <c r="BF87" s="9">
        <v>0.983333</v>
      </c>
      <c r="BG87" s="9">
        <v>0.950667</v>
      </c>
      <c r="BH87" s="9">
        <v>0.95</v>
      </c>
      <c r="BI87" s="9">
        <v>0.946667</v>
      </c>
      <c r="BJ87" s="9">
        <v>0.912667</v>
      </c>
      <c r="BK87" s="9">
        <v>0.95</v>
      </c>
      <c r="BL87" s="9">
        <v>0.956667</v>
      </c>
      <c r="BM87" s="9">
        <v>0.991333</v>
      </c>
      <c r="BN87" s="9">
        <v>0.99</v>
      </c>
      <c r="BO87" s="9">
        <v>0.993333</v>
      </c>
      <c r="BP87" s="9">
        <v>0.946667</v>
      </c>
      <c r="BQ87" s="9">
        <v>0.953333</v>
      </c>
      <c r="BR87" s="9">
        <v>0.96</v>
      </c>
      <c r="BS87" s="9">
        <v>0.852</v>
      </c>
      <c r="BT87" s="9">
        <v>0.85</v>
      </c>
      <c r="BU87" s="9">
        <v>0.853333</v>
      </c>
      <c r="BV87" s="6"/>
      <c r="BW87" s="6" t="str">
        <f t="shared" si="1"/>
        <v>TS-CHIEF</v>
      </c>
      <c r="BX87" s="6" t="str">
        <f t="shared" si="2"/>
        <v>ProximityForest</v>
      </c>
      <c r="BY87" s="6" t="str">
        <f t="shared" si="3"/>
        <v>ROCKET</v>
      </c>
      <c r="BZ87" s="6"/>
      <c r="CA87" s="11" t="str">
        <f t="shared" si="4"/>
        <v>#VALUE!</v>
      </c>
      <c r="CC87" s="6"/>
      <c r="CD87" s="6"/>
      <c r="CE87" s="6"/>
    </row>
    <row r="88" ht="15.75" customHeight="1">
      <c r="A88" s="1" t="s">
        <v>182</v>
      </c>
      <c r="B88" s="7" t="s">
        <v>211</v>
      </c>
      <c r="C88" s="16">
        <v>0.959795321637426</v>
      </c>
      <c r="D88" s="16">
        <v>0.959649122807017</v>
      </c>
      <c r="E88" s="16">
        <v>0.932894736842105</v>
      </c>
      <c r="F88" s="16">
        <v>0.953070175438596</v>
      </c>
      <c r="G88" s="16">
        <v>0.953362573099414</v>
      </c>
      <c r="H88" s="16">
        <v>0.954239766081871</v>
      </c>
      <c r="I88" s="16">
        <v>0.835526315789473</v>
      </c>
      <c r="J88" s="16">
        <v>0.94298245614035</v>
      </c>
      <c r="K88" s="16">
        <v>0.9203216374269</v>
      </c>
      <c r="L88" s="16">
        <v>0.951754385964912</v>
      </c>
      <c r="M88" s="16">
        <v>0.92485380116959</v>
      </c>
      <c r="N88" s="16">
        <v>0.880409356725146</v>
      </c>
      <c r="O88" s="16">
        <v>0.667105263157894</v>
      </c>
      <c r="P88" s="16">
        <v>0.812719298245614</v>
      </c>
      <c r="Q88" s="9">
        <v>0.596491</v>
      </c>
      <c r="R88" s="9">
        <v>0.526316</v>
      </c>
      <c r="S88" s="9">
        <v>0.758772</v>
      </c>
      <c r="T88" s="9">
        <v>0.61842106</v>
      </c>
      <c r="U88" s="9">
        <v>0.649122834</v>
      </c>
      <c r="V88" s="9">
        <v>0.04386</v>
      </c>
      <c r="W88" s="9">
        <v>0.607018</v>
      </c>
      <c r="X88" s="9">
        <v>0.644737</v>
      </c>
      <c r="Y88" s="9">
        <v>0.719298</v>
      </c>
      <c r="Z88" s="9">
        <v>0.65350877</v>
      </c>
      <c r="AA88" s="9">
        <v>0.723684</v>
      </c>
      <c r="AB88" s="9">
        <v>0.723684</v>
      </c>
      <c r="AC88" s="9">
        <v>0.611404</v>
      </c>
      <c r="AD88" s="9">
        <v>0.596491</v>
      </c>
      <c r="AE88" s="9">
        <v>0.671053</v>
      </c>
      <c r="AF88" s="9">
        <v>0.574561405</v>
      </c>
      <c r="AG88" s="9">
        <v>0.54386</v>
      </c>
      <c r="AH88" s="9">
        <v>0.666667</v>
      </c>
      <c r="AI88" s="9">
        <v>0.707018</v>
      </c>
      <c r="AJ88" s="9">
        <v>0.732456</v>
      </c>
      <c r="AK88" s="9">
        <v>0.72807</v>
      </c>
      <c r="AL88" s="9">
        <v>0.664912</v>
      </c>
      <c r="AM88" s="9">
        <v>0.697368</v>
      </c>
      <c r="AN88" s="9">
        <v>0.75</v>
      </c>
      <c r="AO88" s="9">
        <v>0.542105263</v>
      </c>
      <c r="AP88" s="9">
        <v>0.526316</v>
      </c>
      <c r="AQ88" s="9">
        <v>0.692982</v>
      </c>
      <c r="AR88" s="9">
        <v>0.585087729</v>
      </c>
      <c r="AS88" s="9">
        <v>0.640351</v>
      </c>
      <c r="AT88" s="9">
        <v>0.692982</v>
      </c>
      <c r="AU88" s="9">
        <v>0.64386</v>
      </c>
      <c r="AV88" s="9">
        <v>0.723684</v>
      </c>
      <c r="AW88" s="9">
        <v>0.714912</v>
      </c>
      <c r="AX88" s="9">
        <v>0.731579</v>
      </c>
      <c r="AY88" s="9">
        <v>0.745614</v>
      </c>
      <c r="AZ88" s="9">
        <v>0.732456</v>
      </c>
      <c r="BA88" s="9">
        <v>0.551754</v>
      </c>
      <c r="BB88" s="9">
        <v>0.548246</v>
      </c>
      <c r="BC88" s="9">
        <v>0.666667</v>
      </c>
      <c r="BD88" s="9">
        <v>0.596491235</v>
      </c>
      <c r="BE88" s="9">
        <v>0.618421</v>
      </c>
      <c r="BF88" s="9">
        <v>0.684211</v>
      </c>
      <c r="BG88" s="9">
        <v>0.729825</v>
      </c>
      <c r="BH88" s="9">
        <v>0.72807</v>
      </c>
      <c r="BI88" s="9">
        <v>0.714912</v>
      </c>
      <c r="BJ88" s="9">
        <v>0.613158</v>
      </c>
      <c r="BK88" s="9">
        <v>0.649123</v>
      </c>
      <c r="BL88" s="9">
        <v>0.70614</v>
      </c>
      <c r="BM88" s="9">
        <v>0.582456</v>
      </c>
      <c r="BN88" s="9">
        <v>0.565789</v>
      </c>
      <c r="BO88" s="9">
        <v>0.671053</v>
      </c>
      <c r="BP88" s="9">
        <v>0.57193</v>
      </c>
      <c r="BQ88" s="9">
        <v>0.548246</v>
      </c>
      <c r="BR88" s="9">
        <v>0.679825</v>
      </c>
      <c r="BS88" s="9">
        <v>0.461404</v>
      </c>
      <c r="BT88" s="9">
        <v>0.469298</v>
      </c>
      <c r="BU88" s="9">
        <v>0.583333</v>
      </c>
      <c r="BV88" s="6"/>
      <c r="BW88" s="6" t="str">
        <f t="shared" si="1"/>
        <v>TS-CHIEF</v>
      </c>
      <c r="BX88" s="6" t="str">
        <f t="shared" si="2"/>
        <v>HIVE-COTE v1,0</v>
      </c>
      <c r="BY88" s="6" t="str">
        <f t="shared" si="3"/>
        <v>ResNet</v>
      </c>
      <c r="BZ88" s="6"/>
      <c r="CA88" s="11" t="str">
        <f t="shared" si="4"/>
        <v>#VALUE!</v>
      </c>
      <c r="CC88" s="6"/>
      <c r="CD88" s="6"/>
      <c r="CE88" s="6"/>
    </row>
    <row r="89" ht="15.75" customHeight="1">
      <c r="A89" s="1" t="s">
        <v>183</v>
      </c>
      <c r="B89" s="7" t="s">
        <v>211</v>
      </c>
      <c r="C89" s="16">
        <v>0.962564102564102</v>
      </c>
      <c r="D89" s="16">
        <v>0.968205128205127</v>
      </c>
      <c r="E89" s="16">
        <v>0.932564102564102</v>
      </c>
      <c r="F89" s="16">
        <v>0.963589743589743</v>
      </c>
      <c r="G89" s="16">
        <v>0.945128205128204</v>
      </c>
      <c r="H89" s="16">
        <v>0.953076923076922</v>
      </c>
      <c r="I89" s="16">
        <v>0.885897435897436</v>
      </c>
      <c r="J89" s="16">
        <v>0.928461538461538</v>
      </c>
      <c r="K89" s="16">
        <v>0.963076923076922</v>
      </c>
      <c r="L89" s="16">
        <v>0.964871794871794</v>
      </c>
      <c r="M89" s="16">
        <v>0.961538461538461</v>
      </c>
      <c r="N89" s="16">
        <v>0.911794871794871</v>
      </c>
      <c r="O89" s="16">
        <v>0.802564102564102</v>
      </c>
      <c r="P89" s="16">
        <v>0.835128205128205</v>
      </c>
      <c r="Q89" s="9">
        <v>0.830769</v>
      </c>
      <c r="R89" s="9">
        <v>0.830769</v>
      </c>
      <c r="S89" s="9">
        <v>0.823077</v>
      </c>
      <c r="T89" s="9">
        <v>0.796923077</v>
      </c>
      <c r="U89" s="9">
        <v>0.784615397</v>
      </c>
      <c r="V89" s="9">
        <v>0.169231</v>
      </c>
      <c r="W89" s="9">
        <v>0.675385</v>
      </c>
      <c r="X89" s="9">
        <v>0.730769</v>
      </c>
      <c r="Y89" s="9">
        <v>0.784615</v>
      </c>
      <c r="Z89" s="9">
        <v>0.813846147</v>
      </c>
      <c r="AA89" s="9">
        <v>0.846154</v>
      </c>
      <c r="AB89" s="9">
        <v>0.784615</v>
      </c>
      <c r="AC89" s="9">
        <v>0.787692</v>
      </c>
      <c r="AD89" s="9">
        <v>0.8</v>
      </c>
      <c r="AE89" s="9">
        <v>0.792308</v>
      </c>
      <c r="AF89" s="9">
        <v>0.749230766</v>
      </c>
      <c r="AG89" s="9">
        <v>0.730769</v>
      </c>
      <c r="AH89" s="9">
        <v>0.830769</v>
      </c>
      <c r="AI89" s="9">
        <v>0.789231</v>
      </c>
      <c r="AJ89" s="9">
        <v>0.8</v>
      </c>
      <c r="AK89" s="9">
        <v>0.838462</v>
      </c>
      <c r="AL89" s="9">
        <v>0.663077</v>
      </c>
      <c r="AM89" s="9">
        <v>0.723077</v>
      </c>
      <c r="AN89" s="9">
        <v>0.838462</v>
      </c>
      <c r="AO89" s="9">
        <v>0.660000014</v>
      </c>
      <c r="AP89" s="9">
        <v>0.769231</v>
      </c>
      <c r="AQ89" s="9">
        <v>0.838462</v>
      </c>
      <c r="AR89" s="9">
        <v>0.798461533</v>
      </c>
      <c r="AS89" s="9">
        <v>0.8</v>
      </c>
      <c r="AT89" s="9">
        <v>0.830769</v>
      </c>
      <c r="AU89" s="9">
        <v>0.787692</v>
      </c>
      <c r="AV89" s="9">
        <v>0.823077</v>
      </c>
      <c r="AW89" s="9">
        <v>0.746154</v>
      </c>
      <c r="AX89" s="9">
        <v>0.64</v>
      </c>
      <c r="AY89" s="9">
        <v>0.784615</v>
      </c>
      <c r="AZ89" s="9">
        <v>0.792308</v>
      </c>
      <c r="BA89" s="9">
        <v>0.796923</v>
      </c>
      <c r="BB89" s="9">
        <v>0.815385</v>
      </c>
      <c r="BC89" s="9">
        <v>0.838462</v>
      </c>
      <c r="BD89" s="9">
        <v>0.778461528</v>
      </c>
      <c r="BE89" s="9">
        <v>0.776923</v>
      </c>
      <c r="BF89" s="9">
        <v>0.823077</v>
      </c>
      <c r="BG89" s="9">
        <v>0.624615</v>
      </c>
      <c r="BH89" s="9">
        <v>0.730769</v>
      </c>
      <c r="BI89" s="9">
        <v>0.715385</v>
      </c>
      <c r="BJ89" s="9">
        <v>0.706154</v>
      </c>
      <c r="BK89" s="9">
        <v>0.707692</v>
      </c>
      <c r="BL89" s="9">
        <v>0.784615</v>
      </c>
      <c r="BM89" s="9">
        <v>0.750769</v>
      </c>
      <c r="BN89" s="9">
        <v>0.769231</v>
      </c>
      <c r="BO89" s="9">
        <v>0.784615</v>
      </c>
      <c r="BP89" s="9">
        <v>0.724615</v>
      </c>
      <c r="BQ89" s="9">
        <v>0.761538</v>
      </c>
      <c r="BR89" s="9">
        <v>0.776923</v>
      </c>
      <c r="BS89" s="9">
        <v>0.512308</v>
      </c>
      <c r="BT89" s="9">
        <v>0.507692</v>
      </c>
      <c r="BU89" s="9">
        <v>0.676923</v>
      </c>
      <c r="BV89" s="6"/>
      <c r="BW89" s="6" t="str">
        <f t="shared" si="1"/>
        <v>HIVE-COTE v1,0</v>
      </c>
      <c r="BX89" s="6" t="str">
        <f t="shared" si="2"/>
        <v>cBOSS</v>
      </c>
      <c r="BY89" s="6" t="str">
        <f t="shared" si="3"/>
        <v>InceptionTime</v>
      </c>
      <c r="BZ89" s="6"/>
      <c r="CA89" s="11" t="str">
        <f t="shared" si="4"/>
        <v>#VALUE!</v>
      </c>
      <c r="CC89" s="6"/>
      <c r="CD89" s="6"/>
      <c r="CE89" s="6"/>
    </row>
    <row r="90" ht="15.75" customHeight="1">
      <c r="A90" s="1" t="s">
        <v>184</v>
      </c>
      <c r="B90" s="7" t="s">
        <v>211</v>
      </c>
      <c r="C90" s="16">
        <v>1.0</v>
      </c>
      <c r="D90" s="16">
        <v>1.0</v>
      </c>
      <c r="E90" s="16">
        <v>1.0</v>
      </c>
      <c r="F90" s="16">
        <v>1.0</v>
      </c>
      <c r="G90" s="16">
        <v>1.0</v>
      </c>
      <c r="H90" s="16">
        <v>1.0</v>
      </c>
      <c r="I90" s="16">
        <v>1.0</v>
      </c>
      <c r="J90" s="16">
        <v>1.0</v>
      </c>
      <c r="K90" s="16">
        <v>1.0</v>
      </c>
      <c r="L90" s="16">
        <v>1.0</v>
      </c>
      <c r="M90" s="16">
        <v>1.0</v>
      </c>
      <c r="N90" s="16">
        <v>0.982999999999999</v>
      </c>
      <c r="O90" s="16">
        <v>0.991999999999999</v>
      </c>
      <c r="P90" s="16">
        <v>0.999666666666666</v>
      </c>
      <c r="Q90" s="9">
        <v>1.0</v>
      </c>
      <c r="R90" s="9">
        <v>1.0</v>
      </c>
      <c r="S90" s="9">
        <v>1.0</v>
      </c>
      <c r="T90" s="9">
        <v>0.822000003</v>
      </c>
      <c r="U90" s="9">
        <v>0.819999993</v>
      </c>
      <c r="V90" s="9">
        <v>0.25</v>
      </c>
      <c r="W90" s="9">
        <v>0.992</v>
      </c>
      <c r="X90" s="9">
        <v>0.99</v>
      </c>
      <c r="Y90" s="9">
        <v>0.99</v>
      </c>
      <c r="Z90" s="9">
        <v>0.982000005</v>
      </c>
      <c r="AA90" s="9">
        <v>0.98</v>
      </c>
      <c r="AB90" s="9">
        <v>0.99</v>
      </c>
      <c r="AC90" s="9">
        <v>1.0</v>
      </c>
      <c r="AD90" s="9">
        <v>1.0</v>
      </c>
      <c r="AE90" s="9">
        <v>1.0</v>
      </c>
      <c r="AF90" s="9">
        <v>1.0</v>
      </c>
      <c r="AG90" s="9">
        <v>1.0</v>
      </c>
      <c r="AH90" s="9">
        <v>1.0</v>
      </c>
      <c r="AI90" s="9">
        <v>0.966</v>
      </c>
      <c r="AJ90" s="9">
        <v>0.97</v>
      </c>
      <c r="AK90" s="9">
        <v>0.97</v>
      </c>
      <c r="AL90" s="9">
        <v>0.962</v>
      </c>
      <c r="AM90" s="9">
        <v>0.96</v>
      </c>
      <c r="AN90" s="9">
        <v>0.97</v>
      </c>
      <c r="AO90" s="9">
        <v>1.0</v>
      </c>
      <c r="AP90" s="9">
        <v>1.0</v>
      </c>
      <c r="AQ90" s="9">
        <v>1.0</v>
      </c>
      <c r="AR90" s="9">
        <v>1.0</v>
      </c>
      <c r="AS90" s="9">
        <v>1.0</v>
      </c>
      <c r="AT90" s="9">
        <v>1.0</v>
      </c>
      <c r="AU90" s="9">
        <v>0.988</v>
      </c>
      <c r="AV90" s="9">
        <v>0.99</v>
      </c>
      <c r="AW90" s="9">
        <v>0.99</v>
      </c>
      <c r="AX90" s="9">
        <v>0.988</v>
      </c>
      <c r="AY90" s="9">
        <v>0.99</v>
      </c>
      <c r="AZ90" s="9">
        <v>0.99</v>
      </c>
      <c r="BA90" s="9">
        <v>1.0</v>
      </c>
      <c r="BB90" s="9">
        <v>1.0</v>
      </c>
      <c r="BC90" s="9">
        <v>1.0</v>
      </c>
      <c r="BD90" s="9">
        <v>1.0</v>
      </c>
      <c r="BE90" s="9">
        <v>1.0</v>
      </c>
      <c r="BF90" s="9">
        <v>1.0</v>
      </c>
      <c r="BG90" s="9">
        <v>0.99</v>
      </c>
      <c r="BH90" s="9">
        <v>0.99</v>
      </c>
      <c r="BI90" s="9">
        <v>0.99</v>
      </c>
      <c r="BJ90" s="9">
        <v>0.992</v>
      </c>
      <c r="BK90" s="9">
        <v>0.99</v>
      </c>
      <c r="BL90" s="9">
        <v>0.99</v>
      </c>
      <c r="BM90" s="9">
        <v>1.0</v>
      </c>
      <c r="BN90" s="9">
        <v>1.0</v>
      </c>
      <c r="BO90" s="9">
        <v>1.0</v>
      </c>
      <c r="BP90" s="9">
        <v>1.0</v>
      </c>
      <c r="BQ90" s="9">
        <v>1.0</v>
      </c>
      <c r="BR90" s="9">
        <v>1.0</v>
      </c>
      <c r="BS90" s="9">
        <v>0.546</v>
      </c>
      <c r="BT90" s="9">
        <v>0.54</v>
      </c>
      <c r="BU90" s="9">
        <v>0.47</v>
      </c>
      <c r="BV90" s="6"/>
      <c r="BW90" s="6" t="str">
        <f t="shared" si="1"/>
        <v>TS-CHIEF</v>
      </c>
      <c r="BX90" s="6" t="str">
        <f t="shared" si="2"/>
        <v>TS-CHIEF</v>
      </c>
      <c r="BY90" s="6" t="str">
        <f t="shared" si="3"/>
        <v>TS-CHIEF</v>
      </c>
      <c r="BZ90" s="6"/>
      <c r="CA90" s="11" t="str">
        <f t="shared" si="4"/>
        <v>#VALUE!</v>
      </c>
      <c r="CC90" s="6"/>
      <c r="CD90" s="6"/>
      <c r="CE90" s="6"/>
    </row>
    <row r="91" ht="15.75" customHeight="1">
      <c r="A91" s="1" t="s">
        <v>185</v>
      </c>
      <c r="B91" s="7" t="s">
        <v>211</v>
      </c>
      <c r="C91" s="16">
        <v>0.990079016681299</v>
      </c>
      <c r="D91" s="16">
        <v>0.996283289435177</v>
      </c>
      <c r="E91" s="16">
        <v>0.998536728124085</v>
      </c>
      <c r="F91" s="16">
        <v>0.994820017559262</v>
      </c>
      <c r="G91" s="16">
        <v>0.999122036874451</v>
      </c>
      <c r="H91" s="16">
        <v>0.999443956687152</v>
      </c>
      <c r="I91" s="16">
        <v>0.981796897863623</v>
      </c>
      <c r="J91" s="16">
        <v>0.997541703248463</v>
      </c>
      <c r="K91" s="16">
        <v>0.985601404741</v>
      </c>
      <c r="L91" s="16">
        <v>0.993766461808603</v>
      </c>
      <c r="M91" s="16">
        <v>0.984723441615451</v>
      </c>
      <c r="N91" s="16">
        <v>0.910740415569212</v>
      </c>
      <c r="O91" s="16">
        <v>0.870646766169154</v>
      </c>
      <c r="P91" s="16">
        <v>0.853906935908691</v>
      </c>
      <c r="Q91" s="9">
        <v>0.683231</v>
      </c>
      <c r="R91" s="9">
        <v>0.693591</v>
      </c>
      <c r="S91" s="9">
        <v>0.772608</v>
      </c>
      <c r="T91" s="9">
        <v>0.756979799</v>
      </c>
      <c r="U91" s="9">
        <v>0.755926251</v>
      </c>
      <c r="V91" s="9">
        <v>0.499561</v>
      </c>
      <c r="W91" s="9">
        <v>0.840035</v>
      </c>
      <c r="X91" s="9">
        <v>0.849868</v>
      </c>
      <c r="Y91" s="9">
        <v>0.872695</v>
      </c>
      <c r="Z91" s="9">
        <v>0.841088665</v>
      </c>
      <c r="AA91" s="9">
        <v>0.838455</v>
      </c>
      <c r="AB91" s="9">
        <v>0.854258</v>
      </c>
      <c r="AC91" s="9">
        <v>0.651449</v>
      </c>
      <c r="AD91" s="9">
        <v>0.673398</v>
      </c>
      <c r="AE91" s="9">
        <v>0.725198</v>
      </c>
      <c r="AF91" s="9">
        <v>0.662159801</v>
      </c>
      <c r="AG91" s="9">
        <v>0.652327</v>
      </c>
      <c r="AH91" s="9">
        <v>0.720808</v>
      </c>
      <c r="AI91" s="9">
        <v>0.747673</v>
      </c>
      <c r="AJ91" s="9">
        <v>0.806848</v>
      </c>
      <c r="AK91" s="9">
        <v>0.837577</v>
      </c>
      <c r="AL91" s="9">
        <v>0.813521</v>
      </c>
      <c r="AM91" s="9">
        <v>0.824407</v>
      </c>
      <c r="AN91" s="9">
        <v>0.845478</v>
      </c>
      <c r="AO91" s="9">
        <v>0.685162413</v>
      </c>
      <c r="AP91" s="9">
        <v>0.727831</v>
      </c>
      <c r="AQ91" s="9">
        <v>0.71993</v>
      </c>
      <c r="AR91" s="9">
        <v>0.708165061</v>
      </c>
      <c r="AS91" s="9">
        <v>0.713784</v>
      </c>
      <c r="AT91" s="9">
        <v>0.757682</v>
      </c>
      <c r="AU91" s="9">
        <v>0.866374</v>
      </c>
      <c r="AV91" s="9">
        <v>0.877085</v>
      </c>
      <c r="AW91" s="9">
        <v>0.906058</v>
      </c>
      <c r="AX91" s="9">
        <v>0.850746</v>
      </c>
      <c r="AY91" s="9">
        <v>0.85777</v>
      </c>
      <c r="AZ91" s="9">
        <v>0.864794</v>
      </c>
      <c r="BA91" s="9">
        <v>0.688323</v>
      </c>
      <c r="BB91" s="9">
        <v>0.727831</v>
      </c>
      <c r="BC91" s="9">
        <v>0.737489</v>
      </c>
      <c r="BD91" s="9">
        <v>0.680948198</v>
      </c>
      <c r="BE91" s="9">
        <v>0.690957</v>
      </c>
      <c r="BF91" s="9">
        <v>0.745391</v>
      </c>
      <c r="BG91" s="9">
        <v>0.716769</v>
      </c>
      <c r="BH91" s="9">
        <v>0.777875</v>
      </c>
      <c r="BI91" s="9">
        <v>0.833187</v>
      </c>
      <c r="BJ91" s="9">
        <v>0.750132</v>
      </c>
      <c r="BK91" s="9">
        <v>0.768218</v>
      </c>
      <c r="BL91" s="9">
        <v>0.835821</v>
      </c>
      <c r="BM91" s="9">
        <v>0.697981</v>
      </c>
      <c r="BN91" s="9">
        <v>0.732221</v>
      </c>
      <c r="BO91" s="9">
        <v>0.714662</v>
      </c>
      <c r="BP91" s="9">
        <v>0.739069</v>
      </c>
      <c r="BQ91" s="9">
        <v>0.753292</v>
      </c>
      <c r="BR91" s="9">
        <v>0.774363</v>
      </c>
      <c r="BS91" s="9">
        <v>0.547147</v>
      </c>
      <c r="BT91" s="9">
        <v>0.556629</v>
      </c>
      <c r="BU91" s="9">
        <v>0.62072</v>
      </c>
      <c r="BV91" s="6"/>
      <c r="BW91" s="6" t="str">
        <f t="shared" si="1"/>
        <v>ResNet</v>
      </c>
      <c r="BX91" s="6" t="str">
        <f t="shared" si="2"/>
        <v>STC</v>
      </c>
      <c r="BY91" s="6" t="str">
        <f t="shared" si="3"/>
        <v>ROCKET</v>
      </c>
      <c r="BZ91" s="6"/>
      <c r="CA91" s="11" t="str">
        <f t="shared" si="4"/>
        <v>#VALUE!</v>
      </c>
      <c r="CC91" s="6"/>
      <c r="CD91" s="6"/>
      <c r="CE91" s="6"/>
    </row>
    <row r="92" ht="15.75" customHeight="1">
      <c r="A92" s="1" t="s">
        <v>186</v>
      </c>
      <c r="B92" s="7" t="s">
        <v>211</v>
      </c>
      <c r="C92" s="16">
        <v>0.999991666666666</v>
      </c>
      <c r="D92" s="16">
        <v>0.999483333333333</v>
      </c>
      <c r="E92" s="16">
        <v>1.0</v>
      </c>
      <c r="F92" s="16">
        <v>1.0</v>
      </c>
      <c r="G92" s="16">
        <v>0.990258333333333</v>
      </c>
      <c r="H92" s="16">
        <v>0.999775</v>
      </c>
      <c r="I92" s="16">
        <v>0.999991666666666</v>
      </c>
      <c r="J92" s="16">
        <v>0.9814</v>
      </c>
      <c r="K92" s="16">
        <v>0.99575</v>
      </c>
      <c r="L92" s="16">
        <v>0.992049999999999</v>
      </c>
      <c r="M92" s="16">
        <v>0.991691666666666</v>
      </c>
      <c r="N92" s="16">
        <v>0.438966666666666</v>
      </c>
      <c r="O92" s="16">
        <v>0.993825</v>
      </c>
      <c r="P92" s="16">
        <v>0.848558333333333</v>
      </c>
      <c r="Q92" s="9">
        <v>0.51365</v>
      </c>
      <c r="R92" s="9">
        <v>0.5255</v>
      </c>
      <c r="S92" s="9">
        <v>0.4965</v>
      </c>
      <c r="T92" s="9">
        <v>0.484000003</v>
      </c>
      <c r="U92" s="9">
        <v>0.472250015</v>
      </c>
      <c r="V92" s="9">
        <v>0.25875</v>
      </c>
      <c r="W92" s="9">
        <v>0.5244</v>
      </c>
      <c r="X92" s="9">
        <v>0.55275</v>
      </c>
      <c r="Y92" s="9">
        <v>0.62775</v>
      </c>
      <c r="Z92" s="9">
        <v>0.541199994</v>
      </c>
      <c r="AA92" s="9">
        <v>0.528</v>
      </c>
      <c r="AB92" s="9">
        <v>0.602</v>
      </c>
      <c r="AC92" s="9">
        <v>0.4876</v>
      </c>
      <c r="AD92" s="9">
        <v>0.46825</v>
      </c>
      <c r="AE92" s="9">
        <v>0.5255</v>
      </c>
      <c r="AF92" s="9">
        <v>0.460349995</v>
      </c>
      <c r="AG92" s="9">
        <v>0.46875</v>
      </c>
      <c r="AH92" s="9">
        <v>0.53</v>
      </c>
      <c r="AI92" s="9">
        <v>0.5181</v>
      </c>
      <c r="AJ92" s="9">
        <v>0.60325</v>
      </c>
      <c r="AK92" s="9">
        <v>0.39375</v>
      </c>
      <c r="AL92" s="9">
        <v>0.48035</v>
      </c>
      <c r="AM92" s="9">
        <v>0.446</v>
      </c>
      <c r="AN92" s="9">
        <v>0.48875</v>
      </c>
      <c r="AO92" s="9">
        <v>0.481649995</v>
      </c>
      <c r="AP92" s="9">
        <v>0.4815</v>
      </c>
      <c r="AQ92" s="9">
        <v>0.53875</v>
      </c>
      <c r="AR92" s="9">
        <v>0.496200001</v>
      </c>
      <c r="AS92" s="9">
        <v>0.49775</v>
      </c>
      <c r="AT92" s="9">
        <v>0.55</v>
      </c>
      <c r="AU92" s="9">
        <v>0.33525</v>
      </c>
      <c r="AV92" s="9">
        <v>0.2855</v>
      </c>
      <c r="AW92" s="9">
        <v>0.324</v>
      </c>
      <c r="AX92" s="9">
        <v>0.3456</v>
      </c>
      <c r="AY92" s="9">
        <v>0.269</v>
      </c>
      <c r="AZ92" s="9">
        <v>0.25875</v>
      </c>
      <c r="BA92" s="9">
        <v>0.4077</v>
      </c>
      <c r="BB92" s="9">
        <v>0.39425</v>
      </c>
      <c r="BC92" s="9">
        <v>0.43075</v>
      </c>
      <c r="BD92" s="9">
        <v>0.489149994</v>
      </c>
      <c r="BE92" s="9">
        <v>0.4975</v>
      </c>
      <c r="BF92" s="9">
        <v>0.50025</v>
      </c>
      <c r="BG92" s="9">
        <v>0.40525</v>
      </c>
      <c r="BH92" s="9">
        <v>0.4195</v>
      </c>
      <c r="BI92" s="9">
        <v>0.407</v>
      </c>
      <c r="BJ92" s="9">
        <v>0.3229</v>
      </c>
      <c r="BK92" s="9">
        <v>0.27725</v>
      </c>
      <c r="BL92" s="9">
        <v>0.4795</v>
      </c>
      <c r="BM92" s="9">
        <v>0.4355</v>
      </c>
      <c r="BN92" s="9">
        <v>0.4315</v>
      </c>
      <c r="BO92" s="9">
        <v>0.53325</v>
      </c>
      <c r="BP92" s="9">
        <v>0.31495</v>
      </c>
      <c r="BQ92" s="9">
        <v>0.263</v>
      </c>
      <c r="BR92" s="9">
        <v>0.25875</v>
      </c>
      <c r="BS92" s="9">
        <v>0.7824</v>
      </c>
      <c r="BT92" s="9">
        <v>0.78675</v>
      </c>
      <c r="BU92" s="9">
        <v>0.83475</v>
      </c>
      <c r="BV92" s="6"/>
      <c r="BW92" s="6" t="str">
        <f t="shared" si="1"/>
        <v>ROCKET</v>
      </c>
      <c r="BX92" s="6" t="str">
        <f t="shared" si="2"/>
        <v>ROCKET</v>
      </c>
      <c r="BY92" s="6" t="str">
        <f t="shared" si="3"/>
        <v>TS-CHIEF</v>
      </c>
      <c r="BZ92" s="6"/>
      <c r="CA92" s="11" t="str">
        <f t="shared" si="4"/>
        <v>#VALUE!</v>
      </c>
      <c r="CC92" s="6"/>
      <c r="CD92" s="6"/>
      <c r="CE92" s="6"/>
    </row>
    <row r="93" ht="15.75" customHeight="1">
      <c r="A93" s="1" t="s">
        <v>187</v>
      </c>
      <c r="B93" s="7" t="s">
        <v>211</v>
      </c>
      <c r="C93" s="16">
        <v>0.983333333333333</v>
      </c>
      <c r="D93" s="16">
        <v>0.967361111111111</v>
      </c>
      <c r="E93" s="16">
        <v>0.98287037037037</v>
      </c>
      <c r="F93" s="16">
        <v>0.979861111111111</v>
      </c>
      <c r="G93" s="16">
        <v>0.936805555555555</v>
      </c>
      <c r="H93" s="16">
        <v>0.952546296296296</v>
      </c>
      <c r="I93" s="16">
        <v>0.954398148148148</v>
      </c>
      <c r="J93" s="16">
        <v>0.932175925925925</v>
      </c>
      <c r="K93" s="16">
        <v>0.93912037037037</v>
      </c>
      <c r="L93" s="16">
        <v>0.921759259259259</v>
      </c>
      <c r="M93" s="16">
        <v>0.966435185185185</v>
      </c>
      <c r="N93" s="16">
        <v>0.541203703703703</v>
      </c>
      <c r="O93" s="16">
        <v>0.833333333333333</v>
      </c>
      <c r="P93" s="16">
        <v>0.869444444444444</v>
      </c>
      <c r="Q93" s="9">
        <v>0.833333</v>
      </c>
      <c r="R93" s="9">
        <v>0.854167</v>
      </c>
      <c r="S93" s="9">
        <v>0.868056</v>
      </c>
      <c r="T93" s="9">
        <v>0.820833325</v>
      </c>
      <c r="U93" s="9">
        <v>0.819444418</v>
      </c>
      <c r="V93" s="9">
        <v>0.333333</v>
      </c>
      <c r="W93" s="9">
        <v>0.781944</v>
      </c>
      <c r="X93" s="9">
        <v>0.777778</v>
      </c>
      <c r="Y93" s="9">
        <v>0.805556</v>
      </c>
      <c r="Z93" s="9">
        <v>0.788888896</v>
      </c>
      <c r="AA93" s="9">
        <v>0.791667</v>
      </c>
      <c r="AB93" s="9">
        <v>0.826389</v>
      </c>
      <c r="AC93" s="9">
        <v>0.884722</v>
      </c>
      <c r="AD93" s="9">
        <v>0.881944</v>
      </c>
      <c r="AE93" s="9">
        <v>0.881944</v>
      </c>
      <c r="AF93" s="9">
        <v>0.852777767</v>
      </c>
      <c r="AG93" s="9">
        <v>0.861111</v>
      </c>
      <c r="AH93" s="9">
        <v>0.861111</v>
      </c>
      <c r="AI93" s="9">
        <v>0.888889</v>
      </c>
      <c r="AJ93" s="9">
        <v>0.902778</v>
      </c>
      <c r="AK93" s="9">
        <v>0.930556</v>
      </c>
      <c r="AL93" s="9">
        <v>0.934722</v>
      </c>
      <c r="AM93" s="9">
        <v>0.9375</v>
      </c>
      <c r="AN93" s="9">
        <v>0.965278</v>
      </c>
      <c r="AO93" s="9">
        <v>0.865277779</v>
      </c>
      <c r="AP93" s="9">
        <v>0.881944</v>
      </c>
      <c r="AQ93" s="9">
        <v>0.881944</v>
      </c>
      <c r="AR93" s="9">
        <v>0.829166675</v>
      </c>
      <c r="AS93" s="9">
        <v>0.854167</v>
      </c>
      <c r="AT93" s="9">
        <v>0.881944</v>
      </c>
      <c r="AU93" s="9">
        <v>0.8625</v>
      </c>
      <c r="AV93" s="9">
        <v>0.868056</v>
      </c>
      <c r="AW93" s="9">
        <v>0.861111</v>
      </c>
      <c r="AX93" s="9">
        <v>0.883333</v>
      </c>
      <c r="AY93" s="9">
        <v>0.881944</v>
      </c>
      <c r="AZ93" s="9">
        <v>0.881944</v>
      </c>
      <c r="BA93" s="9">
        <v>0.848611</v>
      </c>
      <c r="BB93" s="9">
        <v>0.854167</v>
      </c>
      <c r="BC93" s="9">
        <v>0.875</v>
      </c>
      <c r="BD93" s="9">
        <v>0.815277779</v>
      </c>
      <c r="BE93" s="9">
        <v>0.833333</v>
      </c>
      <c r="BF93" s="9">
        <v>0.875</v>
      </c>
      <c r="BG93" s="9">
        <v>0.848611</v>
      </c>
      <c r="BH93" s="9">
        <v>0.861111</v>
      </c>
      <c r="BI93" s="9">
        <v>0.826389</v>
      </c>
      <c r="BJ93" s="9">
        <v>0.8625</v>
      </c>
      <c r="BK93" s="9">
        <v>0.861111</v>
      </c>
      <c r="BL93" s="9">
        <v>0.902778</v>
      </c>
      <c r="BM93" s="9">
        <v>0.8625</v>
      </c>
      <c r="BN93" s="9">
        <v>0.888889</v>
      </c>
      <c r="BO93" s="9">
        <v>0.895833</v>
      </c>
      <c r="BP93" s="9">
        <v>0.859722</v>
      </c>
      <c r="BQ93" s="9">
        <v>0.868056</v>
      </c>
      <c r="BR93" s="9">
        <v>0.909722</v>
      </c>
      <c r="BS93" s="9">
        <v>0.648611</v>
      </c>
      <c r="BT93" s="9">
        <v>0.631944</v>
      </c>
      <c r="BU93" s="9">
        <v>0.729167</v>
      </c>
      <c r="BV93" s="6"/>
      <c r="BW93" s="6" t="str">
        <f t="shared" si="1"/>
        <v>TS-CHIEF</v>
      </c>
      <c r="BX93" s="6" t="str">
        <f t="shared" si="2"/>
        <v>ROCKET</v>
      </c>
      <c r="BY93" s="6" t="str">
        <f t="shared" si="3"/>
        <v>InceptionTime</v>
      </c>
      <c r="BZ93" s="6"/>
      <c r="CA93" s="11" t="str">
        <f t="shared" si="4"/>
        <v>#VALUE!</v>
      </c>
      <c r="CC93" s="6"/>
      <c r="CD93" s="6"/>
      <c r="CE93" s="6"/>
    </row>
    <row r="94" ht="15.75" customHeight="1">
      <c r="A94" s="1" t="s">
        <v>188</v>
      </c>
      <c r="B94" s="7" t="s">
        <v>211</v>
      </c>
      <c r="C94" s="16">
        <v>0.97074260189838</v>
      </c>
      <c r="D94" s="16">
        <v>0.966620137725665</v>
      </c>
      <c r="E94" s="16">
        <v>0.977265959426763</v>
      </c>
      <c r="F94" s="16">
        <v>0.951191140889633</v>
      </c>
      <c r="G94" s="16">
        <v>0.957965754699423</v>
      </c>
      <c r="H94" s="16">
        <v>0.868993113716731</v>
      </c>
      <c r="I94" s="16">
        <v>0.973059743160245</v>
      </c>
      <c r="J94" s="16">
        <v>0.957761027359017</v>
      </c>
      <c r="K94" s="16">
        <v>0.947710776102735</v>
      </c>
      <c r="L94" s="16">
        <v>0.944853899125255</v>
      </c>
      <c r="M94" s="16">
        <v>0.944853899125255</v>
      </c>
      <c r="N94" s="16">
        <v>0.917373906569886</v>
      </c>
      <c r="O94" s="16">
        <v>0.962367392518146</v>
      </c>
      <c r="P94" s="16">
        <v>0.826391215335938</v>
      </c>
      <c r="Q94" s="9">
        <v>0.75014</v>
      </c>
      <c r="R94" s="9">
        <v>0.765773</v>
      </c>
      <c r="S94" s="9">
        <v>0.729202</v>
      </c>
      <c r="T94" s="9">
        <v>0.738525963</v>
      </c>
      <c r="U94" s="9">
        <v>0.746231139</v>
      </c>
      <c r="V94" s="9">
        <v>0.120882</v>
      </c>
      <c r="W94" s="9">
        <v>0.648353</v>
      </c>
      <c r="X94" s="9">
        <v>0.660804</v>
      </c>
      <c r="Y94" s="9">
        <v>0.605807</v>
      </c>
      <c r="Z94" s="9">
        <v>0.624343944</v>
      </c>
      <c r="AA94" s="9">
        <v>0.617253</v>
      </c>
      <c r="AB94" s="9">
        <v>0.800112</v>
      </c>
      <c r="AC94" s="9">
        <v>0.854551</v>
      </c>
      <c r="AD94" s="9">
        <v>0.855388</v>
      </c>
      <c r="AE94" s="9">
        <v>0.861809</v>
      </c>
      <c r="AF94" s="9">
        <v>0.822836411</v>
      </c>
      <c r="AG94" s="9">
        <v>0.840592</v>
      </c>
      <c r="AH94" s="9">
        <v>0.711893</v>
      </c>
      <c r="AI94" s="9">
        <v>0.743272</v>
      </c>
      <c r="AJ94" s="9">
        <v>0.824958</v>
      </c>
      <c r="AK94" s="9">
        <v>0.729481</v>
      </c>
      <c r="AL94" s="9">
        <v>0.61541</v>
      </c>
      <c r="AM94" s="9">
        <v>0.563652</v>
      </c>
      <c r="AN94" s="9">
        <v>0.646845</v>
      </c>
      <c r="AO94" s="9">
        <v>0.895365727</v>
      </c>
      <c r="AP94" s="9">
        <v>0.896706</v>
      </c>
      <c r="AQ94" s="9">
        <v>0.886656</v>
      </c>
      <c r="AR94" s="9">
        <v>0.886934674</v>
      </c>
      <c r="AS94" s="9">
        <v>0.890564</v>
      </c>
      <c r="AT94" s="9">
        <v>0.896985</v>
      </c>
      <c r="AU94" s="9">
        <v>0.768565</v>
      </c>
      <c r="AV94" s="9">
        <v>0.829704</v>
      </c>
      <c r="AW94" s="9">
        <v>0.721664</v>
      </c>
      <c r="AX94" s="9">
        <v>0.801843</v>
      </c>
      <c r="AY94" s="9">
        <v>0.828587</v>
      </c>
      <c r="AZ94" s="9">
        <v>0.884701</v>
      </c>
      <c r="BA94" s="9">
        <v>0.882412</v>
      </c>
      <c r="BB94" s="9">
        <v>0.887214</v>
      </c>
      <c r="BC94" s="9">
        <v>0.882468</v>
      </c>
      <c r="BD94" s="9">
        <v>0.886543834</v>
      </c>
      <c r="BE94" s="9">
        <v>0.886097</v>
      </c>
      <c r="BF94" s="9">
        <v>0.852596</v>
      </c>
      <c r="BG94" s="9">
        <v>0.720491</v>
      </c>
      <c r="BH94" s="9">
        <v>0.675042</v>
      </c>
      <c r="BI94" s="9">
        <v>0.80402</v>
      </c>
      <c r="BJ94" s="9">
        <v>0.704411</v>
      </c>
      <c r="BK94" s="9">
        <v>0.740089</v>
      </c>
      <c r="BL94" s="9">
        <v>0.78392</v>
      </c>
      <c r="BM94" s="9">
        <v>0.886544</v>
      </c>
      <c r="BN94" s="9">
        <v>0.888331</v>
      </c>
      <c r="BO94" s="9">
        <v>0.898939</v>
      </c>
      <c r="BP94" s="9">
        <v>0.839419</v>
      </c>
      <c r="BQ94" s="9">
        <v>0.879955</v>
      </c>
      <c r="BR94" s="9">
        <v>0.911223</v>
      </c>
      <c r="BS94" s="9">
        <v>0.908934</v>
      </c>
      <c r="BT94" s="9">
        <v>0.907594</v>
      </c>
      <c r="BU94" s="9">
        <v>0.916806</v>
      </c>
      <c r="BV94" s="6"/>
      <c r="BW94" s="6" t="str">
        <f t="shared" si="1"/>
        <v>ROCKET</v>
      </c>
      <c r="BX94" s="6" t="str">
        <f t="shared" si="2"/>
        <v>ProximityForest</v>
      </c>
      <c r="BY94" s="6" t="str">
        <f t="shared" si="3"/>
        <v>TS-CHIEF</v>
      </c>
      <c r="BZ94" s="6"/>
      <c r="CA94" s="11" t="str">
        <f t="shared" si="4"/>
        <v>#VALUE!</v>
      </c>
      <c r="CC94" s="6"/>
      <c r="CD94" s="6"/>
      <c r="CE94" s="6"/>
    </row>
    <row r="95" ht="15.75" customHeight="1">
      <c r="A95" s="1" t="s">
        <v>189</v>
      </c>
      <c r="B95" s="7" t="s">
        <v>211</v>
      </c>
      <c r="C95" s="16">
        <v>0.998923858966039</v>
      </c>
      <c r="D95" s="16">
        <v>0.999859398658879</v>
      </c>
      <c r="E95" s="16">
        <v>0.998648064027687</v>
      </c>
      <c r="F95" s="16">
        <v>0.99862643305213</v>
      </c>
      <c r="G95" s="16">
        <v>0.999978369024443</v>
      </c>
      <c r="H95" s="16">
        <v>0.998880597014925</v>
      </c>
      <c r="I95" s="16">
        <v>0.996144278606965</v>
      </c>
      <c r="J95" s="16">
        <v>0.999913476097772</v>
      </c>
      <c r="K95" s="16">
        <v>0.999042829331602</v>
      </c>
      <c r="L95" s="16">
        <v>0.998929266709928</v>
      </c>
      <c r="M95" s="16">
        <v>0.998907635734371</v>
      </c>
      <c r="N95" s="16">
        <v>0.995354747999134</v>
      </c>
      <c r="O95" s="16">
        <v>0.996593121349773</v>
      </c>
      <c r="P95" s="16">
        <v>0.997252866104261</v>
      </c>
      <c r="Q95" s="9">
        <v>0.892116</v>
      </c>
      <c r="R95" s="9">
        <v>0.892116</v>
      </c>
      <c r="S95" s="9">
        <v>0.892116</v>
      </c>
      <c r="T95" s="9">
        <v>0.892115533</v>
      </c>
      <c r="U95" s="9">
        <v>0.892115533</v>
      </c>
      <c r="V95" s="9">
        <v>0.892116</v>
      </c>
      <c r="W95" s="9">
        <v>0.892116</v>
      </c>
      <c r="X95" s="9">
        <v>0.892116</v>
      </c>
      <c r="Y95" s="9">
        <v>0.892116</v>
      </c>
      <c r="Z95" s="9">
        <v>0.892115533</v>
      </c>
      <c r="AA95" s="9">
        <v>0.892116</v>
      </c>
      <c r="AB95" s="9">
        <v>0.892116</v>
      </c>
      <c r="AC95" s="9">
        <v>0.892116</v>
      </c>
      <c r="AD95" s="9">
        <v>0.892116</v>
      </c>
      <c r="AE95" s="9">
        <v>0.892116</v>
      </c>
      <c r="AF95" s="9">
        <v>0.892115533</v>
      </c>
      <c r="AG95" s="9">
        <v>0.892116</v>
      </c>
      <c r="AH95" s="9">
        <v>0.892116</v>
      </c>
      <c r="AI95" s="9">
        <v>0.892116</v>
      </c>
      <c r="AJ95" s="9">
        <v>0.892116</v>
      </c>
      <c r="AK95" s="9">
        <v>0.892116</v>
      </c>
      <c r="AL95" s="9">
        <v>0.892116</v>
      </c>
      <c r="AM95" s="9">
        <v>0.892116</v>
      </c>
      <c r="AN95" s="9">
        <v>0.892116</v>
      </c>
      <c r="AO95" s="9">
        <v>0.892115533</v>
      </c>
      <c r="AP95" s="9">
        <v>0.892116</v>
      </c>
      <c r="AQ95" s="9">
        <v>0.892116</v>
      </c>
      <c r="AR95" s="9">
        <v>0.892115533</v>
      </c>
      <c r="AS95" s="9">
        <v>0.892116</v>
      </c>
      <c r="AT95" s="9">
        <v>0.892116</v>
      </c>
      <c r="AU95" s="9">
        <v>0.892116</v>
      </c>
      <c r="AV95" s="9">
        <v>0.892116</v>
      </c>
      <c r="AW95" s="9">
        <v>0.892116</v>
      </c>
      <c r="AX95" s="9">
        <v>0.892116</v>
      </c>
      <c r="AY95" s="9">
        <v>0.892116</v>
      </c>
      <c r="AZ95" s="9">
        <v>0.892116</v>
      </c>
      <c r="BA95" s="9">
        <v>0.892116</v>
      </c>
      <c r="BB95" s="9">
        <v>0.892116</v>
      </c>
      <c r="BC95" s="9">
        <v>0.892116</v>
      </c>
      <c r="BD95" s="9">
        <v>0.892115533</v>
      </c>
      <c r="BE95" s="9">
        <v>0.892116</v>
      </c>
      <c r="BF95" s="9">
        <v>0.892116</v>
      </c>
      <c r="BG95" s="9">
        <v>0.892116</v>
      </c>
      <c r="BH95" s="9">
        <v>0.892116</v>
      </c>
      <c r="BI95" s="9">
        <v>0.892116</v>
      </c>
      <c r="BJ95" s="9">
        <v>0.892116</v>
      </c>
      <c r="BK95" s="9">
        <v>0.892116</v>
      </c>
      <c r="BL95" s="9">
        <v>0.892116</v>
      </c>
      <c r="BM95" s="9">
        <v>0.892116</v>
      </c>
      <c r="BN95" s="9">
        <v>0.892116</v>
      </c>
      <c r="BO95" s="9">
        <v>0.892116</v>
      </c>
      <c r="BP95" s="9">
        <v>0.892116</v>
      </c>
      <c r="BQ95" s="9">
        <v>0.892116</v>
      </c>
      <c r="BR95" s="9">
        <v>0.892116</v>
      </c>
      <c r="BS95" s="9">
        <v>0.892116</v>
      </c>
      <c r="BT95" s="9">
        <v>0.892116</v>
      </c>
      <c r="BU95" s="9">
        <v>0.892116</v>
      </c>
      <c r="BV95" s="6"/>
      <c r="BW95" s="6" t="str">
        <f t="shared" si="1"/>
        <v>STC</v>
      </c>
      <c r="BX95" s="6" t="str">
        <f t="shared" si="2"/>
        <v>WEASEL</v>
      </c>
      <c r="BY95" s="6" t="str">
        <f t="shared" si="3"/>
        <v>HIVE-COTE v1,0</v>
      </c>
      <c r="BZ95" s="6"/>
      <c r="CA95" s="11" t="str">
        <f t="shared" si="4"/>
        <v>#VALUE!</v>
      </c>
      <c r="CC95" s="6"/>
      <c r="CD95" s="6"/>
      <c r="CE95" s="6"/>
    </row>
    <row r="96" ht="15.75" customHeight="1">
      <c r="A96" s="1" t="s">
        <v>190</v>
      </c>
      <c r="B96" s="7" t="s">
        <v>211</v>
      </c>
      <c r="C96" s="16">
        <v>0.898148148148148</v>
      </c>
      <c r="D96" s="16">
        <v>0.891975308641975</v>
      </c>
      <c r="E96" s="16">
        <v>0.914197530864197</v>
      </c>
      <c r="F96" s="16">
        <v>0.887037037037037</v>
      </c>
      <c r="G96" s="16">
        <v>0.885802469135802</v>
      </c>
      <c r="H96" s="16">
        <v>0.856172839506173</v>
      </c>
      <c r="I96" s="16">
        <v>0.856172839506173</v>
      </c>
      <c r="J96" s="16">
        <v>0.930246913580246</v>
      </c>
      <c r="K96" s="16">
        <v>0.893827160493827</v>
      </c>
      <c r="L96" s="16">
        <v>0.877777777777777</v>
      </c>
      <c r="M96" s="16">
        <v>0.892592592592592</v>
      </c>
      <c r="N96" s="16">
        <v>0.870987654320987</v>
      </c>
      <c r="O96" s="16">
        <v>0.862345679012345</v>
      </c>
      <c r="P96" s="16">
        <v>0.7</v>
      </c>
      <c r="Q96" s="9">
        <v>0.637037</v>
      </c>
      <c r="R96" s="9">
        <v>0.611111</v>
      </c>
      <c r="S96" s="9">
        <v>0.5</v>
      </c>
      <c r="T96" s="9">
        <v>0.503703701</v>
      </c>
      <c r="U96" s="9">
        <v>0.5</v>
      </c>
      <c r="V96" s="9">
        <v>0.5</v>
      </c>
      <c r="W96" s="9">
        <v>0.5</v>
      </c>
      <c r="X96" s="9">
        <v>0.5</v>
      </c>
      <c r="Y96" s="9">
        <v>0.5</v>
      </c>
      <c r="Z96" s="9">
        <v>0.5</v>
      </c>
      <c r="AA96" s="9">
        <v>0.5</v>
      </c>
      <c r="AB96" s="9">
        <v>0.5</v>
      </c>
      <c r="AC96" s="9">
        <v>0.533333</v>
      </c>
      <c r="AD96" s="9">
        <v>0.5</v>
      </c>
      <c r="AE96" s="9">
        <v>0.5</v>
      </c>
      <c r="AF96" s="9">
        <v>0.522222221</v>
      </c>
      <c r="AG96" s="9">
        <v>0.5</v>
      </c>
      <c r="AH96" s="9">
        <v>0.444444</v>
      </c>
      <c r="AI96" s="9">
        <v>0.5</v>
      </c>
      <c r="AJ96" s="9">
        <v>0.5</v>
      </c>
      <c r="AK96" s="9">
        <v>0.5</v>
      </c>
      <c r="AL96" s="9">
        <v>0.540741</v>
      </c>
      <c r="AM96" s="9">
        <v>0.5</v>
      </c>
      <c r="AN96" s="9">
        <v>0.5</v>
      </c>
      <c r="AO96" s="9">
        <v>0.537037039</v>
      </c>
      <c r="AP96" s="9">
        <v>0.5</v>
      </c>
      <c r="AQ96" s="9">
        <v>0.5</v>
      </c>
      <c r="AR96" s="9">
        <v>0.570370364</v>
      </c>
      <c r="AS96" s="9">
        <v>0.5</v>
      </c>
      <c r="AT96" s="9">
        <v>0.5</v>
      </c>
      <c r="AU96" s="9">
        <v>0.507407</v>
      </c>
      <c r="AV96" s="9">
        <v>0.5</v>
      </c>
      <c r="AW96" s="9">
        <v>0.5</v>
      </c>
      <c r="AX96" s="9">
        <v>0.5</v>
      </c>
      <c r="AY96" s="9">
        <v>0.5</v>
      </c>
      <c r="AZ96" s="9">
        <v>0.5</v>
      </c>
      <c r="BA96" s="9">
        <v>0.496296</v>
      </c>
      <c r="BB96" s="9">
        <v>0.5</v>
      </c>
      <c r="BC96" s="9">
        <v>0.5</v>
      </c>
      <c r="BD96" s="9">
        <v>0.477777779</v>
      </c>
      <c r="BE96" s="9">
        <v>0.5</v>
      </c>
      <c r="BF96" s="9">
        <v>0.5</v>
      </c>
      <c r="BG96" s="9">
        <v>0.474074</v>
      </c>
      <c r="BH96" s="9">
        <v>0.5</v>
      </c>
      <c r="BI96" s="9">
        <v>0.592593</v>
      </c>
      <c r="BJ96" s="9">
        <v>0.5</v>
      </c>
      <c r="BK96" s="9">
        <v>0.5</v>
      </c>
      <c r="BL96" s="9">
        <v>0.5</v>
      </c>
      <c r="BM96" s="9">
        <v>0.511111</v>
      </c>
      <c r="BN96" s="9">
        <v>0.5</v>
      </c>
      <c r="BO96" s="9">
        <v>0.5</v>
      </c>
      <c r="BP96" s="9">
        <v>0.5</v>
      </c>
      <c r="BQ96" s="9">
        <v>0.5</v>
      </c>
      <c r="BR96" s="9">
        <v>0.5</v>
      </c>
      <c r="BS96" s="9">
        <v>0.5</v>
      </c>
      <c r="BT96" s="9">
        <v>0.5</v>
      </c>
      <c r="BU96" s="9">
        <v>0.5</v>
      </c>
      <c r="BV96" s="6"/>
      <c r="BW96" s="6" t="str">
        <f t="shared" si="1"/>
        <v>WEASEL</v>
      </c>
      <c r="BX96" s="6" t="str">
        <f t="shared" si="2"/>
        <v>ROCKET</v>
      </c>
      <c r="BY96" s="6" t="str">
        <f t="shared" si="3"/>
        <v>TS-CHIEF</v>
      </c>
      <c r="BZ96" s="6"/>
      <c r="CA96" s="11" t="str">
        <f t="shared" si="4"/>
        <v>#VALUE!</v>
      </c>
      <c r="CC96" s="6"/>
      <c r="CD96" s="6"/>
      <c r="CE96" s="6"/>
    </row>
    <row r="97" ht="15.75" customHeight="1">
      <c r="A97" s="1" t="s">
        <v>191</v>
      </c>
      <c r="B97" s="7" t="s">
        <v>211</v>
      </c>
      <c r="C97" s="16">
        <v>0.79367816091954</v>
      </c>
      <c r="D97" s="16">
        <v>0.693155694879832</v>
      </c>
      <c r="E97" s="16">
        <v>0.764420062695924</v>
      </c>
      <c r="F97" s="16">
        <v>0.752089864158829</v>
      </c>
      <c r="G97" s="16">
        <v>0.623040752351097</v>
      </c>
      <c r="H97" s="16">
        <v>0.613322884012539</v>
      </c>
      <c r="I97" s="16">
        <v>0.778160919540229</v>
      </c>
      <c r="J97" s="16">
        <v>0.712748171368861</v>
      </c>
      <c r="K97" s="16">
        <v>0.737565308254963</v>
      </c>
      <c r="L97" s="16">
        <v>0.667816091954023</v>
      </c>
      <c r="M97" s="16">
        <v>0.658411703239289</v>
      </c>
      <c r="N97" s="16">
        <v>0.591640543364681</v>
      </c>
      <c r="O97" s="16">
        <v>0.64791013584117</v>
      </c>
      <c r="P97" s="16">
        <v>0.543991640543364</v>
      </c>
      <c r="Q97" s="9">
        <v>0.400627</v>
      </c>
      <c r="R97" s="9">
        <v>0.399687</v>
      </c>
      <c r="S97" s="9">
        <v>0.423197</v>
      </c>
      <c r="T97" s="9">
        <v>0.421003127</v>
      </c>
      <c r="U97" s="9">
        <v>0.4106583</v>
      </c>
      <c r="V97" s="9">
        <v>0.219436</v>
      </c>
      <c r="W97" s="9">
        <v>0.382759</v>
      </c>
      <c r="X97" s="9">
        <v>0.393417</v>
      </c>
      <c r="Y97" s="9">
        <v>0.402821</v>
      </c>
      <c r="Z97" s="9">
        <v>0.384952974</v>
      </c>
      <c r="AA97" s="9">
        <v>0.382445</v>
      </c>
      <c r="AB97" s="9">
        <v>0.401254</v>
      </c>
      <c r="AC97" s="9">
        <v>0.434796</v>
      </c>
      <c r="AD97" s="9">
        <v>0.420063</v>
      </c>
      <c r="AE97" s="9">
        <v>0.478056</v>
      </c>
      <c r="AF97" s="9">
        <v>0.433228844</v>
      </c>
      <c r="AG97" s="9">
        <v>0.4279</v>
      </c>
      <c r="AH97" s="9">
        <v>0.473354</v>
      </c>
      <c r="AI97" s="9">
        <v>0.394671</v>
      </c>
      <c r="AJ97" s="9">
        <v>0.407524</v>
      </c>
      <c r="AK97" s="9">
        <v>0.368339</v>
      </c>
      <c r="AL97" s="9">
        <v>0.387774</v>
      </c>
      <c r="AM97" s="9">
        <v>0.394984</v>
      </c>
      <c r="AN97" s="9">
        <v>0.46395</v>
      </c>
      <c r="AO97" s="9">
        <v>0.43573668</v>
      </c>
      <c r="AP97" s="9">
        <v>0.437304</v>
      </c>
      <c r="AQ97" s="9">
        <v>0.420063</v>
      </c>
      <c r="AR97" s="9">
        <v>0.431661439</v>
      </c>
      <c r="AS97" s="9">
        <v>0.437304</v>
      </c>
      <c r="AT97" s="9">
        <v>0.474922</v>
      </c>
      <c r="AU97" s="9">
        <v>0.374295</v>
      </c>
      <c r="AV97" s="9">
        <v>0.358934</v>
      </c>
      <c r="AW97" s="9">
        <v>0.432602</v>
      </c>
      <c r="AX97" s="9">
        <v>0.387774</v>
      </c>
      <c r="AY97" s="9">
        <v>0.42163</v>
      </c>
      <c r="AZ97" s="9">
        <v>0.426332</v>
      </c>
      <c r="BA97" s="9">
        <v>0.426019</v>
      </c>
      <c r="BB97" s="9">
        <v>0.420063</v>
      </c>
      <c r="BC97" s="9">
        <v>0.470219</v>
      </c>
      <c r="BD97" s="9">
        <v>0.441379303</v>
      </c>
      <c r="BE97" s="9">
        <v>0.452978</v>
      </c>
      <c r="BF97" s="9">
        <v>0.487461</v>
      </c>
      <c r="BG97" s="9">
        <v>0.391223</v>
      </c>
      <c r="BH97" s="9">
        <v>0.380878</v>
      </c>
      <c r="BI97" s="9">
        <v>0.380878</v>
      </c>
      <c r="BJ97" s="9">
        <v>0.401881</v>
      </c>
      <c r="BK97" s="9">
        <v>0.407524</v>
      </c>
      <c r="BL97" s="9">
        <v>0.409091</v>
      </c>
      <c r="BM97" s="9">
        <v>0.422884</v>
      </c>
      <c r="BN97" s="9">
        <v>0.410658</v>
      </c>
      <c r="BO97" s="9">
        <v>0.393417</v>
      </c>
      <c r="BP97" s="9">
        <v>0.384639</v>
      </c>
      <c r="BQ97" s="9">
        <v>0.407524</v>
      </c>
      <c r="BR97" s="9">
        <v>0.442006</v>
      </c>
      <c r="BS97" s="9">
        <v>0.389969</v>
      </c>
      <c r="BT97" s="9">
        <v>0.396552</v>
      </c>
      <c r="BU97" s="9">
        <v>0.420063</v>
      </c>
      <c r="BV97" s="6"/>
      <c r="BW97" s="6" t="str">
        <f t="shared" si="1"/>
        <v>TS-CHIEF</v>
      </c>
      <c r="BX97" s="6" t="str">
        <f t="shared" si="2"/>
        <v>ProximityForest</v>
      </c>
      <c r="BY97" s="6" t="str">
        <f t="shared" si="3"/>
        <v>ROCKET</v>
      </c>
      <c r="BZ97" s="6"/>
      <c r="CA97" s="11" t="str">
        <f t="shared" si="4"/>
        <v>#VALUE!</v>
      </c>
      <c r="CC97" s="6"/>
      <c r="CD97" s="6"/>
      <c r="CE97" s="6"/>
    </row>
    <row r="98" ht="15.75" customHeight="1">
      <c r="A98" s="1" t="s">
        <v>192</v>
      </c>
      <c r="B98" s="7" t="s">
        <v>211</v>
      </c>
      <c r="C98" s="16">
        <v>0.768398268398268</v>
      </c>
      <c r="D98" s="16">
        <v>0.716450216450216</v>
      </c>
      <c r="E98" s="16">
        <v>0.72034632034632</v>
      </c>
      <c r="F98" s="16">
        <v>0.780952380952381</v>
      </c>
      <c r="G98" s="16">
        <v>0.733333333333333</v>
      </c>
      <c r="H98" s="16">
        <v>0.758874458874458</v>
      </c>
      <c r="I98" s="16">
        <v>0.693073593073593</v>
      </c>
      <c r="J98" s="16">
        <v>0.778354978354978</v>
      </c>
      <c r="K98" s="16">
        <v>0.717316017316017</v>
      </c>
      <c r="L98" s="16">
        <v>0.662337662337662</v>
      </c>
      <c r="M98" s="16">
        <v>0.725541125541125</v>
      </c>
      <c r="N98" s="16">
        <v>0.686580086580086</v>
      </c>
      <c r="O98" s="16">
        <v>0.612121212121212</v>
      </c>
      <c r="P98" s="16">
        <v>0.725108225108225</v>
      </c>
      <c r="Q98" s="9">
        <v>0.493506</v>
      </c>
      <c r="R98" s="9">
        <v>0.506494</v>
      </c>
      <c r="S98" s="9">
        <v>0.493506</v>
      </c>
      <c r="T98" s="9">
        <v>0.472727263</v>
      </c>
      <c r="U98" s="9">
        <v>0.467532456</v>
      </c>
      <c r="V98" s="9">
        <v>0.428571</v>
      </c>
      <c r="W98" s="9">
        <v>0.483117</v>
      </c>
      <c r="X98" s="9">
        <v>0.480519</v>
      </c>
      <c r="Y98" s="9">
        <v>0.545455</v>
      </c>
      <c r="Z98" s="9">
        <v>0.477922088</v>
      </c>
      <c r="AA98" s="9">
        <v>0.454545</v>
      </c>
      <c r="AB98" s="9">
        <v>0.506494</v>
      </c>
      <c r="AC98" s="9">
        <v>0.464935</v>
      </c>
      <c r="AD98" s="9">
        <v>0.493506</v>
      </c>
      <c r="AE98" s="9">
        <v>0.454545</v>
      </c>
      <c r="AF98" s="9">
        <v>0.483116889</v>
      </c>
      <c r="AG98" s="9">
        <v>0.519481</v>
      </c>
      <c r="AH98" s="9">
        <v>0.519481</v>
      </c>
      <c r="AI98" s="9">
        <v>0.496104</v>
      </c>
      <c r="AJ98" s="9">
        <v>0.519481</v>
      </c>
      <c r="AK98" s="9">
        <v>0.480519</v>
      </c>
      <c r="AL98" s="9">
        <v>0.47013</v>
      </c>
      <c r="AM98" s="9">
        <v>0.454545</v>
      </c>
      <c r="AN98" s="9">
        <v>0.441558</v>
      </c>
      <c r="AO98" s="9">
        <v>0.477922076</v>
      </c>
      <c r="AP98" s="9">
        <v>0.480519</v>
      </c>
      <c r="AQ98" s="9">
        <v>0.467532</v>
      </c>
      <c r="AR98" s="9">
        <v>0.490909088</v>
      </c>
      <c r="AS98" s="9">
        <v>0.480519</v>
      </c>
      <c r="AT98" s="9">
        <v>0.454545</v>
      </c>
      <c r="AU98" s="9">
        <v>0.490909</v>
      </c>
      <c r="AV98" s="9">
        <v>0.493506</v>
      </c>
      <c r="AW98" s="9">
        <v>0.493506</v>
      </c>
      <c r="AX98" s="9">
        <v>0.451948</v>
      </c>
      <c r="AY98" s="9">
        <v>0.454545</v>
      </c>
      <c r="AZ98" s="9">
        <v>0.402597</v>
      </c>
      <c r="BA98" s="9">
        <v>0.496104</v>
      </c>
      <c r="BB98" s="9">
        <v>0.519481</v>
      </c>
      <c r="BC98" s="9">
        <v>0.61039</v>
      </c>
      <c r="BD98" s="9">
        <v>0.516883123</v>
      </c>
      <c r="BE98" s="9">
        <v>0.519481</v>
      </c>
      <c r="BF98" s="9">
        <v>0.584416</v>
      </c>
      <c r="BG98" s="9">
        <v>0.480519</v>
      </c>
      <c r="BH98" s="9">
        <v>0.480519</v>
      </c>
      <c r="BI98" s="9">
        <v>0.506494</v>
      </c>
      <c r="BJ98" s="9">
        <v>0.464935</v>
      </c>
      <c r="BK98" s="9">
        <v>0.467532</v>
      </c>
      <c r="BL98" s="9">
        <v>0.428571</v>
      </c>
      <c r="BM98" s="9">
        <v>0.498701</v>
      </c>
      <c r="BN98" s="9">
        <v>0.493506</v>
      </c>
      <c r="BO98" s="9">
        <v>0.506494</v>
      </c>
      <c r="BP98" s="9">
        <v>0.472727</v>
      </c>
      <c r="BQ98" s="9">
        <v>0.480519</v>
      </c>
      <c r="BR98" s="9">
        <v>0.584416</v>
      </c>
      <c r="BS98" s="9">
        <v>0.428571</v>
      </c>
      <c r="BT98" s="9">
        <v>0.428571</v>
      </c>
      <c r="BU98" s="9">
        <v>0.428571</v>
      </c>
      <c r="BV98" s="6"/>
      <c r="BW98" s="6" t="str">
        <f t="shared" si="1"/>
        <v>InceptionTime</v>
      </c>
      <c r="BX98" s="6" t="str">
        <f t="shared" si="2"/>
        <v>WEASEL</v>
      </c>
      <c r="BY98" s="6" t="str">
        <f t="shared" si="3"/>
        <v>TS-CHIEF</v>
      </c>
      <c r="BZ98" s="6"/>
      <c r="CA98" s="11" t="str">
        <f t="shared" si="4"/>
        <v>#VALUE!</v>
      </c>
      <c r="CC98" s="6"/>
      <c r="CD98" s="6"/>
      <c r="CE98" s="6"/>
    </row>
    <row r="99" ht="15.75" customHeight="1">
      <c r="A99" s="1" t="s">
        <v>193</v>
      </c>
      <c r="B99" s="7" t="s">
        <v>211</v>
      </c>
      <c r="C99" s="16">
        <v>0.786147186147186</v>
      </c>
      <c r="D99" s="16">
        <v>0.789610389610389</v>
      </c>
      <c r="E99" s="16">
        <v>0.789610389610389</v>
      </c>
      <c r="F99" s="16">
        <v>0.802597402597402</v>
      </c>
      <c r="G99" s="16">
        <v>0.785281385281385</v>
      </c>
      <c r="H99" s="16">
        <v>0.767965367965367</v>
      </c>
      <c r="I99" s="16">
        <v>0.769264069264069</v>
      </c>
      <c r="J99" s="16">
        <v>0.8004329004329</v>
      </c>
      <c r="K99" s="16">
        <v>0.807792207792208</v>
      </c>
      <c r="L99" s="16">
        <v>0.79090909090909</v>
      </c>
      <c r="M99" s="16">
        <v>0.807792207792208</v>
      </c>
      <c r="N99" s="16">
        <v>0.785281385281385</v>
      </c>
      <c r="O99" s="16">
        <v>0.693506493506493</v>
      </c>
      <c r="P99" s="16">
        <v>0.792207792207792</v>
      </c>
      <c r="Q99" s="9">
        <v>0.592208</v>
      </c>
      <c r="R99" s="9">
        <v>0.61039</v>
      </c>
      <c r="S99" s="9">
        <v>0.61039</v>
      </c>
      <c r="T99" s="9">
        <v>0.594805193</v>
      </c>
      <c r="U99" s="9">
        <v>0.61038959</v>
      </c>
      <c r="V99" s="9">
        <v>0.584416</v>
      </c>
      <c r="W99" s="9">
        <v>0.558442</v>
      </c>
      <c r="X99" s="9">
        <v>0.571429</v>
      </c>
      <c r="Y99" s="9">
        <v>0.558442</v>
      </c>
      <c r="Z99" s="9">
        <v>0.584415591</v>
      </c>
      <c r="AA99" s="9">
        <v>0.571429</v>
      </c>
      <c r="AB99" s="9">
        <v>0.597403</v>
      </c>
      <c r="AC99" s="9">
        <v>0.58961</v>
      </c>
      <c r="AD99" s="9">
        <v>0.597403</v>
      </c>
      <c r="AE99" s="9">
        <v>0.597403</v>
      </c>
      <c r="AF99" s="9">
        <v>0.597402596</v>
      </c>
      <c r="AG99" s="9">
        <v>0.597403</v>
      </c>
      <c r="AH99" s="9">
        <v>0.571429</v>
      </c>
      <c r="AI99" s="9">
        <v>0.558442</v>
      </c>
      <c r="AJ99" s="9">
        <v>0.558442</v>
      </c>
      <c r="AK99" s="9">
        <v>0.571429</v>
      </c>
      <c r="AL99" s="9">
        <v>0.561039</v>
      </c>
      <c r="AM99" s="9">
        <v>0.558442</v>
      </c>
      <c r="AN99" s="9">
        <v>0.571429</v>
      </c>
      <c r="AO99" s="9">
        <v>0.610389602</v>
      </c>
      <c r="AP99" s="9">
        <v>0.623377</v>
      </c>
      <c r="AQ99" s="9">
        <v>0.649351</v>
      </c>
      <c r="AR99" s="9">
        <v>0.605194807</v>
      </c>
      <c r="AS99" s="9">
        <v>0.584416</v>
      </c>
      <c r="AT99" s="9">
        <v>0.649351</v>
      </c>
      <c r="AU99" s="9">
        <v>0.568831</v>
      </c>
      <c r="AV99" s="9">
        <v>0.558442</v>
      </c>
      <c r="AW99" s="9">
        <v>0.532468</v>
      </c>
      <c r="AX99" s="9">
        <v>0.545455</v>
      </c>
      <c r="AY99" s="9">
        <v>0.545455</v>
      </c>
      <c r="AZ99" s="9">
        <v>0.597403</v>
      </c>
      <c r="BA99" s="9">
        <v>0.623377</v>
      </c>
      <c r="BB99" s="9">
        <v>0.636364</v>
      </c>
      <c r="BC99" s="9">
        <v>0.688312</v>
      </c>
      <c r="BD99" s="9">
        <v>0.625974011</v>
      </c>
      <c r="BE99" s="9">
        <v>0.623377</v>
      </c>
      <c r="BF99" s="9">
        <v>0.662338</v>
      </c>
      <c r="BG99" s="9">
        <v>0.605195</v>
      </c>
      <c r="BH99" s="9">
        <v>0.61039</v>
      </c>
      <c r="BI99" s="9">
        <v>0.623377</v>
      </c>
      <c r="BJ99" s="9">
        <v>0.612987</v>
      </c>
      <c r="BK99" s="9">
        <v>0.597403</v>
      </c>
      <c r="BL99" s="9">
        <v>0.584416</v>
      </c>
      <c r="BM99" s="9">
        <v>0.587013</v>
      </c>
      <c r="BN99" s="9">
        <v>0.597403</v>
      </c>
      <c r="BO99" s="9">
        <v>0.61039</v>
      </c>
      <c r="BP99" s="9">
        <v>0.620779</v>
      </c>
      <c r="BQ99" s="9">
        <v>0.623377</v>
      </c>
      <c r="BR99" s="9">
        <v>0.649351</v>
      </c>
      <c r="BS99" s="9">
        <v>0.571429</v>
      </c>
      <c r="BT99" s="9">
        <v>0.571429</v>
      </c>
      <c r="BU99" s="9">
        <v>0.571429</v>
      </c>
      <c r="BV99" s="6"/>
      <c r="BW99" s="6" t="str">
        <f t="shared" si="1"/>
        <v>S-BOSS</v>
      </c>
      <c r="BX99" s="6" t="str">
        <f t="shared" si="2"/>
        <v>S-BOSS</v>
      </c>
      <c r="BY99" s="6" t="str">
        <f t="shared" si="3"/>
        <v>InceptionTime</v>
      </c>
      <c r="BZ99" s="6"/>
      <c r="CA99" s="11" t="str">
        <f t="shared" si="4"/>
        <v>#VALUE!</v>
      </c>
      <c r="CC99" s="6"/>
      <c r="CD99" s="6"/>
      <c r="CE99" s="6"/>
    </row>
    <row r="100" ht="15.75" customHeight="1">
      <c r="A100" s="1" t="s">
        <v>194</v>
      </c>
      <c r="B100" s="7" t="s">
        <v>211</v>
      </c>
      <c r="C100" s="16">
        <v>0.872633333333333</v>
      </c>
      <c r="D100" s="16">
        <v>0.912433333333333</v>
      </c>
      <c r="E100" s="16">
        <v>0.913844444444444</v>
      </c>
      <c r="F100" s="16">
        <v>0.912411111111111</v>
      </c>
      <c r="G100" s="16">
        <v>0.879988888888888</v>
      </c>
      <c r="H100" s="16">
        <v>0.87721111111111</v>
      </c>
      <c r="I100" s="16">
        <v>0.887444444444444</v>
      </c>
      <c r="J100" s="16">
        <v>0.892377777777777</v>
      </c>
      <c r="K100" s="16">
        <v>0.915055555555555</v>
      </c>
      <c r="L100" s="16">
        <v>0.912122222222222</v>
      </c>
      <c r="M100" s="16">
        <v>0.910155555555555</v>
      </c>
      <c r="N100" s="16">
        <v>0.8372</v>
      </c>
      <c r="O100" s="16">
        <v>0.865799999999999</v>
      </c>
      <c r="P100" s="16">
        <v>0.803822222222222</v>
      </c>
      <c r="Q100" s="9">
        <v>0.699467</v>
      </c>
      <c r="R100" s="9">
        <v>0.704</v>
      </c>
      <c r="S100" s="9">
        <v>0.709667</v>
      </c>
      <c r="T100" s="9">
        <v>0.698200011</v>
      </c>
      <c r="U100" s="9">
        <v>0.702000022</v>
      </c>
      <c r="V100" s="9">
        <v>0.535667</v>
      </c>
      <c r="W100" s="9">
        <v>0.7544</v>
      </c>
      <c r="X100" s="9">
        <v>0.752</v>
      </c>
      <c r="Y100" s="9">
        <v>0.781667</v>
      </c>
      <c r="Z100" s="9">
        <v>0.753133333</v>
      </c>
      <c r="AA100" s="9">
        <v>0.753667</v>
      </c>
      <c r="AB100" s="9">
        <v>0.767</v>
      </c>
      <c r="AC100" s="9">
        <v>0.705933</v>
      </c>
      <c r="AD100" s="9">
        <v>0.705667</v>
      </c>
      <c r="AE100" s="9">
        <v>0.751</v>
      </c>
      <c r="AF100" s="9">
        <v>0.729999995</v>
      </c>
      <c r="AG100" s="9">
        <v>0.732</v>
      </c>
      <c r="AH100" s="9">
        <v>0.746333</v>
      </c>
      <c r="AI100" s="9">
        <v>0.744333</v>
      </c>
      <c r="AJ100" s="9">
        <v>0.748333</v>
      </c>
      <c r="AK100" s="9">
        <v>0.797667</v>
      </c>
      <c r="AL100" s="9">
        <v>0.740267</v>
      </c>
      <c r="AM100" s="9">
        <v>0.753</v>
      </c>
      <c r="AN100" s="9">
        <v>0.773667</v>
      </c>
      <c r="AO100" s="9">
        <v>0.749066663</v>
      </c>
      <c r="AP100" s="9">
        <v>0.749667</v>
      </c>
      <c r="AQ100" s="9">
        <v>0.763</v>
      </c>
      <c r="AR100" s="9">
        <v>0.7454</v>
      </c>
      <c r="AS100" s="9">
        <v>0.745667</v>
      </c>
      <c r="AT100" s="9">
        <v>0.768</v>
      </c>
      <c r="AU100" s="9">
        <v>0.769533</v>
      </c>
      <c r="AV100" s="9">
        <v>0.763333</v>
      </c>
      <c r="AW100" s="9">
        <v>0.802667</v>
      </c>
      <c r="AX100" s="9">
        <v>0.780933</v>
      </c>
      <c r="AY100" s="9">
        <v>0.779</v>
      </c>
      <c r="AZ100" s="9">
        <v>0.81</v>
      </c>
      <c r="BA100" s="9">
        <v>0.751933</v>
      </c>
      <c r="BB100" s="9">
        <v>0.756</v>
      </c>
      <c r="BC100" s="9">
        <v>0.778333</v>
      </c>
      <c r="BD100" s="9">
        <v>0.756666672</v>
      </c>
      <c r="BE100" s="9">
        <v>0.755</v>
      </c>
      <c r="BF100" s="9">
        <v>0.775</v>
      </c>
      <c r="BG100" s="9">
        <v>0.759667</v>
      </c>
      <c r="BH100" s="9">
        <v>0.762333</v>
      </c>
      <c r="BI100" s="9">
        <v>0.799333</v>
      </c>
      <c r="BJ100" s="9">
        <v>0.775133</v>
      </c>
      <c r="BK100" s="9">
        <v>0.773667</v>
      </c>
      <c r="BL100" s="9">
        <v>0.802333</v>
      </c>
      <c r="BM100" s="9">
        <v>0.767333</v>
      </c>
      <c r="BN100" s="9">
        <v>0.764</v>
      </c>
      <c r="BO100" s="9">
        <v>0.796333</v>
      </c>
      <c r="BP100" s="9">
        <v>0.780733</v>
      </c>
      <c r="BQ100" s="9">
        <v>0.780667</v>
      </c>
      <c r="BR100" s="9">
        <v>0.805333</v>
      </c>
      <c r="BS100" s="9">
        <v>0.5972</v>
      </c>
      <c r="BT100" s="9">
        <v>0.599</v>
      </c>
      <c r="BU100" s="9">
        <v>0.650333</v>
      </c>
      <c r="BV100" s="6"/>
      <c r="BW100" s="6" t="str">
        <f t="shared" si="1"/>
        <v>S-BOSS</v>
      </c>
      <c r="BX100" s="6" t="str">
        <f t="shared" si="2"/>
        <v>ROCKET</v>
      </c>
      <c r="BY100" s="6" t="str">
        <f t="shared" si="3"/>
        <v>HIVE-COTE v1,0</v>
      </c>
      <c r="BZ100" s="6"/>
      <c r="CA100" s="11" t="str">
        <f t="shared" si="4"/>
        <v>#VALUE!</v>
      </c>
      <c r="CC100" s="6"/>
      <c r="CD100" s="6"/>
      <c r="CE100" s="6"/>
    </row>
    <row r="101" ht="15.75" customHeight="1">
      <c r="A101" s="15"/>
      <c r="W101" s="1"/>
      <c r="X101" s="1"/>
      <c r="Y101" s="1"/>
      <c r="AC101" s="1"/>
      <c r="AD101" s="1"/>
      <c r="AE101" s="1"/>
      <c r="AF101" s="1"/>
      <c r="AG101" s="1"/>
      <c r="AH101" s="1"/>
      <c r="AK101" s="1"/>
      <c r="AO101" s="1"/>
      <c r="AP101" s="1"/>
      <c r="AQ101" s="1"/>
      <c r="AR101" s="1"/>
      <c r="AS101" s="1"/>
      <c r="AU101" s="1"/>
      <c r="AV101" s="1"/>
      <c r="AW101" s="1"/>
      <c r="BA101" s="1"/>
      <c r="BB101" s="1"/>
      <c r="BC101" s="1"/>
      <c r="BD101" s="1"/>
      <c r="BE101" s="1"/>
      <c r="BF101" s="1"/>
      <c r="BI101" s="1"/>
      <c r="BM101" s="1"/>
      <c r="BN101" s="1"/>
      <c r="BO101" s="1"/>
      <c r="BP101" s="1"/>
      <c r="BQ101" s="1"/>
    </row>
    <row r="102" ht="15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W102" s="1"/>
      <c r="X102" s="1"/>
      <c r="Y102" s="1"/>
      <c r="Z102" s="1"/>
      <c r="AA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</row>
    <row r="103" ht="15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W103" s="1"/>
      <c r="X103" s="1"/>
      <c r="Y103" s="1"/>
      <c r="Z103" s="1"/>
      <c r="AA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</row>
    <row r="104" ht="15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</row>
    <row r="105" ht="15.75" customHeight="1">
      <c r="A105" s="15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</row>
    <row r="106" ht="15.75" customHeight="1">
      <c r="A106" s="15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</row>
    <row r="107" ht="15.75" customHeight="1"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</row>
    <row r="108" ht="15.75" customHeight="1"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</row>
    <row r="109" ht="15.75" customHeight="1"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</row>
    <row r="110" ht="15.75" customHeight="1"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</row>
    <row r="111" ht="15.75" customHeight="1"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</row>
    <row r="112" ht="15.75" customHeight="1"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</row>
    <row r="113" ht="15.75" customHeight="1"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</row>
    <row r="114" ht="15.75" customHeight="1"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</row>
    <row r="115" ht="15.75" customHeight="1"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</row>
    <row r="116" ht="15.75" customHeight="1"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</row>
    <row r="117" ht="15.75" customHeight="1"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</row>
    <row r="118" ht="15.75" customHeight="1"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</row>
    <row r="119" ht="15.75" customHeight="1"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</row>
    <row r="120" ht="15.75" customHeight="1"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</row>
    <row r="121" ht="15.75" customHeight="1"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</row>
    <row r="122" ht="15.75" customHeight="1"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</row>
    <row r="123" ht="15.75" customHeight="1"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</row>
    <row r="124" ht="15.75" customHeight="1"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</row>
    <row r="125" ht="15.75" customHeight="1"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</row>
    <row r="126" ht="15.75" customHeight="1"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</row>
    <row r="127" ht="15.75" customHeight="1"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</row>
    <row r="128" ht="15.75" customHeight="1"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</row>
    <row r="129" ht="15.75" customHeight="1"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</row>
    <row r="130" ht="15.75" customHeight="1"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</row>
    <row r="131" ht="15.75" customHeight="1"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</row>
    <row r="132" ht="15.75" customHeight="1"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</row>
    <row r="133" ht="15.75" customHeight="1"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</row>
    <row r="134" ht="15.75" customHeight="1"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</row>
    <row r="135" ht="15.75" customHeight="1"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</row>
    <row r="136" ht="15.75" customHeight="1"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</row>
    <row r="137" ht="15.75" customHeight="1"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</row>
    <row r="138" ht="15.75" customHeight="1"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</row>
    <row r="139" ht="15.75" customHeight="1"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</row>
    <row r="140" ht="15.75" customHeight="1"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</row>
    <row r="141" ht="15.75" customHeight="1"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</row>
    <row r="142" ht="15.75" customHeight="1"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</row>
    <row r="143" ht="15.75" customHeight="1"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</row>
    <row r="144" ht="15.75" customHeight="1"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</row>
    <row r="145" ht="15.75" customHeight="1"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</row>
    <row r="146" ht="15.75" customHeight="1"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</row>
    <row r="147" ht="15.75" customHeight="1"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</row>
    <row r="148" ht="15.75" customHeight="1"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</row>
    <row r="149" ht="15.75" customHeight="1"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</row>
    <row r="150" ht="15.75" customHeight="1"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</row>
    <row r="151" ht="15.75" customHeight="1"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</row>
    <row r="152" ht="15.75" customHeight="1"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</row>
    <row r="153" ht="15.75" customHeight="1"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</row>
    <row r="154" ht="15.75" customHeight="1"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</row>
    <row r="155" ht="15.75" customHeight="1"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</row>
    <row r="156" ht="15.75" customHeight="1"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</row>
    <row r="157" ht="15.75" customHeight="1"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</row>
    <row r="158" ht="15.75" customHeight="1"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</row>
    <row r="159" ht="15.75" customHeight="1"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</row>
    <row r="160" ht="15.75" customHeight="1"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</row>
    <row r="161" ht="15.75" customHeight="1"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</row>
    <row r="162" ht="15.75" customHeight="1"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</row>
    <row r="163" ht="15.75" customHeight="1"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</row>
    <row r="164" ht="15.75" customHeight="1"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</row>
    <row r="165" ht="15.75" customHeight="1"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</row>
    <row r="166" ht="15.75" customHeight="1"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</row>
    <row r="167" ht="15.75" customHeight="1"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</row>
    <row r="168" ht="15.75" customHeight="1"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</row>
    <row r="169" ht="15.75" customHeight="1"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</row>
    <row r="170" ht="15.75" customHeight="1"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</row>
    <row r="171" ht="15.75" customHeight="1"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</row>
    <row r="172" ht="15.75" customHeight="1"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</row>
    <row r="173" ht="15.75" customHeight="1"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</row>
    <row r="174" ht="15.75" customHeight="1"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</row>
    <row r="175" ht="15.75" customHeight="1"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</row>
    <row r="176" ht="15.75" customHeight="1"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</row>
    <row r="177" ht="15.75" customHeight="1"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</row>
    <row r="178" ht="15.75" customHeight="1"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</row>
    <row r="179" ht="15.75" customHeight="1"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</row>
    <row r="180" ht="15.75" customHeight="1"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</row>
    <row r="181" ht="15.75" customHeight="1"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</row>
    <row r="182" ht="15.75" customHeight="1"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</row>
    <row r="183" ht="15.75" customHeight="1"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</row>
    <row r="184" ht="15.75" customHeight="1"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</row>
    <row r="185" ht="15.75" customHeight="1"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</row>
    <row r="186" ht="15.75" customHeight="1"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</row>
    <row r="187" ht="15.75" customHeight="1"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</row>
    <row r="188" ht="15.75" customHeight="1"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</row>
    <row r="189" ht="15.75" customHeight="1"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</row>
    <row r="190" ht="15.75" customHeight="1"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</row>
    <row r="191" ht="15.75" customHeight="1"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</row>
    <row r="192" ht="15.75" customHeight="1"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</row>
    <row r="193" ht="15.75" customHeight="1"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</row>
    <row r="194" ht="15.75" customHeight="1"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</row>
    <row r="195" ht="15.75" customHeight="1"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</row>
    <row r="196" ht="15.75" customHeight="1"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</row>
    <row r="197" ht="15.75" customHeight="1"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</row>
    <row r="198" ht="15.75" customHeight="1"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</row>
    <row r="199" ht="15.75" customHeight="1"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</row>
    <row r="200" ht="15.75" customHeight="1"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</row>
    <row r="201" ht="15.75" customHeight="1"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</row>
    <row r="202" ht="15.75" customHeight="1"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</row>
    <row r="203" ht="15.75" customHeight="1"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</row>
    <row r="204" ht="15.75" customHeight="1"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</row>
    <row r="205" ht="15.75" customHeight="1"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</row>
    <row r="206" ht="15.75" customHeight="1"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</row>
    <row r="207" ht="15.75" customHeight="1"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</row>
    <row r="208" ht="15.75" customHeight="1"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</row>
    <row r="209" ht="15.75" customHeight="1"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</row>
    <row r="210" ht="15.75" customHeight="1"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</row>
    <row r="211" ht="15.75" customHeight="1"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</row>
    <row r="212" ht="15.75" customHeight="1"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</row>
    <row r="213" ht="15.75" customHeight="1"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</row>
    <row r="214" ht="15.75" customHeight="1"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</row>
    <row r="215" ht="15.75" customHeight="1"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</row>
    <row r="216" ht="15.75" customHeight="1"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</row>
    <row r="217" ht="15.75" customHeight="1"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</row>
    <row r="218" ht="15.75" customHeight="1"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</row>
    <row r="219" ht="15.75" customHeight="1"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</row>
    <row r="220" ht="15.75" customHeight="1"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</row>
    <row r="221" ht="15.75" customHeight="1"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</row>
    <row r="222" ht="15.75" customHeight="1"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</row>
    <row r="223" ht="15.75" customHeight="1"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</row>
    <row r="224" ht="15.75" customHeight="1"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</row>
    <row r="225" ht="15.75" customHeight="1"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</row>
    <row r="226" ht="15.75" customHeight="1"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</row>
    <row r="227" ht="15.75" customHeight="1"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</row>
    <row r="228" ht="15.75" customHeight="1"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</row>
    <row r="229" ht="15.75" customHeight="1"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</row>
    <row r="230" ht="15.75" customHeight="1"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</row>
    <row r="231" ht="15.75" customHeight="1"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</row>
    <row r="232" ht="15.75" customHeight="1"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</row>
    <row r="233" ht="15.75" customHeight="1"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</row>
    <row r="234" ht="15.75" customHeight="1"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</row>
    <row r="235" ht="15.75" customHeight="1"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</row>
    <row r="236" ht="15.75" customHeight="1"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</row>
    <row r="237" ht="15.75" customHeight="1"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</row>
    <row r="238" ht="15.75" customHeight="1"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</row>
    <row r="239" ht="15.75" customHeight="1"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</row>
    <row r="240" ht="15.75" customHeight="1"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</row>
    <row r="241" ht="15.75" customHeight="1"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</row>
    <row r="242" ht="15.75" customHeight="1"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</row>
    <row r="243" ht="15.75" customHeight="1"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</row>
    <row r="244" ht="15.75" customHeight="1"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</row>
    <row r="245" ht="15.75" customHeight="1"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</row>
    <row r="246" ht="15.75" customHeight="1"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</row>
    <row r="247" ht="15.75" customHeight="1"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</row>
    <row r="248" ht="15.75" customHeight="1"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</row>
    <row r="249" ht="15.75" customHeight="1"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</row>
    <row r="250" ht="15.75" customHeight="1"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</row>
    <row r="251" ht="15.75" customHeight="1"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</row>
    <row r="252" ht="15.75" customHeight="1"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</row>
    <row r="253" ht="15.75" customHeight="1"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</row>
    <row r="254" ht="15.75" customHeight="1"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</row>
    <row r="255" ht="15.75" customHeight="1"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</row>
    <row r="256" ht="15.75" customHeight="1"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</row>
    <row r="257" ht="15.75" customHeight="1"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</row>
    <row r="258" ht="15.75" customHeight="1"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</row>
    <row r="259" ht="15.75" customHeight="1"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</row>
    <row r="260" ht="15.75" customHeight="1"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</row>
    <row r="261" ht="15.75" customHeight="1"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</row>
    <row r="262" ht="15.75" customHeight="1"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</row>
    <row r="263" ht="15.75" customHeight="1"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</row>
    <row r="264" ht="15.75" customHeight="1"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</row>
    <row r="265" ht="15.75" customHeight="1"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</row>
    <row r="266" ht="15.75" customHeight="1"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</row>
    <row r="267" ht="15.75" customHeight="1"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</row>
    <row r="268" ht="15.75" customHeight="1"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</row>
    <row r="269" ht="15.75" customHeight="1"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</row>
    <row r="270" ht="15.75" customHeight="1"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</row>
    <row r="271" ht="15.75" customHeight="1"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</row>
    <row r="272" ht="15.75" customHeight="1"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</row>
    <row r="273" ht="15.75" customHeight="1"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</row>
    <row r="274" ht="15.75" customHeight="1"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</row>
    <row r="275" ht="15.75" customHeight="1"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</row>
    <row r="276" ht="15.75" customHeight="1"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</row>
    <row r="277" ht="15.75" customHeight="1"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</row>
    <row r="278" ht="15.75" customHeight="1"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</row>
    <row r="279" ht="15.75" customHeight="1"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</row>
    <row r="280" ht="15.75" customHeight="1"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</row>
    <row r="281" ht="15.75" customHeight="1"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</row>
    <row r="282" ht="15.75" customHeight="1"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</row>
    <row r="283" ht="15.75" customHeight="1"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</row>
    <row r="284" ht="15.75" customHeight="1"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</row>
    <row r="285" ht="15.75" customHeight="1"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</row>
    <row r="286" ht="15.75" customHeight="1"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</row>
    <row r="287" ht="15.75" customHeight="1"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</row>
    <row r="288" ht="15.75" customHeight="1"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</row>
    <row r="289" ht="15.75" customHeight="1"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</row>
    <row r="290" ht="15.75" customHeight="1"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</row>
    <row r="291" ht="15.75" customHeight="1"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</row>
    <row r="292" ht="15.75" customHeight="1"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</row>
    <row r="293" ht="15.75" customHeight="1"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</row>
    <row r="294" ht="15.75" customHeight="1"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</row>
    <row r="295" ht="15.75" customHeight="1"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</row>
    <row r="296" ht="15.75" customHeight="1"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</row>
    <row r="297" ht="15.75" customHeight="1"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</row>
    <row r="298" ht="15.75" customHeight="1"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</row>
    <row r="299" ht="15.75" customHeight="1"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</row>
    <row r="300" ht="15.75" customHeight="1"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Q1:S1"/>
    <mergeCell ref="T1:V1"/>
    <mergeCell ref="W1:Y1"/>
    <mergeCell ref="Z1:AB1"/>
    <mergeCell ref="AC1:AE1"/>
    <mergeCell ref="AF1:AH1"/>
    <mergeCell ref="AI1:AK1"/>
    <mergeCell ref="BG1:BI1"/>
    <mergeCell ref="BJ1:BL1"/>
    <mergeCell ref="BM1:BO1"/>
    <mergeCell ref="BP1:BR1"/>
    <mergeCell ref="BS1:BU1"/>
    <mergeCell ref="AL1:AN1"/>
    <mergeCell ref="AO1:AQ1"/>
    <mergeCell ref="AR1:AT1"/>
    <mergeCell ref="AU1:AW1"/>
    <mergeCell ref="AX1:AZ1"/>
    <mergeCell ref="BA1:BC1"/>
    <mergeCell ref="BD1:BF1"/>
  </mergeCells>
  <conditionalFormatting sqref="BW3:BW100">
    <cfRule type="containsText" dxfId="0" priority="1" operator="containsText" text="_">
      <formula>NOT(ISERROR(SEARCH(("_"),(BW3))))</formula>
    </cfRule>
  </conditionalFormatting>
  <conditionalFormatting sqref="CA1:CA1000">
    <cfRule type="cellIs" dxfId="1" priority="2" operator="greaterThanOrEqual">
      <formula>0.1</formula>
    </cfRule>
  </conditionalFormatting>
  <conditionalFormatting sqref="CA1:CA1000">
    <cfRule type="cellIs" dxfId="2" priority="3" operator="lessThanOrEqual">
      <formula>-0.1</formula>
    </cfRule>
  </conditionalFormatting>
  <conditionalFormatting sqref="BX1:BX1000">
    <cfRule type="containsText" dxfId="0" priority="4" operator="containsText" text="_">
      <formula>NOT(ISERROR(SEARCH(("_"),(BX1))))</formula>
    </cfRule>
  </conditionalFormatting>
  <conditionalFormatting sqref="BY1:BY1000">
    <cfRule type="containsText" dxfId="0" priority="5" operator="containsText" text="_">
      <formula>NOT(ISERROR(SEARCH(("_"),(BY1))))</formula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27.63"/>
    <col customWidth="1" min="2" max="2" width="14.3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38"/>
    <col customWidth="1" min="13" max="13" width="17.75"/>
    <col customWidth="1" min="16" max="16" width="14.38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38"/>
    <col customWidth="1" min="38" max="38" width="13.88"/>
    <col customWidth="1" min="40" max="40" width="14.38"/>
    <col customWidth="1" min="42" max="42" width="13.38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38"/>
    <col customWidth="1" min="67" max="67" width="22.38"/>
    <col customWidth="1" min="68" max="68" width="17.38"/>
    <col customWidth="1" min="69" max="69" width="23.38"/>
    <col customWidth="1" min="72" max="72" width="12.0"/>
    <col customWidth="1" min="73" max="73" width="21.13"/>
  </cols>
  <sheetData>
    <row r="1" ht="15.75" customHeight="1">
      <c r="A1" s="1" t="s">
        <v>0</v>
      </c>
      <c r="B1" s="1" t="s">
        <v>212</v>
      </c>
      <c r="C1" s="3" t="s">
        <v>2</v>
      </c>
      <c r="F1" s="3" t="s">
        <v>3</v>
      </c>
      <c r="I1" s="3" t="s">
        <v>4</v>
      </c>
      <c r="L1" s="3" t="s">
        <v>5</v>
      </c>
      <c r="O1" s="3" t="s">
        <v>6</v>
      </c>
      <c r="R1" s="3" t="s">
        <v>7</v>
      </c>
      <c r="U1" s="3" t="s">
        <v>8</v>
      </c>
      <c r="X1" s="3" t="s">
        <v>9</v>
      </c>
      <c r="AA1" s="3" t="s">
        <v>10</v>
      </c>
      <c r="AD1" s="3" t="s">
        <v>11</v>
      </c>
      <c r="AG1" s="3" t="s">
        <v>12</v>
      </c>
      <c r="AJ1" s="3" t="s">
        <v>13</v>
      </c>
      <c r="AM1" s="3" t="s">
        <v>14</v>
      </c>
      <c r="AP1" s="3" t="s">
        <v>15</v>
      </c>
      <c r="AS1" s="3" t="s">
        <v>16</v>
      </c>
      <c r="AV1" s="3" t="s">
        <v>17</v>
      </c>
      <c r="AY1" s="3" t="s">
        <v>18</v>
      </c>
      <c r="BB1" s="3" t="s">
        <v>19</v>
      </c>
      <c r="BE1" s="3" t="s">
        <v>20</v>
      </c>
      <c r="BH1" s="1"/>
      <c r="BJ1" s="1"/>
      <c r="BK1" s="1"/>
      <c r="BL1" s="1"/>
      <c r="BM1" s="1"/>
      <c r="BN1" s="1"/>
      <c r="BO1" s="1"/>
      <c r="BR1" s="1"/>
      <c r="BS1" s="1"/>
      <c r="BT1" s="1"/>
      <c r="BV1" s="1"/>
      <c r="BW1" s="1"/>
      <c r="BX1" s="1"/>
    </row>
    <row r="2" ht="15.75" customHeight="1">
      <c r="A2" s="1"/>
      <c r="B2" s="1"/>
      <c r="C2" s="1" t="s">
        <v>21</v>
      </c>
      <c r="D2" s="1" t="s">
        <v>22</v>
      </c>
      <c r="E2" s="4" t="s">
        <v>23</v>
      </c>
      <c r="F2" s="1" t="s">
        <v>24</v>
      </c>
      <c r="G2" s="1" t="s">
        <v>25</v>
      </c>
      <c r="H2" s="4" t="s">
        <v>26</v>
      </c>
      <c r="I2" s="1" t="s">
        <v>27</v>
      </c>
      <c r="J2" s="1" t="s">
        <v>28</v>
      </c>
      <c r="K2" s="5" t="s">
        <v>29</v>
      </c>
      <c r="L2" s="1" t="s">
        <v>30</v>
      </c>
      <c r="M2" s="1" t="s">
        <v>31</v>
      </c>
      <c r="N2" s="5" t="s">
        <v>32</v>
      </c>
      <c r="O2" s="1" t="s">
        <v>33</v>
      </c>
      <c r="P2" s="1" t="s">
        <v>34</v>
      </c>
      <c r="Q2" s="5" t="s">
        <v>35</v>
      </c>
      <c r="R2" s="1" t="s">
        <v>36</v>
      </c>
      <c r="S2" s="1" t="s">
        <v>37</v>
      </c>
      <c r="T2" s="5" t="s">
        <v>38</v>
      </c>
      <c r="U2" s="1" t="s">
        <v>39</v>
      </c>
      <c r="V2" s="1" t="s">
        <v>40</v>
      </c>
      <c r="W2" s="5" t="s">
        <v>41</v>
      </c>
      <c r="X2" s="1" t="s">
        <v>42</v>
      </c>
      <c r="Y2" s="1" t="s">
        <v>43</v>
      </c>
      <c r="Z2" s="5" t="s">
        <v>44</v>
      </c>
      <c r="AA2" s="1" t="s">
        <v>45</v>
      </c>
      <c r="AB2" s="1" t="s">
        <v>46</v>
      </c>
      <c r="AC2" s="5" t="s">
        <v>47</v>
      </c>
      <c r="AD2" s="1" t="s">
        <v>48</v>
      </c>
      <c r="AE2" s="1" t="s">
        <v>49</v>
      </c>
      <c r="AF2" s="5" t="s">
        <v>50</v>
      </c>
      <c r="AG2" s="1" t="s">
        <v>51</v>
      </c>
      <c r="AH2" s="1" t="s">
        <v>52</v>
      </c>
      <c r="AI2" s="5" t="s">
        <v>53</v>
      </c>
      <c r="AJ2" s="1" t="s">
        <v>54</v>
      </c>
      <c r="AK2" s="1" t="s">
        <v>55</v>
      </c>
      <c r="AL2" s="5" t="s">
        <v>56</v>
      </c>
      <c r="AM2" s="1" t="s">
        <v>57</v>
      </c>
      <c r="AN2" s="1" t="s">
        <v>58</v>
      </c>
      <c r="AO2" s="5" t="s">
        <v>59</v>
      </c>
      <c r="AP2" s="1" t="s">
        <v>60</v>
      </c>
      <c r="AQ2" s="1" t="s">
        <v>61</v>
      </c>
      <c r="AR2" s="5" t="s">
        <v>62</v>
      </c>
      <c r="AS2" s="1" t="s">
        <v>63</v>
      </c>
      <c r="AT2" s="1" t="s">
        <v>64</v>
      </c>
      <c r="AU2" s="5" t="s">
        <v>65</v>
      </c>
      <c r="AV2" s="1" t="s">
        <v>66</v>
      </c>
      <c r="AW2" s="1" t="s">
        <v>67</v>
      </c>
      <c r="AX2" s="5" t="s">
        <v>68</v>
      </c>
      <c r="AY2" s="1" t="s">
        <v>69</v>
      </c>
      <c r="AZ2" s="1" t="s">
        <v>70</v>
      </c>
      <c r="BA2" s="5" t="s">
        <v>71</v>
      </c>
      <c r="BB2" s="1" t="s">
        <v>72</v>
      </c>
      <c r="BC2" s="1" t="s">
        <v>73</v>
      </c>
      <c r="BD2" s="5" t="s">
        <v>74</v>
      </c>
      <c r="BE2" s="1" t="s">
        <v>75</v>
      </c>
      <c r="BF2" s="1" t="s">
        <v>76</v>
      </c>
      <c r="BG2" s="5" t="s">
        <v>77</v>
      </c>
      <c r="BH2" s="1"/>
      <c r="BI2" s="1" t="s">
        <v>213</v>
      </c>
      <c r="BJ2" s="1" t="s">
        <v>214</v>
      </c>
      <c r="BK2" s="1" t="s">
        <v>215</v>
      </c>
      <c r="BL2" s="1"/>
      <c r="BM2" s="1" t="s">
        <v>216</v>
      </c>
      <c r="BN2" s="1" t="s">
        <v>217</v>
      </c>
      <c r="BO2" s="1" t="s">
        <v>218</v>
      </c>
      <c r="BP2" s="1" t="s">
        <v>219</v>
      </c>
      <c r="BR2" s="1"/>
      <c r="BS2" s="1"/>
      <c r="BT2" s="1"/>
      <c r="BV2" s="1"/>
      <c r="BW2" s="1"/>
      <c r="BX2" s="1"/>
    </row>
    <row r="3" ht="15.75" customHeight="1">
      <c r="A3" s="1" t="s">
        <v>84</v>
      </c>
      <c r="B3" s="17">
        <v>1460.0</v>
      </c>
      <c r="C3" s="9">
        <v>0.614</v>
      </c>
      <c r="D3" s="9">
        <v>0.64</v>
      </c>
      <c r="E3" s="9">
        <v>0.58</v>
      </c>
      <c r="F3" s="9">
        <v>0.569999999</v>
      </c>
      <c r="G3" s="9">
        <v>0.569999993</v>
      </c>
      <c r="H3" s="9">
        <v>0.1</v>
      </c>
      <c r="I3" s="9">
        <v>0.57</v>
      </c>
      <c r="J3" s="9">
        <v>0.56</v>
      </c>
      <c r="K3" s="9">
        <v>0.56</v>
      </c>
      <c r="L3" s="9">
        <v>0.578000009</v>
      </c>
      <c r="M3" s="9">
        <v>0.6</v>
      </c>
      <c r="N3" s="9">
        <v>0.59</v>
      </c>
      <c r="O3" s="9">
        <v>0.608</v>
      </c>
      <c r="P3" s="9">
        <v>0.62</v>
      </c>
      <c r="Q3" s="9">
        <v>0.76</v>
      </c>
      <c r="R3" s="9">
        <v>0.604000002</v>
      </c>
      <c r="S3" s="9">
        <v>0.62</v>
      </c>
      <c r="T3" s="9">
        <v>0.72</v>
      </c>
      <c r="U3" s="9">
        <v>0.494</v>
      </c>
      <c r="V3" s="9">
        <v>0.5</v>
      </c>
      <c r="W3" s="9">
        <v>0.55</v>
      </c>
      <c r="X3" s="9">
        <v>0.45</v>
      </c>
      <c r="Y3" s="9">
        <v>0.42</v>
      </c>
      <c r="Z3" s="9">
        <v>0.4</v>
      </c>
      <c r="AA3" s="9">
        <v>0.549999988</v>
      </c>
      <c r="AB3" s="9">
        <v>0.53</v>
      </c>
      <c r="AC3" s="9">
        <v>0.47</v>
      </c>
      <c r="AD3" s="9">
        <v>0.588000011</v>
      </c>
      <c r="AE3" s="9">
        <v>0.61</v>
      </c>
      <c r="AF3" s="9">
        <v>0.66</v>
      </c>
      <c r="AG3" s="9">
        <v>0.462</v>
      </c>
      <c r="AH3" s="9">
        <v>0.48</v>
      </c>
      <c r="AI3" s="9">
        <v>0.5</v>
      </c>
      <c r="AJ3" s="9">
        <v>0.466</v>
      </c>
      <c r="AK3" s="9">
        <v>0.47</v>
      </c>
      <c r="AL3" s="9">
        <v>0.38</v>
      </c>
      <c r="AM3" s="9">
        <v>0.63</v>
      </c>
      <c r="AN3" s="9">
        <v>0.65</v>
      </c>
      <c r="AO3" s="9">
        <v>0.62</v>
      </c>
      <c r="AP3" s="9">
        <v>0.636000001</v>
      </c>
      <c r="AQ3" s="9">
        <v>0.64</v>
      </c>
      <c r="AR3" s="9">
        <v>0.73</v>
      </c>
      <c r="AS3" s="9">
        <v>0.416</v>
      </c>
      <c r="AT3" s="9">
        <v>0.43</v>
      </c>
      <c r="AU3" s="9">
        <v>0.3</v>
      </c>
      <c r="AV3" s="9">
        <v>0.36</v>
      </c>
      <c r="AW3" s="9">
        <v>0.35</v>
      </c>
      <c r="AX3" s="9">
        <v>0.49</v>
      </c>
      <c r="AY3" s="9">
        <v>0.654</v>
      </c>
      <c r="AZ3" s="9">
        <v>0.65</v>
      </c>
      <c r="BA3" s="9">
        <v>0.68</v>
      </c>
      <c r="BB3" s="9">
        <v>0.226</v>
      </c>
      <c r="BC3" s="9">
        <v>0.2</v>
      </c>
      <c r="BD3" s="9">
        <v>0.22</v>
      </c>
      <c r="BE3" s="10" t="s">
        <v>85</v>
      </c>
      <c r="BF3" s="10" t="s">
        <v>85</v>
      </c>
      <c r="BG3" s="9">
        <v>0.46</v>
      </c>
      <c r="BH3" s="6"/>
      <c r="BI3" s="6" t="str">
        <f t="shared" ref="BI3:BI100" si="1">INDEX($C$2:$BG$2,0,MATCH(MAX(C3:BG3),C3:BG3,0))</f>
        <v>8B_One_Acc</v>
      </c>
      <c r="BJ3" s="6" t="str">
        <f t="shared" ref="BJ3:BJ100" si="2">INDEX($C$2:$BG$2,0,MATCH(LARGE(C3:BG3,2),C3:BG3,0))</f>
        <v>12BN_One_Acc</v>
      </c>
      <c r="BK3" s="6" t="str">
        <f t="shared" ref="BK3:BK100" si="3">INDEX($C$2:$BG$2,0,MATCH(LARGE(C3:BG3,3),C3:BG3,0))</f>
        <v>8BN_One_Acc</v>
      </c>
      <c r="BL3" s="6"/>
      <c r="BM3" s="6">
        <f>COUNTA(BI3:BK100)</f>
        <v>294</v>
      </c>
      <c r="BN3" s="6">
        <f>COUNTIF(BI3:BK100,"*De*")</f>
        <v>31</v>
      </c>
      <c r="BO3" s="6">
        <f>COUNTIF(BI3:BK100,"*V*")</f>
        <v>137</v>
      </c>
      <c r="BP3" s="6">
        <f>MINUS(BM3,SUM(BN3,BO3))</f>
        <v>126</v>
      </c>
      <c r="BQ3" s="6"/>
      <c r="BR3" s="6"/>
      <c r="BS3" s="6"/>
      <c r="BT3" s="6"/>
      <c r="BU3" s="6"/>
      <c r="BV3" s="6"/>
      <c r="BW3" s="6"/>
      <c r="BX3" s="6"/>
    </row>
    <row r="4" ht="15.75" customHeight="1">
      <c r="A4" s="1" t="s">
        <v>89</v>
      </c>
      <c r="B4" s="17">
        <v>176.0</v>
      </c>
      <c r="C4" s="9">
        <v>0.30179</v>
      </c>
      <c r="D4" s="9">
        <v>0.29156</v>
      </c>
      <c r="E4" s="9">
        <v>0.283887</v>
      </c>
      <c r="F4" s="9">
        <v>0.264450124</v>
      </c>
      <c r="G4" s="9">
        <v>0.319693089</v>
      </c>
      <c r="H4" s="9">
        <v>0.02046</v>
      </c>
      <c r="I4" s="9">
        <v>0.195396</v>
      </c>
      <c r="J4" s="9">
        <v>0.186701</v>
      </c>
      <c r="K4" s="9">
        <v>0.350384</v>
      </c>
      <c r="L4" s="9">
        <v>0.128900258</v>
      </c>
      <c r="M4" s="9">
        <v>0.074169</v>
      </c>
      <c r="N4" s="9">
        <v>0.161125</v>
      </c>
      <c r="O4" s="9">
        <v>0.246036</v>
      </c>
      <c r="P4" s="9">
        <v>0.232737</v>
      </c>
      <c r="Q4" s="9">
        <v>0.365729</v>
      </c>
      <c r="R4" s="9">
        <v>0.264450133</v>
      </c>
      <c r="S4" s="9">
        <v>0.248082</v>
      </c>
      <c r="T4" s="9">
        <v>0.296675</v>
      </c>
      <c r="U4" s="9">
        <v>0.163171</v>
      </c>
      <c r="V4" s="9">
        <v>0.199488</v>
      </c>
      <c r="W4" s="9">
        <v>0.30179</v>
      </c>
      <c r="X4" s="9">
        <v>0.180563</v>
      </c>
      <c r="Y4" s="9">
        <v>0.219949</v>
      </c>
      <c r="Z4" s="9">
        <v>0.242967</v>
      </c>
      <c r="AA4" s="9">
        <v>0.246035802</v>
      </c>
      <c r="AB4" s="9">
        <v>0.237852</v>
      </c>
      <c r="AC4" s="9">
        <v>0.265985</v>
      </c>
      <c r="AD4" s="9">
        <v>0.265473145</v>
      </c>
      <c r="AE4" s="9">
        <v>0.237852</v>
      </c>
      <c r="AF4" s="9">
        <v>0.409207</v>
      </c>
      <c r="AG4" s="9">
        <v>0.105882</v>
      </c>
      <c r="AH4" s="9">
        <v>0.069054</v>
      </c>
      <c r="AI4" s="9">
        <v>0.332481</v>
      </c>
      <c r="AJ4" s="9">
        <v>0.13913</v>
      </c>
      <c r="AK4" s="9">
        <v>0.150895</v>
      </c>
      <c r="AL4" s="9">
        <v>0.28133</v>
      </c>
      <c r="AM4" s="9">
        <v>0.285934</v>
      </c>
      <c r="AN4" s="9">
        <v>0.31202</v>
      </c>
      <c r="AO4" s="9">
        <v>0.235294</v>
      </c>
      <c r="AP4" s="9">
        <v>0.276726341</v>
      </c>
      <c r="AQ4" s="9">
        <v>0.317136</v>
      </c>
      <c r="AR4" s="9">
        <v>0.381074</v>
      </c>
      <c r="AS4" s="9">
        <v>0.070077</v>
      </c>
      <c r="AT4" s="9">
        <v>0.063939</v>
      </c>
      <c r="AU4" s="9">
        <v>0.084399</v>
      </c>
      <c r="AV4" s="9">
        <v>0.142711</v>
      </c>
      <c r="AW4" s="9">
        <v>0.140665</v>
      </c>
      <c r="AX4" s="9">
        <v>0.120205</v>
      </c>
      <c r="AY4" s="9">
        <v>0.190793</v>
      </c>
      <c r="AZ4" s="9">
        <v>0.16624</v>
      </c>
      <c r="BA4" s="9">
        <v>0.263427</v>
      </c>
      <c r="BB4" s="9">
        <v>0.175448</v>
      </c>
      <c r="BC4" s="9">
        <v>0.176471</v>
      </c>
      <c r="BD4" s="9">
        <v>0.168798</v>
      </c>
      <c r="BE4" s="10" t="s">
        <v>85</v>
      </c>
      <c r="BF4" s="10" t="s">
        <v>85</v>
      </c>
      <c r="BG4" s="9">
        <v>0.16624</v>
      </c>
      <c r="BH4" s="6"/>
      <c r="BI4" s="6" t="str">
        <f t="shared" si="1"/>
        <v>10BN_One_Acc</v>
      </c>
      <c r="BJ4" s="6" t="str">
        <f t="shared" si="2"/>
        <v>12BN_One_Acc</v>
      </c>
      <c r="BK4" s="6" t="str">
        <f t="shared" si="3"/>
        <v>8B_One_Acc</v>
      </c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</row>
    <row r="5" ht="15.75" customHeight="1">
      <c r="A5" s="1" t="s">
        <v>91</v>
      </c>
      <c r="B5" s="17">
        <v>251.0</v>
      </c>
      <c r="C5" s="9">
        <v>0.617143</v>
      </c>
      <c r="D5" s="9">
        <v>0.634286</v>
      </c>
      <c r="E5" s="9">
        <v>0.617143</v>
      </c>
      <c r="F5" s="9">
        <v>0.629714286</v>
      </c>
      <c r="G5" s="9">
        <v>0.617142856</v>
      </c>
      <c r="H5" s="9">
        <v>0.302857</v>
      </c>
      <c r="I5" s="9">
        <v>0.666286</v>
      </c>
      <c r="J5" s="9">
        <v>0.668571</v>
      </c>
      <c r="K5" s="9">
        <v>0.731429</v>
      </c>
      <c r="L5" s="9">
        <v>0.67428571</v>
      </c>
      <c r="M5" s="9">
        <v>0.68</v>
      </c>
      <c r="N5" s="9">
        <v>0.725714</v>
      </c>
      <c r="O5" s="9">
        <v>0.650286</v>
      </c>
      <c r="P5" s="9">
        <v>0.645714</v>
      </c>
      <c r="Q5" s="9">
        <v>0.657143</v>
      </c>
      <c r="R5" s="9">
        <v>0.656000006</v>
      </c>
      <c r="S5" s="9">
        <v>0.64</v>
      </c>
      <c r="T5" s="9">
        <v>0.725714</v>
      </c>
      <c r="U5" s="9">
        <v>0.661714</v>
      </c>
      <c r="V5" s="9">
        <v>0.68</v>
      </c>
      <c r="W5" s="9">
        <v>0.68</v>
      </c>
      <c r="X5" s="9">
        <v>0.689143</v>
      </c>
      <c r="Y5" s="9">
        <v>0.697143</v>
      </c>
      <c r="Z5" s="9">
        <v>0.674286</v>
      </c>
      <c r="AA5" s="9">
        <v>0.672000015</v>
      </c>
      <c r="AB5" s="9">
        <v>0.708571</v>
      </c>
      <c r="AC5" s="9">
        <v>0.737143</v>
      </c>
      <c r="AD5" s="9">
        <v>0.677714288</v>
      </c>
      <c r="AE5" s="9">
        <v>0.68</v>
      </c>
      <c r="AF5" s="9">
        <v>0.742857</v>
      </c>
      <c r="AG5" s="9">
        <v>0.630857</v>
      </c>
      <c r="AH5" s="9">
        <v>0.6</v>
      </c>
      <c r="AI5" s="9">
        <v>0.685714</v>
      </c>
      <c r="AJ5" s="9">
        <v>0.669714</v>
      </c>
      <c r="AK5" s="9">
        <v>0.691429</v>
      </c>
      <c r="AL5" s="9">
        <v>0.64</v>
      </c>
      <c r="AM5" s="9">
        <v>0.714286</v>
      </c>
      <c r="AN5" s="9">
        <v>0.708571</v>
      </c>
      <c r="AO5" s="9">
        <v>0.731429</v>
      </c>
      <c r="AP5" s="9" t="s">
        <v>85</v>
      </c>
      <c r="AQ5" s="9" t="s">
        <v>85</v>
      </c>
      <c r="AR5" s="1" t="s">
        <v>85</v>
      </c>
      <c r="AS5" s="9">
        <v>0.694857</v>
      </c>
      <c r="AT5" s="9">
        <v>0.714286</v>
      </c>
      <c r="AU5" s="9">
        <v>0.72</v>
      </c>
      <c r="AV5" s="9">
        <v>0.706286</v>
      </c>
      <c r="AW5" s="9">
        <v>0.737143</v>
      </c>
      <c r="AX5" s="9">
        <v>0.754286</v>
      </c>
      <c r="AY5" s="9">
        <v>0.690286</v>
      </c>
      <c r="AZ5" s="9">
        <v>0.662857</v>
      </c>
      <c r="BA5" s="9">
        <v>0.788571</v>
      </c>
      <c r="BB5" s="9">
        <v>0.752</v>
      </c>
      <c r="BC5" s="9">
        <v>0.748571</v>
      </c>
      <c r="BD5" s="9">
        <v>0.765714</v>
      </c>
      <c r="BE5" s="9">
        <v>0.643429</v>
      </c>
      <c r="BF5" s="9">
        <v>0.634286</v>
      </c>
      <c r="BG5" s="9">
        <v>0.582857</v>
      </c>
      <c r="BH5" s="6"/>
      <c r="BI5" s="6" t="str">
        <f t="shared" si="1"/>
        <v>20B_One_Acc</v>
      </c>
      <c r="BJ5" s="6" t="str">
        <f t="shared" si="2"/>
        <v>20V_One_Acc</v>
      </c>
      <c r="BK5" s="6" t="str">
        <f t="shared" si="3"/>
        <v>12VB_One_Acc</v>
      </c>
      <c r="BL5" s="6"/>
      <c r="BP5" s="6"/>
      <c r="BQ5" s="6"/>
      <c r="BR5" s="6"/>
      <c r="BS5" s="6"/>
      <c r="BT5" s="6"/>
      <c r="BU5" s="6"/>
      <c r="BV5" s="6"/>
      <c r="BW5" s="6"/>
      <c r="BX5" s="6"/>
    </row>
    <row r="6" ht="15.75" customHeight="1">
      <c r="A6" s="1" t="s">
        <v>93</v>
      </c>
      <c r="B6" s="17">
        <v>470.0</v>
      </c>
      <c r="C6" s="9">
        <v>0.353333</v>
      </c>
      <c r="D6" s="9">
        <v>0.433333</v>
      </c>
      <c r="E6" s="9">
        <v>0.5</v>
      </c>
      <c r="F6" s="9">
        <v>0.493333346</v>
      </c>
      <c r="G6" s="9">
        <v>0.466666669</v>
      </c>
      <c r="H6" s="9">
        <v>0.233333</v>
      </c>
      <c r="I6" s="9">
        <v>0.333333</v>
      </c>
      <c r="J6" s="9">
        <v>0.366667</v>
      </c>
      <c r="K6" s="9">
        <v>0.433333</v>
      </c>
      <c r="L6" s="9">
        <v>0.326666677</v>
      </c>
      <c r="M6" s="9">
        <v>0.333333</v>
      </c>
      <c r="N6" s="9">
        <v>0.366667</v>
      </c>
      <c r="O6" s="9">
        <v>0.5</v>
      </c>
      <c r="P6" s="9">
        <v>0.5</v>
      </c>
      <c r="Q6" s="9">
        <v>0.533333</v>
      </c>
      <c r="R6" s="9">
        <v>0.453333339</v>
      </c>
      <c r="S6" s="9">
        <v>0.5</v>
      </c>
      <c r="T6" s="9">
        <v>0.5</v>
      </c>
      <c r="U6" s="9">
        <v>0.393333</v>
      </c>
      <c r="V6" s="9">
        <v>0.4</v>
      </c>
      <c r="W6" s="9">
        <v>0.366667</v>
      </c>
      <c r="X6" s="9">
        <v>0.44</v>
      </c>
      <c r="Y6" s="9">
        <v>0.466667</v>
      </c>
      <c r="Z6" s="9">
        <v>0.533333</v>
      </c>
      <c r="AA6" s="9">
        <v>0.44666667</v>
      </c>
      <c r="AB6" s="9">
        <v>0.5</v>
      </c>
      <c r="AC6" s="9">
        <v>0.6</v>
      </c>
      <c r="AD6" s="9">
        <v>0.366666669</v>
      </c>
      <c r="AE6" s="9">
        <v>0.4</v>
      </c>
      <c r="AF6" s="9">
        <v>0.566667</v>
      </c>
      <c r="AG6" s="9">
        <v>0.48</v>
      </c>
      <c r="AH6" s="9">
        <v>0.466667</v>
      </c>
      <c r="AI6" s="9">
        <v>0.466667</v>
      </c>
      <c r="AJ6" s="9">
        <v>0.426667</v>
      </c>
      <c r="AK6" s="9">
        <v>0.433333</v>
      </c>
      <c r="AL6" s="9">
        <v>0.433333</v>
      </c>
      <c r="AM6" s="9">
        <v>0.446667</v>
      </c>
      <c r="AN6" s="9">
        <v>0.433333</v>
      </c>
      <c r="AO6" s="9">
        <v>0.433333</v>
      </c>
      <c r="AP6" s="9">
        <v>0.43333334</v>
      </c>
      <c r="AQ6" s="9">
        <v>0.466667</v>
      </c>
      <c r="AR6" s="9">
        <v>0.466667</v>
      </c>
      <c r="AS6" s="9">
        <v>0.36</v>
      </c>
      <c r="AT6" s="9">
        <v>0.4</v>
      </c>
      <c r="AU6" s="9">
        <v>0.433333</v>
      </c>
      <c r="AV6" s="9">
        <v>0.38</v>
      </c>
      <c r="AW6" s="9">
        <v>0.4</v>
      </c>
      <c r="AX6" s="9">
        <v>0.366667</v>
      </c>
      <c r="AY6" s="9">
        <v>0.426667</v>
      </c>
      <c r="AZ6" s="9">
        <v>0.5</v>
      </c>
      <c r="BA6" s="9">
        <v>0.566667</v>
      </c>
      <c r="BB6" s="9">
        <v>0.393333</v>
      </c>
      <c r="BC6" s="9">
        <v>0.4</v>
      </c>
      <c r="BD6" s="9">
        <v>0.5</v>
      </c>
      <c r="BE6" s="9">
        <v>0.466667</v>
      </c>
      <c r="BF6" s="9">
        <v>0.466667</v>
      </c>
      <c r="BG6" s="9">
        <v>0.533333</v>
      </c>
      <c r="BH6" s="6"/>
      <c r="BI6" s="6" t="str">
        <f t="shared" si="1"/>
        <v>10B_One_Acc</v>
      </c>
      <c r="BJ6" s="6" t="str">
        <f t="shared" si="2"/>
        <v>10BN_One_Acc</v>
      </c>
      <c r="BK6" s="6" t="str">
        <f t="shared" si="3"/>
        <v>10BN_One_Acc</v>
      </c>
      <c r="BL6" s="6"/>
      <c r="BM6" s="1" t="s">
        <v>213</v>
      </c>
      <c r="BN6" s="6" t="s">
        <v>220</v>
      </c>
      <c r="BO6" s="6"/>
      <c r="BP6" s="6"/>
      <c r="BQ6" s="6"/>
      <c r="BR6" s="6"/>
      <c r="BS6" s="6"/>
      <c r="BT6" s="6"/>
      <c r="BU6" s="6"/>
      <c r="BV6" s="6"/>
      <c r="BW6" s="6"/>
      <c r="BX6" s="6"/>
    </row>
    <row r="7" ht="15.75" customHeight="1">
      <c r="A7" s="1" t="s">
        <v>95</v>
      </c>
      <c r="B7" s="17">
        <v>512.0</v>
      </c>
      <c r="C7" s="9">
        <v>0.68</v>
      </c>
      <c r="D7" s="9">
        <v>0.7</v>
      </c>
      <c r="E7" s="9">
        <v>0.85</v>
      </c>
      <c r="F7" s="9">
        <v>0.830000019</v>
      </c>
      <c r="G7" s="9">
        <v>0.850000024</v>
      </c>
      <c r="H7" s="9">
        <v>0.5</v>
      </c>
      <c r="I7" s="9">
        <v>0.71</v>
      </c>
      <c r="J7" s="9">
        <v>0.7</v>
      </c>
      <c r="K7" s="9">
        <v>0.9</v>
      </c>
      <c r="L7" s="9">
        <v>0.719999993</v>
      </c>
      <c r="M7" s="9">
        <v>0.75</v>
      </c>
      <c r="N7" s="9">
        <v>0.9</v>
      </c>
      <c r="O7" s="9">
        <v>0.76</v>
      </c>
      <c r="P7" s="9">
        <v>0.8</v>
      </c>
      <c r="Q7" s="9">
        <v>0.85</v>
      </c>
      <c r="R7" s="9">
        <v>0.810000002</v>
      </c>
      <c r="S7" s="9">
        <v>0.8</v>
      </c>
      <c r="T7" s="9">
        <v>0.85</v>
      </c>
      <c r="U7" s="9">
        <v>0.65</v>
      </c>
      <c r="V7" s="9">
        <v>0.65</v>
      </c>
      <c r="W7" s="9">
        <v>0.6</v>
      </c>
      <c r="X7" s="9">
        <v>0.63</v>
      </c>
      <c r="Y7" s="9">
        <v>0.65</v>
      </c>
      <c r="Z7" s="9">
        <v>0.6</v>
      </c>
      <c r="AA7" s="9">
        <v>0.75</v>
      </c>
      <c r="AB7" s="9">
        <v>0.75</v>
      </c>
      <c r="AC7" s="9">
        <v>0.9</v>
      </c>
      <c r="AD7" s="9">
        <v>0.639999998</v>
      </c>
      <c r="AE7" s="9">
        <v>0.5</v>
      </c>
      <c r="AF7" s="9">
        <v>0.9</v>
      </c>
      <c r="AG7" s="9">
        <v>0.65</v>
      </c>
      <c r="AH7" s="9">
        <v>0.65</v>
      </c>
      <c r="AI7" s="9">
        <v>0.75</v>
      </c>
      <c r="AJ7" s="9">
        <v>0.63</v>
      </c>
      <c r="AK7" s="9">
        <v>0.65</v>
      </c>
      <c r="AL7" s="9">
        <v>0.6</v>
      </c>
      <c r="AM7" s="9">
        <v>0.64</v>
      </c>
      <c r="AN7" s="9">
        <v>0.55</v>
      </c>
      <c r="AO7" s="9">
        <v>0.8</v>
      </c>
      <c r="AP7" s="9">
        <v>0.7</v>
      </c>
      <c r="AQ7" s="9">
        <v>0.75</v>
      </c>
      <c r="AR7" s="9">
        <v>0.7</v>
      </c>
      <c r="AS7" s="9">
        <v>0.74</v>
      </c>
      <c r="AT7" s="9">
        <v>0.8</v>
      </c>
      <c r="AU7" s="9">
        <v>0.85</v>
      </c>
      <c r="AV7" s="9">
        <v>0.69</v>
      </c>
      <c r="AW7" s="9">
        <v>0.8</v>
      </c>
      <c r="AX7" s="9">
        <v>0.85</v>
      </c>
      <c r="AY7" s="9">
        <v>0.82</v>
      </c>
      <c r="AZ7" s="9">
        <v>0.85</v>
      </c>
      <c r="BA7" s="9">
        <v>0.8</v>
      </c>
      <c r="BB7" s="9">
        <v>0.9</v>
      </c>
      <c r="BC7" s="9">
        <v>0.9</v>
      </c>
      <c r="BD7" s="9">
        <v>0.9</v>
      </c>
      <c r="BE7" s="9">
        <v>0.62</v>
      </c>
      <c r="BF7" s="9">
        <v>0.55</v>
      </c>
      <c r="BG7" s="9">
        <v>0.75</v>
      </c>
      <c r="BH7" s="6"/>
      <c r="BI7" s="6" t="str">
        <f t="shared" si="1"/>
        <v>5V_One_Acc</v>
      </c>
      <c r="BJ7" s="6" t="str">
        <f t="shared" si="2"/>
        <v>5V_One_Acc</v>
      </c>
      <c r="BK7" s="6" t="str">
        <f t="shared" si="3"/>
        <v>5V_One_Acc</v>
      </c>
      <c r="BL7" s="6"/>
      <c r="BN7" s="6" t="s">
        <v>221</v>
      </c>
      <c r="BO7" s="6" t="s">
        <v>222</v>
      </c>
      <c r="BP7" s="6" t="s">
        <v>223</v>
      </c>
      <c r="BQ7" s="6" t="s">
        <v>224</v>
      </c>
      <c r="BR7" s="6" t="s">
        <v>225</v>
      </c>
      <c r="BS7" s="6"/>
      <c r="BT7" s="6"/>
      <c r="BU7" s="6"/>
      <c r="BV7" s="6"/>
      <c r="BW7" s="6"/>
      <c r="BX7" s="6"/>
    </row>
    <row r="8" ht="15.75" customHeight="1">
      <c r="A8" s="1" t="s">
        <v>97</v>
      </c>
      <c r="B8" s="17">
        <v>512.0</v>
      </c>
      <c r="C8" s="9">
        <v>0.68</v>
      </c>
      <c r="D8" s="9">
        <v>0.7</v>
      </c>
      <c r="E8" s="9">
        <v>0.75</v>
      </c>
      <c r="F8" s="9">
        <v>0.6</v>
      </c>
      <c r="G8" s="9">
        <v>0.600000024</v>
      </c>
      <c r="H8" s="9">
        <v>0.5</v>
      </c>
      <c r="I8" s="9">
        <v>0.75</v>
      </c>
      <c r="J8" s="9">
        <v>0.8</v>
      </c>
      <c r="K8" s="9">
        <v>0.8</v>
      </c>
      <c r="L8" s="9">
        <v>0.7</v>
      </c>
      <c r="M8" s="9">
        <v>0.7</v>
      </c>
      <c r="N8" s="9">
        <v>0.85</v>
      </c>
      <c r="O8" s="9">
        <v>0.58</v>
      </c>
      <c r="P8" s="9">
        <v>0.55</v>
      </c>
      <c r="Q8" s="9">
        <v>0.6</v>
      </c>
      <c r="R8" s="9">
        <v>0.560000002</v>
      </c>
      <c r="S8" s="9">
        <v>0.55</v>
      </c>
      <c r="T8" s="9">
        <v>0.75</v>
      </c>
      <c r="U8" s="9">
        <v>0.66</v>
      </c>
      <c r="V8" s="9">
        <v>0.7</v>
      </c>
      <c r="W8" s="9">
        <v>0.7</v>
      </c>
      <c r="X8" s="9">
        <v>0.7</v>
      </c>
      <c r="Y8" s="9">
        <v>0.7</v>
      </c>
      <c r="Z8" s="9">
        <v>0.75</v>
      </c>
      <c r="AA8" s="9">
        <v>0.679999995</v>
      </c>
      <c r="AB8" s="9">
        <v>0.7</v>
      </c>
      <c r="AC8" s="9">
        <v>0.65</v>
      </c>
      <c r="AD8" s="9">
        <v>0.719999993</v>
      </c>
      <c r="AE8" s="9">
        <v>0.75</v>
      </c>
      <c r="AF8" s="9">
        <v>0.8</v>
      </c>
      <c r="AG8" s="9">
        <v>0.72</v>
      </c>
      <c r="AH8" s="9">
        <v>0.85</v>
      </c>
      <c r="AI8" s="9">
        <v>0.9</v>
      </c>
      <c r="AJ8" s="9">
        <v>0.79</v>
      </c>
      <c r="AK8" s="9">
        <v>0.8</v>
      </c>
      <c r="AL8" s="9">
        <v>0.9</v>
      </c>
      <c r="AM8" s="9">
        <v>0.61</v>
      </c>
      <c r="AN8" s="9">
        <v>0.6</v>
      </c>
      <c r="AO8" s="9">
        <v>0.7</v>
      </c>
      <c r="AP8" s="9">
        <v>0.60999999</v>
      </c>
      <c r="AQ8" s="9">
        <v>0.65</v>
      </c>
      <c r="AR8" s="9">
        <v>0.7</v>
      </c>
      <c r="AS8" s="9">
        <v>0.67</v>
      </c>
      <c r="AT8" s="9">
        <v>0.7</v>
      </c>
      <c r="AU8" s="9">
        <v>0.75</v>
      </c>
      <c r="AV8" s="9">
        <v>0.68</v>
      </c>
      <c r="AW8" s="9">
        <v>0.7</v>
      </c>
      <c r="AX8" s="9">
        <v>0.75</v>
      </c>
      <c r="AY8" s="9">
        <v>0.64</v>
      </c>
      <c r="AZ8" s="9">
        <v>0.65</v>
      </c>
      <c r="BA8" s="9">
        <v>0.75</v>
      </c>
      <c r="BB8" s="9">
        <v>0.63</v>
      </c>
      <c r="BC8" s="9">
        <v>0.65</v>
      </c>
      <c r="BD8" s="9">
        <v>0.7</v>
      </c>
      <c r="BE8" s="9">
        <v>0.56</v>
      </c>
      <c r="BF8" s="9">
        <v>0.55</v>
      </c>
      <c r="BG8" s="9">
        <v>0.55</v>
      </c>
      <c r="BH8" s="6"/>
      <c r="BI8" s="6" t="str">
        <f t="shared" si="1"/>
        <v>10V_One_Acc</v>
      </c>
      <c r="BJ8" s="6" t="str">
        <f t="shared" si="2"/>
        <v>10V_One_Acc</v>
      </c>
      <c r="BK8" s="6" t="str">
        <f t="shared" si="3"/>
        <v>5VB_One_Acc</v>
      </c>
      <c r="BL8" s="6"/>
      <c r="BM8" s="6"/>
      <c r="BN8" s="6">
        <f>COUNTIF(B3:B100,"&lt;=100")</f>
        <v>22</v>
      </c>
      <c r="BO8" s="6">
        <f>COUNTIFS(B3:B100,"&gt;100",B3:B100,"&lt;=200")</f>
        <v>17</v>
      </c>
      <c r="BP8" s="6">
        <f>COUNTIFS(B3:B100,"&gt;200",B3:B100,"&lt;500")</f>
        <v>21</v>
      </c>
      <c r="BQ8" s="6">
        <f>COUNTIFS(B3:B100,"&gt;=500",B3:B100,"&lt;1000")</f>
        <v>20</v>
      </c>
      <c r="BR8" s="6">
        <f>COUNTIF(B3:B100,"&gt;=1000")</f>
        <v>18</v>
      </c>
      <c r="BS8" s="6"/>
      <c r="BT8" s="6"/>
      <c r="BU8" s="13"/>
      <c r="BV8" s="6"/>
      <c r="BW8" s="6"/>
      <c r="BX8" s="6"/>
    </row>
    <row r="9" ht="15.75" customHeight="1">
      <c r="A9" s="1" t="s">
        <v>98</v>
      </c>
      <c r="B9" s="17">
        <v>128.0</v>
      </c>
      <c r="C9" s="9">
        <v>0.798667</v>
      </c>
      <c r="D9" s="9">
        <v>0.886667</v>
      </c>
      <c r="E9" s="9">
        <v>0.9</v>
      </c>
      <c r="F9" s="9">
        <v>0.874666655</v>
      </c>
      <c r="G9" s="9">
        <v>0.886666656</v>
      </c>
      <c r="H9" s="9">
        <v>0.346667</v>
      </c>
      <c r="I9" s="9">
        <v>0.949333</v>
      </c>
      <c r="J9" s="9">
        <v>0.953333</v>
      </c>
      <c r="K9" s="9">
        <v>0.966667</v>
      </c>
      <c r="L9" s="9">
        <v>0.961333323</v>
      </c>
      <c r="M9" s="9">
        <v>0.96</v>
      </c>
      <c r="N9" s="9">
        <v>0.986667</v>
      </c>
      <c r="O9" s="9">
        <v>0.784</v>
      </c>
      <c r="P9" s="9">
        <v>0.88</v>
      </c>
      <c r="Q9" s="9">
        <v>0.9</v>
      </c>
      <c r="R9" s="9">
        <v>0.886666667</v>
      </c>
      <c r="S9" s="9">
        <v>0.9</v>
      </c>
      <c r="T9" s="9">
        <v>0.906667</v>
      </c>
      <c r="U9" s="9">
        <v>0.901333</v>
      </c>
      <c r="V9" s="9">
        <v>0.92</v>
      </c>
      <c r="W9" s="9">
        <v>0.973333</v>
      </c>
      <c r="X9" s="9">
        <v>0.938667</v>
      </c>
      <c r="Y9" s="9">
        <v>0.953333</v>
      </c>
      <c r="Z9" s="9">
        <v>0.96</v>
      </c>
      <c r="AA9" s="9">
        <v>0.881333327</v>
      </c>
      <c r="AB9" s="9">
        <v>0.886667</v>
      </c>
      <c r="AC9" s="9">
        <v>0.886667</v>
      </c>
      <c r="AD9" s="9">
        <v>0.846666658</v>
      </c>
      <c r="AE9" s="9">
        <v>0.893333</v>
      </c>
      <c r="AF9" s="9">
        <v>0.9</v>
      </c>
      <c r="AG9" s="9">
        <v>0.925333</v>
      </c>
      <c r="AH9" s="9">
        <v>0.933333</v>
      </c>
      <c r="AI9" s="9">
        <v>0.946667</v>
      </c>
      <c r="AJ9" s="9">
        <v>0.918667</v>
      </c>
      <c r="AK9" s="9">
        <v>0.92</v>
      </c>
      <c r="AL9" s="9">
        <v>0.9</v>
      </c>
      <c r="AM9" s="9">
        <v>0.802667</v>
      </c>
      <c r="AN9" s="9">
        <v>0.873333</v>
      </c>
      <c r="AO9" s="9">
        <v>0.9</v>
      </c>
      <c r="AP9" s="9">
        <v>0.876000011</v>
      </c>
      <c r="AQ9" s="9">
        <v>0.893333</v>
      </c>
      <c r="AR9" s="9">
        <v>0.9</v>
      </c>
      <c r="AS9" s="9">
        <v>0.88</v>
      </c>
      <c r="AT9" s="9">
        <v>0.866667</v>
      </c>
      <c r="AU9" s="9">
        <v>0.893333</v>
      </c>
      <c r="AV9" s="9">
        <v>0.901333</v>
      </c>
      <c r="AW9" s="9">
        <v>0.906667</v>
      </c>
      <c r="AX9" s="9">
        <v>0.893333</v>
      </c>
      <c r="AY9" s="9">
        <v>0.829333</v>
      </c>
      <c r="AZ9" s="9">
        <v>0.833333</v>
      </c>
      <c r="BA9" s="9">
        <v>0.86</v>
      </c>
      <c r="BB9" s="9">
        <v>0.92</v>
      </c>
      <c r="BC9" s="9">
        <v>0.926667</v>
      </c>
      <c r="BD9" s="9">
        <v>0.94</v>
      </c>
      <c r="BE9" s="9">
        <v>0.974667</v>
      </c>
      <c r="BF9" s="9">
        <v>0.986667</v>
      </c>
      <c r="BG9" s="9">
        <v>0.993333</v>
      </c>
      <c r="BH9" s="6"/>
      <c r="BI9" s="6" t="str">
        <f t="shared" si="1"/>
        <v>De_One_Acc</v>
      </c>
      <c r="BJ9" s="6" t="str">
        <f t="shared" si="2"/>
        <v>5VB_One_Acc</v>
      </c>
      <c r="BK9" s="6" t="str">
        <f t="shared" si="3"/>
        <v>5VB_One_Acc</v>
      </c>
      <c r="BL9" s="6"/>
      <c r="BM9" s="6" t="s">
        <v>226</v>
      </c>
      <c r="BN9" s="18">
        <f t="shared" ref="BN9:BR9" si="4">MINUS(BN8,SUM(BN10,BN11))</f>
        <v>5</v>
      </c>
      <c r="BO9" s="18">
        <f t="shared" si="4"/>
        <v>5</v>
      </c>
      <c r="BP9" s="18">
        <f t="shared" si="4"/>
        <v>5</v>
      </c>
      <c r="BQ9" s="18">
        <f t="shared" si="4"/>
        <v>6</v>
      </c>
      <c r="BR9" s="18">
        <f t="shared" si="4"/>
        <v>5</v>
      </c>
      <c r="BS9" s="6">
        <f t="shared" ref="BS9:BS11" si="5">SUM(BN9:BR9)</f>
        <v>26</v>
      </c>
      <c r="BT9" s="6"/>
      <c r="BU9" s="6"/>
      <c r="BV9" s="6"/>
      <c r="BW9" s="6"/>
      <c r="BX9" s="6"/>
    </row>
    <row r="10" ht="15.75" customHeight="1">
      <c r="A10" s="1" t="s">
        <v>99</v>
      </c>
      <c r="B10" s="17">
        <v>577.0</v>
      </c>
      <c r="C10" s="9">
        <v>0.536667</v>
      </c>
      <c r="D10" s="9">
        <v>0.55</v>
      </c>
      <c r="E10" s="9">
        <v>0.55</v>
      </c>
      <c r="F10" s="9">
        <v>0.543333328</v>
      </c>
      <c r="G10" s="9">
        <v>0.566666663</v>
      </c>
      <c r="H10" s="9">
        <v>0.2</v>
      </c>
      <c r="I10" s="9">
        <v>0.69</v>
      </c>
      <c r="J10" s="9">
        <v>0.683333</v>
      </c>
      <c r="K10" s="9">
        <v>0.683333</v>
      </c>
      <c r="L10" s="9">
        <v>0.636666667</v>
      </c>
      <c r="M10" s="9">
        <v>0.633333</v>
      </c>
      <c r="N10" s="9">
        <v>0.666667</v>
      </c>
      <c r="O10" s="9">
        <v>0.556667</v>
      </c>
      <c r="P10" s="9">
        <v>0.55</v>
      </c>
      <c r="Q10" s="9">
        <v>0.583333</v>
      </c>
      <c r="R10" s="9">
        <v>0.543333334</v>
      </c>
      <c r="S10" s="9">
        <v>0.566667</v>
      </c>
      <c r="T10" s="9">
        <v>0.583333</v>
      </c>
      <c r="U10" s="9">
        <v>0.656667</v>
      </c>
      <c r="V10" s="9">
        <v>0.65</v>
      </c>
      <c r="W10" s="9">
        <v>0.716667</v>
      </c>
      <c r="X10" s="9">
        <v>0.63</v>
      </c>
      <c r="Y10" s="9">
        <v>0.616667</v>
      </c>
      <c r="Z10" s="9">
        <v>0.666667</v>
      </c>
      <c r="AA10" s="9">
        <v>0.566666657</v>
      </c>
      <c r="AB10" s="9">
        <v>0.583333</v>
      </c>
      <c r="AC10" s="9">
        <v>0.583333</v>
      </c>
      <c r="AD10" s="9">
        <v>0.566666675</v>
      </c>
      <c r="AE10" s="9">
        <v>0.566667</v>
      </c>
      <c r="AF10" s="9">
        <v>0.55</v>
      </c>
      <c r="AG10" s="9">
        <v>0.65</v>
      </c>
      <c r="AH10" s="9">
        <v>0.633333</v>
      </c>
      <c r="AI10" s="9">
        <v>0.65</v>
      </c>
      <c r="AJ10" s="9">
        <v>0.663333</v>
      </c>
      <c r="AK10" s="9">
        <v>0.666667</v>
      </c>
      <c r="AL10" s="9">
        <v>0.7</v>
      </c>
      <c r="AM10" s="9">
        <v>0.633333</v>
      </c>
      <c r="AN10" s="9">
        <v>0.633333</v>
      </c>
      <c r="AO10" s="9">
        <v>0.633333</v>
      </c>
      <c r="AP10" s="9">
        <v>0.593333352</v>
      </c>
      <c r="AQ10" s="9">
        <v>0.6</v>
      </c>
      <c r="AR10" s="9">
        <v>0.6</v>
      </c>
      <c r="AS10" s="9">
        <v>0.653333</v>
      </c>
      <c r="AT10" s="9">
        <v>0.633333</v>
      </c>
      <c r="AU10" s="9">
        <v>0.766667</v>
      </c>
      <c r="AV10" s="9">
        <v>0.7</v>
      </c>
      <c r="AW10" s="9">
        <v>0.7</v>
      </c>
      <c r="AX10" s="9">
        <v>0.7</v>
      </c>
      <c r="AY10" s="9">
        <v>0.576667</v>
      </c>
      <c r="AZ10" s="9">
        <v>0.6</v>
      </c>
      <c r="BA10" s="9">
        <v>0.55</v>
      </c>
      <c r="BB10" s="9">
        <v>0.65</v>
      </c>
      <c r="BC10" s="9">
        <v>0.666667</v>
      </c>
      <c r="BD10" s="9">
        <v>0.683333</v>
      </c>
      <c r="BE10" s="9">
        <v>0.613333</v>
      </c>
      <c r="BF10" s="9">
        <v>0.566667</v>
      </c>
      <c r="BG10" s="9">
        <v>0.583333</v>
      </c>
      <c r="BH10" s="6"/>
      <c r="BI10" s="6" t="str">
        <f t="shared" si="1"/>
        <v>12V_One_Acc</v>
      </c>
      <c r="BJ10" s="6" t="str">
        <f t="shared" si="2"/>
        <v>8V_One_Acc</v>
      </c>
      <c r="BK10" s="6" t="str">
        <f t="shared" si="3"/>
        <v>10VB_One_Acc</v>
      </c>
      <c r="BL10" s="6"/>
      <c r="BM10" s="6" t="s">
        <v>227</v>
      </c>
      <c r="BN10" s="18">
        <f>COUNTIFS(BI3:BI100,"*V*",B3:B100,"&lt;=100")</f>
        <v>11</v>
      </c>
      <c r="BO10" s="19">
        <f>COUNTIFS(BI3:BI100,"*V*",B3:B100,"&gt;100",B3:B100,"&lt;=200")</f>
        <v>8</v>
      </c>
      <c r="BP10" s="18">
        <f>COUNTIFS(BI3:BI100,"*V*",B3:B100,"&gt;200",B3:B100,"&lt;500")</f>
        <v>9</v>
      </c>
      <c r="BQ10" s="18">
        <f>COUNTIFS(BI3:BI100,"*V*",B3:B100,"&gt;=500",B3:B100,"&lt;1000")</f>
        <v>5</v>
      </c>
      <c r="BR10" s="18">
        <f>COUNTIFS(BI3:BI100,"*V*",B3:B100,"&gt;=1000")</f>
        <v>12</v>
      </c>
      <c r="BS10" s="6">
        <f t="shared" si="5"/>
        <v>45</v>
      </c>
      <c r="BT10" s="6"/>
      <c r="BU10" s="6"/>
      <c r="BV10" s="6"/>
      <c r="BW10" s="6"/>
      <c r="BX10" s="6"/>
    </row>
    <row r="11" ht="15.75" customHeight="1">
      <c r="A11" s="1" t="s">
        <v>101</v>
      </c>
      <c r="B11" s="17">
        <v>128.0</v>
      </c>
      <c r="C11" s="9">
        <v>0.933556</v>
      </c>
      <c r="D11" s="9">
        <v>0.941111</v>
      </c>
      <c r="E11" s="9">
        <v>0.955556</v>
      </c>
      <c r="F11" s="9">
        <v>0.922888887</v>
      </c>
      <c r="G11" s="9">
        <v>0.930000007</v>
      </c>
      <c r="H11" s="9">
        <v>0.331111</v>
      </c>
      <c r="I11" s="9">
        <v>0.948222</v>
      </c>
      <c r="J11" s="9">
        <v>0.958889</v>
      </c>
      <c r="K11" s="9">
        <v>0.984444</v>
      </c>
      <c r="L11" s="9">
        <v>0.968444455</v>
      </c>
      <c r="M11" s="9">
        <v>0.967778</v>
      </c>
      <c r="N11" s="9">
        <v>0.975556</v>
      </c>
      <c r="O11" s="9">
        <v>0.910889</v>
      </c>
      <c r="P11" s="9">
        <v>0.916667</v>
      </c>
      <c r="Q11" s="9">
        <v>0.935556</v>
      </c>
      <c r="R11" s="9">
        <v>0.917333341</v>
      </c>
      <c r="S11" s="9">
        <v>0.935556</v>
      </c>
      <c r="T11" s="9">
        <v>0.938889</v>
      </c>
      <c r="U11" s="9">
        <v>0.936667</v>
      </c>
      <c r="V11" s="9">
        <v>0.944444</v>
      </c>
      <c r="W11" s="9">
        <v>0.945556</v>
      </c>
      <c r="X11" s="9">
        <v>0.932444</v>
      </c>
      <c r="Y11" s="9">
        <v>0.932222</v>
      </c>
      <c r="Z11" s="9">
        <v>0.956667</v>
      </c>
      <c r="AA11" s="9">
        <v>0.949333322</v>
      </c>
      <c r="AB11" s="9">
        <v>0.95</v>
      </c>
      <c r="AC11" s="9">
        <v>0.965556</v>
      </c>
      <c r="AD11" s="9">
        <v>0.942888892</v>
      </c>
      <c r="AE11" s="9">
        <v>0.958889</v>
      </c>
      <c r="AF11" s="9">
        <v>0.96</v>
      </c>
      <c r="AG11" s="9">
        <v>0.964</v>
      </c>
      <c r="AH11" s="9">
        <v>0.964444</v>
      </c>
      <c r="AI11" s="9">
        <v>0.974444</v>
      </c>
      <c r="AJ11" s="9">
        <v>0.965556</v>
      </c>
      <c r="AK11" s="9">
        <v>0.97</v>
      </c>
      <c r="AL11" s="9">
        <v>0.975556</v>
      </c>
      <c r="AM11" s="9">
        <v>0.952667</v>
      </c>
      <c r="AN11" s="9">
        <v>0.948889</v>
      </c>
      <c r="AO11" s="9">
        <v>0.961111</v>
      </c>
      <c r="AP11" s="9" t="s">
        <v>85</v>
      </c>
      <c r="AQ11" s="9" t="s">
        <v>85</v>
      </c>
      <c r="AR11" s="1" t="s">
        <v>85</v>
      </c>
      <c r="AS11" s="9">
        <v>0.899556</v>
      </c>
      <c r="AT11" s="9">
        <v>0.902222</v>
      </c>
      <c r="AU11" s="9">
        <v>0.933333</v>
      </c>
      <c r="AV11" s="9">
        <v>0.938222</v>
      </c>
      <c r="AW11" s="9">
        <v>0.938889</v>
      </c>
      <c r="AX11" s="9">
        <v>0.948889</v>
      </c>
      <c r="AY11" s="9">
        <v>0.957333</v>
      </c>
      <c r="AZ11" s="9">
        <v>0.961111</v>
      </c>
      <c r="BA11" s="9">
        <v>0.971111</v>
      </c>
      <c r="BB11" s="9">
        <v>0.924667</v>
      </c>
      <c r="BC11" s="9">
        <v>0.921111</v>
      </c>
      <c r="BD11" s="9">
        <v>0.94</v>
      </c>
      <c r="BE11" s="9">
        <v>0.849556</v>
      </c>
      <c r="BF11" s="9">
        <v>0.856667</v>
      </c>
      <c r="BG11" s="9">
        <v>0.861111</v>
      </c>
      <c r="BH11" s="6"/>
      <c r="BI11" s="6" t="str">
        <f t="shared" si="1"/>
        <v>5V_One_Acc</v>
      </c>
      <c r="BJ11" s="6" t="str">
        <f t="shared" si="2"/>
        <v>5VB_One_Acc</v>
      </c>
      <c r="BK11" s="6" t="str">
        <f t="shared" si="3"/>
        <v>5VB_One_Acc</v>
      </c>
      <c r="BL11" s="6"/>
      <c r="BM11" s="6" t="s">
        <v>20</v>
      </c>
      <c r="BN11" s="18">
        <f>COUNTIFS(BI3:BI100,"*D*",B3:B100,"&lt;=100")</f>
        <v>6</v>
      </c>
      <c r="BO11" s="19">
        <f>COUNTIFS(BI3:BI100,"*D*",B3:B100,"&gt;100",B3:B100,"&lt;=200")</f>
        <v>4</v>
      </c>
      <c r="BP11" s="18">
        <f>COUNTIFS(BI3:BI100,"*D*",B3:B100,"&gt;200",B3:B100,"&lt;500")</f>
        <v>7</v>
      </c>
      <c r="BQ11" s="18">
        <f>COUNTIFS(BI3:BI100,"*D*",B3:B100,"&gt;=500",B3:B100,"&lt;1000")</f>
        <v>9</v>
      </c>
      <c r="BR11" s="18">
        <f>COUNTIFS(BI3:BI100,"*D*",B3:B100,"&gt;=1000")</f>
        <v>1</v>
      </c>
      <c r="BS11" s="6">
        <f t="shared" si="5"/>
        <v>27</v>
      </c>
      <c r="BT11" s="6"/>
      <c r="BU11" s="6"/>
      <c r="BV11" s="6"/>
      <c r="BW11" s="6"/>
      <c r="BX11" s="6"/>
    </row>
    <row r="12" ht="15.75" customHeight="1">
      <c r="A12" s="1" t="s">
        <v>103</v>
      </c>
      <c r="B12" s="17">
        <v>24.0</v>
      </c>
      <c r="C12" s="9">
        <v>0.960933</v>
      </c>
      <c r="D12" s="9">
        <v>0.965015</v>
      </c>
      <c r="E12" s="9">
        <v>0.976676</v>
      </c>
      <c r="F12" s="9">
        <v>0.958017504</v>
      </c>
      <c r="G12" s="9">
        <v>0.965014577</v>
      </c>
      <c r="H12" s="9">
        <v>0.717201</v>
      </c>
      <c r="I12" s="9">
        <v>0.961516</v>
      </c>
      <c r="J12" s="9">
        <v>0.959184</v>
      </c>
      <c r="K12" s="9">
        <v>0.962099</v>
      </c>
      <c r="L12" s="9">
        <v>0.962682223</v>
      </c>
      <c r="M12" s="9">
        <v>0.965015</v>
      </c>
      <c r="N12" s="9">
        <v>0.965015</v>
      </c>
      <c r="O12" s="9">
        <v>0.967347</v>
      </c>
      <c r="P12" s="9">
        <v>0.96793</v>
      </c>
      <c r="Q12" s="9">
        <v>0.96793</v>
      </c>
      <c r="R12" s="9">
        <v>0.956268227</v>
      </c>
      <c r="S12" s="9">
        <v>0.976676</v>
      </c>
      <c r="T12" s="9">
        <v>0.979592</v>
      </c>
      <c r="U12" s="9">
        <v>0.848397</v>
      </c>
      <c r="V12" s="9">
        <v>0.953353</v>
      </c>
      <c r="W12" s="9">
        <v>0.944606</v>
      </c>
      <c r="X12" s="9">
        <v>0.948105</v>
      </c>
      <c r="Y12" s="9">
        <v>0.953353</v>
      </c>
      <c r="Z12" s="9">
        <v>0.944606</v>
      </c>
      <c r="AA12" s="9">
        <v>0.967930019</v>
      </c>
      <c r="AB12" s="9">
        <v>0.970845</v>
      </c>
      <c r="AC12" s="9">
        <v>0.982507</v>
      </c>
      <c r="AD12" s="9">
        <v>0.976676393</v>
      </c>
      <c r="AE12" s="9">
        <v>0.973761</v>
      </c>
      <c r="AF12" s="9">
        <v>0.982507</v>
      </c>
      <c r="AG12" s="9">
        <v>0.937609</v>
      </c>
      <c r="AH12" s="9">
        <v>0.938776</v>
      </c>
      <c r="AI12" s="9">
        <v>0.947522</v>
      </c>
      <c r="AJ12" s="9">
        <v>0.938192</v>
      </c>
      <c r="AK12" s="9">
        <v>0.941691</v>
      </c>
      <c r="AL12" s="9">
        <v>0.932945</v>
      </c>
      <c r="AM12" s="9">
        <v>0.955685</v>
      </c>
      <c r="AN12" s="9">
        <v>0.973761</v>
      </c>
      <c r="AO12" s="9">
        <v>0.979592</v>
      </c>
      <c r="AP12" s="9">
        <v>0.962682223</v>
      </c>
      <c r="AQ12" s="9">
        <v>0.959184</v>
      </c>
      <c r="AR12" s="9">
        <v>0.982507</v>
      </c>
      <c r="AS12" s="9">
        <v>0.940525</v>
      </c>
      <c r="AT12" s="9">
        <v>0.941691</v>
      </c>
      <c r="AU12" s="9">
        <v>0.932945</v>
      </c>
      <c r="AV12" s="9">
        <v>0.941691</v>
      </c>
      <c r="AW12" s="9">
        <v>0.941691</v>
      </c>
      <c r="AX12" s="9">
        <v>0.956268</v>
      </c>
      <c r="AY12" s="9">
        <v>0.903207</v>
      </c>
      <c r="AZ12" s="9">
        <v>0.895044</v>
      </c>
      <c r="BA12" s="9">
        <v>0.947522</v>
      </c>
      <c r="BB12" s="9">
        <v>0.935277</v>
      </c>
      <c r="BC12" s="9">
        <v>0.944606</v>
      </c>
      <c r="BD12" s="9">
        <v>0.947522</v>
      </c>
      <c r="BE12" s="9">
        <v>0.443732</v>
      </c>
      <c r="BF12" s="9">
        <v>0.44898</v>
      </c>
      <c r="BG12" s="9">
        <v>0.970845</v>
      </c>
      <c r="BH12" s="6"/>
      <c r="BI12" s="6" t="str">
        <f t="shared" si="1"/>
        <v>10B_One_Acc</v>
      </c>
      <c r="BJ12" s="6" t="str">
        <f t="shared" si="2"/>
        <v>10B_One_Acc</v>
      </c>
      <c r="BK12" s="6" t="str">
        <f t="shared" si="3"/>
        <v>10B_One_Acc</v>
      </c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</row>
    <row r="13" ht="15.75" customHeight="1">
      <c r="A13" s="1" t="s">
        <v>105</v>
      </c>
      <c r="B13" s="17">
        <v>166.0</v>
      </c>
      <c r="C13" s="9">
        <v>0.540052</v>
      </c>
      <c r="D13" s="9">
        <v>0.532552</v>
      </c>
      <c r="E13" s="9">
        <v>0.547917</v>
      </c>
      <c r="F13" s="9">
        <v>0.545260406</v>
      </c>
      <c r="G13" s="9">
        <v>0.540624976</v>
      </c>
      <c r="H13" s="9">
        <v>0.532552</v>
      </c>
      <c r="I13" s="9">
        <v>0.546823</v>
      </c>
      <c r="J13" s="9">
        <v>0.532552</v>
      </c>
      <c r="K13" s="9">
        <v>0.532552</v>
      </c>
      <c r="L13" s="9">
        <v>0.536770821</v>
      </c>
      <c r="M13" s="9">
        <v>0.532552</v>
      </c>
      <c r="N13" s="9">
        <v>0.532552</v>
      </c>
      <c r="O13" s="9">
        <v>0.53875</v>
      </c>
      <c r="P13" s="9">
        <v>0.532552</v>
      </c>
      <c r="Q13" s="9">
        <v>0.535677</v>
      </c>
      <c r="R13" s="9">
        <v>0.550572908</v>
      </c>
      <c r="S13" s="9">
        <v>0.532552</v>
      </c>
      <c r="T13" s="9">
        <v>0.532552</v>
      </c>
      <c r="U13" s="9">
        <v>0.540156</v>
      </c>
      <c r="V13" s="9">
        <v>0.532552</v>
      </c>
      <c r="W13" s="9">
        <v>0.56276</v>
      </c>
      <c r="X13" s="9">
        <v>0.538854</v>
      </c>
      <c r="Y13" s="9">
        <v>0.532552</v>
      </c>
      <c r="Z13" s="9">
        <v>0.532552</v>
      </c>
      <c r="AA13" s="9">
        <v>0.551874983</v>
      </c>
      <c r="AB13" s="9">
        <v>0.540104</v>
      </c>
      <c r="AC13" s="9">
        <v>0.579427</v>
      </c>
      <c r="AD13" s="9">
        <v>0.546822906</v>
      </c>
      <c r="AE13" s="9">
        <v>0.532552</v>
      </c>
      <c r="AF13" s="9">
        <v>0.532552</v>
      </c>
      <c r="AG13" s="9">
        <v>0.532552</v>
      </c>
      <c r="AH13" s="9">
        <v>0.532552</v>
      </c>
      <c r="AI13" s="9">
        <v>0.532552</v>
      </c>
      <c r="AJ13" s="9">
        <v>0.532552</v>
      </c>
      <c r="AK13" s="9">
        <v>0.532552</v>
      </c>
      <c r="AL13" s="9">
        <v>0.532552</v>
      </c>
      <c r="AM13" s="9">
        <v>0.566562</v>
      </c>
      <c r="AN13" s="9">
        <v>0.571094</v>
      </c>
      <c r="AO13" s="9">
        <v>0.579427</v>
      </c>
      <c r="AP13" s="9">
        <v>0.571406245</v>
      </c>
      <c r="AQ13" s="9">
        <v>0.569792</v>
      </c>
      <c r="AR13" s="9">
        <v>0.578385</v>
      </c>
      <c r="AS13" s="9">
        <v>0.541562</v>
      </c>
      <c r="AT13" s="9">
        <v>0.532552</v>
      </c>
      <c r="AU13" s="9">
        <v>0.59974</v>
      </c>
      <c r="AV13" s="9">
        <v>0.551146</v>
      </c>
      <c r="AW13" s="9">
        <v>0.532552</v>
      </c>
      <c r="AX13" s="9">
        <v>0.532552</v>
      </c>
      <c r="AY13" s="9">
        <v>0.57875</v>
      </c>
      <c r="AZ13" s="9">
        <v>0.580208</v>
      </c>
      <c r="BA13" s="9">
        <v>0.588542</v>
      </c>
      <c r="BB13" s="9">
        <v>0.532552</v>
      </c>
      <c r="BC13" s="9">
        <v>0.532552</v>
      </c>
      <c r="BD13" s="9">
        <v>0.532552</v>
      </c>
      <c r="BE13" s="9">
        <v>0.553698</v>
      </c>
      <c r="BF13" s="9">
        <v>0.558333</v>
      </c>
      <c r="BG13" s="9">
        <v>0.5625</v>
      </c>
      <c r="BH13" s="6"/>
      <c r="BI13" s="6" t="str">
        <f t="shared" si="1"/>
        <v>12V_One_Acc</v>
      </c>
      <c r="BJ13" s="6" t="str">
        <f t="shared" si="2"/>
        <v>20B_One_Acc</v>
      </c>
      <c r="BK13" s="6" t="str">
        <f t="shared" si="3"/>
        <v>20B_Fold_Median</v>
      </c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</row>
    <row r="14" ht="15.75" customHeight="1">
      <c r="A14" s="1" t="s">
        <v>107</v>
      </c>
      <c r="B14" s="17">
        <v>1639.0</v>
      </c>
      <c r="C14" s="9">
        <v>0.371159</v>
      </c>
      <c r="D14" s="9">
        <v>0.381159</v>
      </c>
      <c r="E14" s="9">
        <v>0.435507</v>
      </c>
      <c r="F14" s="9">
        <v>0.514927524</v>
      </c>
      <c r="G14" s="9">
        <v>0.505072474</v>
      </c>
      <c r="H14" s="9">
        <v>0.247826</v>
      </c>
      <c r="I14" s="9">
        <v>0.402899</v>
      </c>
      <c r="J14" s="9">
        <v>0.403623</v>
      </c>
      <c r="K14" s="9">
        <v>0.496377</v>
      </c>
      <c r="L14" s="9">
        <v>0.350000006</v>
      </c>
      <c r="M14" s="9">
        <v>0.32971</v>
      </c>
      <c r="N14" s="9">
        <v>0.494203</v>
      </c>
      <c r="O14" s="9">
        <v>0.535362</v>
      </c>
      <c r="P14" s="9">
        <v>0.597101</v>
      </c>
      <c r="Q14" s="9">
        <v>0.643478</v>
      </c>
      <c r="R14" s="9">
        <v>0.564347827</v>
      </c>
      <c r="S14" s="9">
        <v>0.544928</v>
      </c>
      <c r="T14" s="9">
        <v>0.603623</v>
      </c>
      <c r="U14" s="9">
        <v>0.561594</v>
      </c>
      <c r="V14" s="9">
        <v>0.565942</v>
      </c>
      <c r="W14" s="9">
        <v>0.628261</v>
      </c>
      <c r="X14" s="9">
        <v>0.586522</v>
      </c>
      <c r="Y14" s="9">
        <v>0.578986</v>
      </c>
      <c r="Z14" s="9">
        <v>0.602899</v>
      </c>
      <c r="AA14" s="9">
        <v>0.563623178</v>
      </c>
      <c r="AB14" s="9">
        <v>0.561594</v>
      </c>
      <c r="AC14" s="9">
        <v>0.656522</v>
      </c>
      <c r="AD14" s="9">
        <v>0.602608693</v>
      </c>
      <c r="AE14" s="9">
        <v>0.601449</v>
      </c>
      <c r="AF14" s="9">
        <v>0.668841</v>
      </c>
      <c r="AG14" s="9">
        <v>0.638406</v>
      </c>
      <c r="AH14" s="9">
        <v>0.644203</v>
      </c>
      <c r="AI14" s="9">
        <v>0.641304</v>
      </c>
      <c r="AJ14" s="9">
        <v>0.606667</v>
      </c>
      <c r="AK14" s="9">
        <v>0.607971</v>
      </c>
      <c r="AL14" s="9">
        <v>0.634058</v>
      </c>
      <c r="AM14" s="9">
        <v>0.60971</v>
      </c>
      <c r="AN14" s="9">
        <v>0.619565</v>
      </c>
      <c r="AO14" s="9">
        <v>0.63913</v>
      </c>
      <c r="AP14" s="9">
        <v>0.601884055</v>
      </c>
      <c r="AQ14" s="9">
        <v>0.605797</v>
      </c>
      <c r="AR14" s="9">
        <v>0.646377</v>
      </c>
      <c r="AS14" s="9">
        <v>0.701014</v>
      </c>
      <c r="AT14" s="9">
        <v>0.700725</v>
      </c>
      <c r="AU14" s="9">
        <v>0.697826</v>
      </c>
      <c r="AV14" s="9">
        <v>0.691739</v>
      </c>
      <c r="AW14" s="9">
        <v>0.693478</v>
      </c>
      <c r="AX14" s="9">
        <v>0.742029</v>
      </c>
      <c r="AY14" s="9">
        <v>0.733478</v>
      </c>
      <c r="AZ14" s="9">
        <v>0.743478</v>
      </c>
      <c r="BA14" s="9">
        <v>0.787681</v>
      </c>
      <c r="BB14" s="9">
        <v>0.77942</v>
      </c>
      <c r="BC14" s="9">
        <v>0.782609</v>
      </c>
      <c r="BD14" s="9">
        <v>0.797101</v>
      </c>
      <c r="BE14" s="9">
        <v>0.279855</v>
      </c>
      <c r="BF14" s="9">
        <v>0.284058</v>
      </c>
      <c r="BG14" s="9">
        <v>0.281884</v>
      </c>
      <c r="BH14" s="6"/>
      <c r="BI14" s="6" t="str">
        <f t="shared" si="1"/>
        <v>20V_One_Acc</v>
      </c>
      <c r="BJ14" s="6" t="str">
        <f t="shared" si="2"/>
        <v>20B_One_Acc</v>
      </c>
      <c r="BK14" s="6" t="str">
        <f t="shared" si="3"/>
        <v>20V_Fold_Median</v>
      </c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</row>
    <row r="15" ht="15.75" customHeight="1">
      <c r="A15" s="1" t="s">
        <v>109</v>
      </c>
      <c r="B15" s="17">
        <v>286.0</v>
      </c>
      <c r="C15" s="9">
        <v>0.742857</v>
      </c>
      <c r="D15" s="9">
        <v>0.785714</v>
      </c>
      <c r="E15" s="9">
        <v>0.75</v>
      </c>
      <c r="F15" s="9">
        <v>0.764285707</v>
      </c>
      <c r="G15" s="9">
        <v>0.785714269</v>
      </c>
      <c r="H15" s="9">
        <v>0.464286</v>
      </c>
      <c r="I15" s="9">
        <v>0.828571</v>
      </c>
      <c r="J15" s="9">
        <v>0.821429</v>
      </c>
      <c r="K15" s="9">
        <v>0.821429</v>
      </c>
      <c r="L15" s="9">
        <v>0.757142866</v>
      </c>
      <c r="M15" s="9">
        <v>0.75</v>
      </c>
      <c r="N15" s="9">
        <v>0.75</v>
      </c>
      <c r="O15" s="9">
        <v>0.721429</v>
      </c>
      <c r="P15" s="9">
        <v>0.714286</v>
      </c>
      <c r="Q15" s="9">
        <v>0.714286</v>
      </c>
      <c r="R15" s="9">
        <v>0.742857134</v>
      </c>
      <c r="S15" s="9">
        <v>0.75</v>
      </c>
      <c r="T15" s="9">
        <v>0.75</v>
      </c>
      <c r="U15" s="9">
        <v>0.985714</v>
      </c>
      <c r="V15" s="9">
        <v>1.0</v>
      </c>
      <c r="W15" s="9">
        <v>0.964286</v>
      </c>
      <c r="X15" s="9">
        <v>0.985714</v>
      </c>
      <c r="Y15" s="9">
        <v>1.0</v>
      </c>
      <c r="Z15" s="9">
        <v>1.0</v>
      </c>
      <c r="AA15" s="9">
        <v>0.849999988</v>
      </c>
      <c r="AB15" s="9">
        <v>0.857143</v>
      </c>
      <c r="AC15" s="9">
        <v>0.857143</v>
      </c>
      <c r="AD15" s="9">
        <v>0.864285707</v>
      </c>
      <c r="AE15" s="9">
        <v>0.892857</v>
      </c>
      <c r="AF15" s="9">
        <v>0.857143</v>
      </c>
      <c r="AG15" s="9">
        <v>0.771429</v>
      </c>
      <c r="AH15" s="9">
        <v>0.857143</v>
      </c>
      <c r="AI15" s="9">
        <v>0.857143</v>
      </c>
      <c r="AJ15" s="9">
        <v>0.835714</v>
      </c>
      <c r="AK15" s="9">
        <v>0.857143</v>
      </c>
      <c r="AL15" s="9">
        <v>0.857143</v>
      </c>
      <c r="AM15" s="9">
        <v>0.864286</v>
      </c>
      <c r="AN15" s="9">
        <v>0.892857</v>
      </c>
      <c r="AO15" s="9">
        <v>0.928571</v>
      </c>
      <c r="AP15" s="9">
        <v>0.892857134</v>
      </c>
      <c r="AQ15" s="9">
        <v>0.928571</v>
      </c>
      <c r="AR15" s="9">
        <v>0.928571</v>
      </c>
      <c r="AS15" s="9">
        <v>0.935714</v>
      </c>
      <c r="AT15" s="9">
        <v>0.964286</v>
      </c>
      <c r="AU15" s="9">
        <v>0.964286</v>
      </c>
      <c r="AV15" s="9">
        <v>0.935714</v>
      </c>
      <c r="AW15" s="9">
        <v>0.928571</v>
      </c>
      <c r="AX15" s="9">
        <v>0.964286</v>
      </c>
      <c r="AY15" s="9">
        <v>0.885714</v>
      </c>
      <c r="AZ15" s="9">
        <v>0.928571</v>
      </c>
      <c r="BA15" s="9">
        <v>0.928571</v>
      </c>
      <c r="BB15" s="9">
        <v>0.964286</v>
      </c>
      <c r="BC15" s="9">
        <v>0.964286</v>
      </c>
      <c r="BD15" s="9">
        <v>0.964286</v>
      </c>
      <c r="BE15" s="9">
        <v>0.65</v>
      </c>
      <c r="BF15" s="9">
        <v>0.642857</v>
      </c>
      <c r="BG15" s="9">
        <v>0.928571</v>
      </c>
      <c r="BH15" s="6"/>
      <c r="BI15" s="6" t="str">
        <f t="shared" si="1"/>
        <v>8V_Fold_Median</v>
      </c>
      <c r="BJ15" s="6" t="str">
        <f t="shared" si="2"/>
        <v>8V_Fold_Median</v>
      </c>
      <c r="BK15" s="6" t="str">
        <f t="shared" si="3"/>
        <v>8V_Fold_Median</v>
      </c>
      <c r="BL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</row>
    <row r="16" ht="15.75" customHeight="1">
      <c r="A16" s="1" t="s">
        <v>110</v>
      </c>
      <c r="B16" s="17">
        <v>720.0</v>
      </c>
      <c r="C16" s="9">
        <v>0.8104</v>
      </c>
      <c r="D16" s="9">
        <v>0.812</v>
      </c>
      <c r="E16" s="9">
        <v>0.812</v>
      </c>
      <c r="F16" s="9">
        <v>0.73039999</v>
      </c>
      <c r="G16" s="9">
        <v>0.736000001</v>
      </c>
      <c r="H16" s="9">
        <v>0.5</v>
      </c>
      <c r="I16" s="9">
        <v>0.6848</v>
      </c>
      <c r="J16" s="9">
        <v>0.672</v>
      </c>
      <c r="K16" s="9">
        <v>0.684</v>
      </c>
      <c r="L16" s="9">
        <v>0.669599998</v>
      </c>
      <c r="M16" s="9">
        <v>0.676</v>
      </c>
      <c r="N16" s="9">
        <v>0.672</v>
      </c>
      <c r="O16" s="9">
        <v>0.8112</v>
      </c>
      <c r="P16" s="9">
        <v>0.808</v>
      </c>
      <c r="Q16" s="9">
        <v>0.836</v>
      </c>
      <c r="R16" s="9">
        <v>0.8176</v>
      </c>
      <c r="S16" s="9">
        <v>0.816</v>
      </c>
      <c r="T16" s="9">
        <v>0.824</v>
      </c>
      <c r="U16" s="9">
        <v>0.7032</v>
      </c>
      <c r="V16" s="9">
        <v>0.704</v>
      </c>
      <c r="W16" s="9">
        <v>0.712</v>
      </c>
      <c r="X16" s="9">
        <v>0.692</v>
      </c>
      <c r="Y16" s="9">
        <v>0.688</v>
      </c>
      <c r="Z16" s="9">
        <v>0.692</v>
      </c>
      <c r="AA16" s="9">
        <v>0.828000009</v>
      </c>
      <c r="AB16" s="9">
        <v>0.832</v>
      </c>
      <c r="AC16" s="9">
        <v>0.824</v>
      </c>
      <c r="AD16" s="9">
        <v>0.823199987</v>
      </c>
      <c r="AE16" s="9">
        <v>0.824</v>
      </c>
      <c r="AF16" s="9">
        <v>0.828</v>
      </c>
      <c r="AG16" s="9">
        <v>0.6616</v>
      </c>
      <c r="AH16" s="9">
        <v>0.66</v>
      </c>
      <c r="AI16" s="9">
        <v>0.616</v>
      </c>
      <c r="AJ16" s="9">
        <v>0.6584</v>
      </c>
      <c r="AK16" s="9">
        <v>0.656</v>
      </c>
      <c r="AL16" s="9">
        <v>0.676</v>
      </c>
      <c r="AM16" s="9">
        <v>0.8136</v>
      </c>
      <c r="AN16" s="9">
        <v>0.812</v>
      </c>
      <c r="AO16" s="9">
        <v>0.8</v>
      </c>
      <c r="AP16" s="9">
        <v>0.809600008</v>
      </c>
      <c r="AQ16" s="9">
        <v>0.808</v>
      </c>
      <c r="AR16" s="9">
        <v>0.812</v>
      </c>
      <c r="AS16" s="9">
        <v>0.6728</v>
      </c>
      <c r="AT16" s="9">
        <v>0.672</v>
      </c>
      <c r="AU16" s="9">
        <v>0.648</v>
      </c>
      <c r="AV16" s="9">
        <v>0.6416</v>
      </c>
      <c r="AW16" s="9">
        <v>0.632</v>
      </c>
      <c r="AX16" s="9">
        <v>0.644</v>
      </c>
      <c r="AY16" s="9">
        <v>0.7872</v>
      </c>
      <c r="AZ16" s="9">
        <v>0.792</v>
      </c>
      <c r="BA16" s="9">
        <v>0.784</v>
      </c>
      <c r="BB16" s="9">
        <v>0.6688</v>
      </c>
      <c r="BC16" s="9">
        <v>0.68</v>
      </c>
      <c r="BD16" s="9">
        <v>0.684</v>
      </c>
      <c r="BE16" s="9">
        <v>0.5728</v>
      </c>
      <c r="BF16" s="9">
        <v>0.588</v>
      </c>
      <c r="BG16" s="9">
        <v>0.604</v>
      </c>
      <c r="BH16" s="6"/>
      <c r="BI16" s="6" t="str">
        <f t="shared" si="1"/>
        <v>8B_One_Acc</v>
      </c>
      <c r="BJ16" s="6" t="str">
        <f t="shared" si="2"/>
        <v>10B_Fold_Median</v>
      </c>
      <c r="BK16" s="6" t="str">
        <f t="shared" si="3"/>
        <v>10B_Fold_Mean</v>
      </c>
      <c r="BL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</row>
    <row r="17" ht="15.75" customHeight="1">
      <c r="A17" s="1" t="s">
        <v>111</v>
      </c>
      <c r="B17" s="17">
        <v>46.0</v>
      </c>
      <c r="C17" s="9">
        <v>0.409798</v>
      </c>
      <c r="D17" s="9">
        <v>0.406548</v>
      </c>
      <c r="E17" s="9">
        <v>0.445952</v>
      </c>
      <c r="F17" s="9">
        <v>0.425797617</v>
      </c>
      <c r="G17" s="9">
        <v>0.441726178</v>
      </c>
      <c r="H17" s="9">
        <v>0.041667</v>
      </c>
      <c r="I17" s="9">
        <v>0.401869</v>
      </c>
      <c r="J17" s="9">
        <v>0.399048</v>
      </c>
      <c r="K17" s="9">
        <v>0.253274</v>
      </c>
      <c r="L17" s="9">
        <v>0.413392866</v>
      </c>
      <c r="M17" s="9">
        <v>0.451548</v>
      </c>
      <c r="N17" s="9">
        <v>0.37631</v>
      </c>
      <c r="O17" s="9">
        <v>0.454262</v>
      </c>
      <c r="P17" s="9">
        <v>0.43619</v>
      </c>
      <c r="Q17" s="9">
        <v>0.352976</v>
      </c>
      <c r="R17" s="9">
        <v>0.490238106</v>
      </c>
      <c r="S17" s="9">
        <v>0.501071</v>
      </c>
      <c r="T17" s="9">
        <v>0.471131</v>
      </c>
      <c r="U17" s="9">
        <v>0.363964</v>
      </c>
      <c r="V17" s="9">
        <v>0.35625</v>
      </c>
      <c r="W17" s="9">
        <v>0.489762</v>
      </c>
      <c r="X17" s="9">
        <v>0.411381</v>
      </c>
      <c r="Y17" s="9">
        <v>0.4275</v>
      </c>
      <c r="Z17" s="9">
        <v>0.255119</v>
      </c>
      <c r="AA17" s="9">
        <v>0.451357144</v>
      </c>
      <c r="AB17" s="9">
        <v>0.458274</v>
      </c>
      <c r="AC17" s="9">
        <v>0.475595</v>
      </c>
      <c r="AD17" s="9">
        <v>0.390392855</v>
      </c>
      <c r="AE17" s="9">
        <v>0.431786</v>
      </c>
      <c r="AF17" s="9">
        <v>0.224286</v>
      </c>
      <c r="AG17" s="9">
        <v>0.301881</v>
      </c>
      <c r="AH17" s="9">
        <v>0.236786</v>
      </c>
      <c r="AI17" s="9">
        <v>0.407679</v>
      </c>
      <c r="AJ17" s="9">
        <v>0.249524</v>
      </c>
      <c r="AK17" s="9">
        <v>0.207679</v>
      </c>
      <c r="AL17" s="9">
        <v>0.2325</v>
      </c>
      <c r="AM17" s="9">
        <v>0.483131</v>
      </c>
      <c r="AN17" s="9">
        <v>0.496012</v>
      </c>
      <c r="AO17" s="9">
        <v>0.560119</v>
      </c>
      <c r="AP17" s="9">
        <v>0.489238095</v>
      </c>
      <c r="AQ17" s="9">
        <v>0.504881</v>
      </c>
      <c r="AR17" s="9">
        <v>0.472381</v>
      </c>
      <c r="AS17" s="9">
        <v>0.373298</v>
      </c>
      <c r="AT17" s="9">
        <v>0.363512</v>
      </c>
      <c r="AU17" s="9">
        <v>0.593988</v>
      </c>
      <c r="AV17" s="9">
        <v>0.31631</v>
      </c>
      <c r="AW17" s="9">
        <v>0.317976</v>
      </c>
      <c r="AX17" s="9">
        <v>0.354048</v>
      </c>
      <c r="AY17" s="9">
        <v>0.409679</v>
      </c>
      <c r="AZ17" s="9">
        <v>0.425774</v>
      </c>
      <c r="BA17" s="9">
        <v>0.49875</v>
      </c>
      <c r="BB17" s="9">
        <v>0.292607</v>
      </c>
      <c r="BC17" s="9">
        <v>0.270179</v>
      </c>
      <c r="BD17" s="9">
        <v>0.254405</v>
      </c>
      <c r="BE17" s="9">
        <v>0.643631</v>
      </c>
      <c r="BF17" s="9">
        <v>0.645357</v>
      </c>
      <c r="BG17" s="9">
        <v>0.598333</v>
      </c>
      <c r="BH17" s="6"/>
      <c r="BI17" s="6" t="str">
        <f t="shared" si="1"/>
        <v>De_Fold_Median</v>
      </c>
      <c r="BJ17" s="6" t="str">
        <f t="shared" si="2"/>
        <v>De_Fold_Mean</v>
      </c>
      <c r="BK17" s="6" t="str">
        <f t="shared" si="3"/>
        <v>De_One_Acc</v>
      </c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</row>
    <row r="18" ht="15.75" customHeight="1">
      <c r="A18" s="1" t="s">
        <v>112</v>
      </c>
      <c r="B18" s="17">
        <v>345.0</v>
      </c>
      <c r="C18" s="9">
        <v>0.865359</v>
      </c>
      <c r="D18" s="9">
        <v>0.882353</v>
      </c>
      <c r="E18" s="9">
        <v>0.905229</v>
      </c>
      <c r="F18" s="9">
        <v>0.858823514</v>
      </c>
      <c r="G18" s="9">
        <v>0.879084945</v>
      </c>
      <c r="H18" s="9">
        <v>0.300654</v>
      </c>
      <c r="I18" s="9">
        <v>0.859477</v>
      </c>
      <c r="J18" s="9">
        <v>0.885621</v>
      </c>
      <c r="K18" s="9">
        <v>0.892157</v>
      </c>
      <c r="L18" s="9">
        <v>0.794117641</v>
      </c>
      <c r="M18" s="9">
        <v>0.843137</v>
      </c>
      <c r="N18" s="9">
        <v>0.892157</v>
      </c>
      <c r="O18" s="9">
        <v>0.881046</v>
      </c>
      <c r="P18" s="9">
        <v>0.879085</v>
      </c>
      <c r="Q18" s="9">
        <v>0.892157</v>
      </c>
      <c r="R18" s="9">
        <v>0.774509794</v>
      </c>
      <c r="S18" s="9">
        <v>0.892157</v>
      </c>
      <c r="T18" s="9">
        <v>0.905229</v>
      </c>
      <c r="U18" s="9">
        <v>0.885621</v>
      </c>
      <c r="V18" s="9">
        <v>0.892157</v>
      </c>
      <c r="W18" s="9">
        <v>0.892157</v>
      </c>
      <c r="X18" s="9">
        <v>0.889542</v>
      </c>
      <c r="Y18" s="9">
        <v>0.892157</v>
      </c>
      <c r="Z18" s="9">
        <v>0.892157</v>
      </c>
      <c r="AA18" s="9">
        <v>0.884313715</v>
      </c>
      <c r="AB18" s="9">
        <v>0.888889</v>
      </c>
      <c r="AC18" s="9">
        <v>0.875817</v>
      </c>
      <c r="AD18" s="9">
        <v>0.879084969</v>
      </c>
      <c r="AE18" s="9">
        <v>0.882353</v>
      </c>
      <c r="AF18" s="9">
        <v>0.885621</v>
      </c>
      <c r="AG18" s="9">
        <v>0.891503</v>
      </c>
      <c r="AH18" s="9">
        <v>0.888889</v>
      </c>
      <c r="AI18" s="9">
        <v>0.915033</v>
      </c>
      <c r="AJ18" s="9">
        <v>0.869935</v>
      </c>
      <c r="AK18" s="9">
        <v>0.892157</v>
      </c>
      <c r="AL18" s="9">
        <v>0.892157</v>
      </c>
      <c r="AM18" s="9">
        <v>0.890196</v>
      </c>
      <c r="AN18" s="9">
        <v>0.888889</v>
      </c>
      <c r="AO18" s="9">
        <v>0.888889</v>
      </c>
      <c r="AP18" s="9">
        <v>0.871895421</v>
      </c>
      <c r="AQ18" s="9">
        <v>0.892157</v>
      </c>
      <c r="AR18" s="9">
        <v>0.901961</v>
      </c>
      <c r="AS18" s="9">
        <v>0.861438</v>
      </c>
      <c r="AT18" s="9">
        <v>0.875817</v>
      </c>
      <c r="AU18" s="9">
        <v>0.888889</v>
      </c>
      <c r="AV18" s="9">
        <v>0.833987</v>
      </c>
      <c r="AW18" s="9">
        <v>0.888889</v>
      </c>
      <c r="AX18" s="9">
        <v>0.888889</v>
      </c>
      <c r="AY18" s="9">
        <v>0.89281</v>
      </c>
      <c r="AZ18" s="9">
        <v>0.892157</v>
      </c>
      <c r="BA18" s="9">
        <v>0.898693</v>
      </c>
      <c r="BB18" s="9">
        <v>0.896078</v>
      </c>
      <c r="BC18" s="9">
        <v>0.892157</v>
      </c>
      <c r="BD18" s="9">
        <v>0.895425</v>
      </c>
      <c r="BE18" s="9">
        <v>0.296078</v>
      </c>
      <c r="BF18" s="9">
        <v>0.30719</v>
      </c>
      <c r="BG18" s="9">
        <v>0.330065</v>
      </c>
      <c r="BH18" s="6"/>
      <c r="BI18" s="6" t="str">
        <f t="shared" si="1"/>
        <v>10V_One_Acc</v>
      </c>
      <c r="BJ18" s="6" t="str">
        <f t="shared" si="2"/>
        <v>5B_One_Acc</v>
      </c>
      <c r="BK18" s="6" t="str">
        <f t="shared" si="3"/>
        <v>5B_One_Acc</v>
      </c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</row>
    <row r="19" ht="15.75" customHeight="1">
      <c r="A19" s="1" t="s">
        <v>113</v>
      </c>
      <c r="B19" s="17">
        <v>80.0</v>
      </c>
      <c r="C19" s="9">
        <v>0.664748</v>
      </c>
      <c r="D19" s="9">
        <v>0.669065</v>
      </c>
      <c r="E19" s="9">
        <v>0.625899</v>
      </c>
      <c r="F19" s="9">
        <v>0.682014382</v>
      </c>
      <c r="G19" s="9">
        <v>0.676258981</v>
      </c>
      <c r="H19" s="9">
        <v>0.467626</v>
      </c>
      <c r="I19" s="9">
        <v>0.735252</v>
      </c>
      <c r="J19" s="9">
        <v>0.741007</v>
      </c>
      <c r="K19" s="9">
        <v>0.733813</v>
      </c>
      <c r="L19" s="9">
        <v>0.710791361</v>
      </c>
      <c r="M19" s="9">
        <v>0.733813</v>
      </c>
      <c r="N19" s="9">
        <v>0.654676</v>
      </c>
      <c r="O19" s="9">
        <v>0.683453</v>
      </c>
      <c r="P19" s="9">
        <v>0.683453</v>
      </c>
      <c r="Q19" s="9">
        <v>0.640288</v>
      </c>
      <c r="R19" s="9">
        <v>0.684892106</v>
      </c>
      <c r="S19" s="9">
        <v>0.683453</v>
      </c>
      <c r="T19" s="9">
        <v>0.705036</v>
      </c>
      <c r="U19" s="9">
        <v>0.693525</v>
      </c>
      <c r="V19" s="9">
        <v>0.683453</v>
      </c>
      <c r="W19" s="9">
        <v>0.726619</v>
      </c>
      <c r="X19" s="9">
        <v>0.689209</v>
      </c>
      <c r="Y19" s="9">
        <v>0.683453</v>
      </c>
      <c r="Z19" s="9">
        <v>0.705036</v>
      </c>
      <c r="AA19" s="9">
        <v>0.69784174</v>
      </c>
      <c r="AB19" s="9">
        <v>0.683453</v>
      </c>
      <c r="AC19" s="9">
        <v>0.676259</v>
      </c>
      <c r="AD19" s="9">
        <v>0.702158272</v>
      </c>
      <c r="AE19" s="9">
        <v>0.71223</v>
      </c>
      <c r="AF19" s="9">
        <v>0.669065</v>
      </c>
      <c r="AG19" s="9">
        <v>0.706475</v>
      </c>
      <c r="AH19" s="9">
        <v>0.705036</v>
      </c>
      <c r="AI19" s="9">
        <v>0.669065</v>
      </c>
      <c r="AJ19" s="9">
        <v>0.697842</v>
      </c>
      <c r="AK19" s="9">
        <v>0.683453</v>
      </c>
      <c r="AL19" s="9">
        <v>0.719424</v>
      </c>
      <c r="AM19" s="9">
        <v>0.686331</v>
      </c>
      <c r="AN19" s="9">
        <v>0.683453</v>
      </c>
      <c r="AO19" s="9">
        <v>0.690647</v>
      </c>
      <c r="AP19" s="9">
        <v>0.700719428</v>
      </c>
      <c r="AQ19" s="9">
        <v>0.697842</v>
      </c>
      <c r="AR19" s="9">
        <v>0.66187</v>
      </c>
      <c r="AS19" s="9">
        <v>0.67482</v>
      </c>
      <c r="AT19" s="9">
        <v>0.683453</v>
      </c>
      <c r="AU19" s="9">
        <v>0.733813</v>
      </c>
      <c r="AV19" s="9">
        <v>0.67482</v>
      </c>
      <c r="AW19" s="9">
        <v>0.683453</v>
      </c>
      <c r="AX19" s="9">
        <v>0.748201</v>
      </c>
      <c r="AY19" s="9">
        <v>0.664748</v>
      </c>
      <c r="AZ19" s="9">
        <v>0.669065</v>
      </c>
      <c r="BA19" s="9">
        <v>0.71223</v>
      </c>
      <c r="BB19" s="9">
        <v>0.690647</v>
      </c>
      <c r="BC19" s="9">
        <v>0.683453</v>
      </c>
      <c r="BD19" s="9">
        <v>0.654676</v>
      </c>
      <c r="BE19" s="9">
        <v>0.697842</v>
      </c>
      <c r="BF19" s="9">
        <v>0.683453</v>
      </c>
      <c r="BG19" s="9">
        <v>0.719424</v>
      </c>
      <c r="BH19" s="6"/>
      <c r="BI19" s="6" t="str">
        <f t="shared" si="1"/>
        <v>12VB_One_Acc</v>
      </c>
      <c r="BJ19" s="6" t="str">
        <f t="shared" si="2"/>
        <v>5V_Fold_Median</v>
      </c>
      <c r="BK19" s="6" t="str">
        <f t="shared" si="3"/>
        <v>5V_Fold_Mean</v>
      </c>
      <c r="BL19" s="6"/>
      <c r="BM19" s="6"/>
      <c r="BN19" s="6"/>
      <c r="BP19" s="6"/>
      <c r="BQ19" s="6"/>
      <c r="BR19" s="6"/>
      <c r="BS19" s="6"/>
      <c r="BT19" s="6"/>
      <c r="BU19" s="6"/>
      <c r="BV19" s="6"/>
      <c r="BW19" s="6"/>
      <c r="BX19" s="6"/>
    </row>
    <row r="20" ht="15.75" customHeight="1">
      <c r="A20" s="1" t="s">
        <v>114</v>
      </c>
      <c r="B20" s="17">
        <v>80.0</v>
      </c>
      <c r="C20" s="9">
        <v>0.726087</v>
      </c>
      <c r="D20" s="9">
        <v>0.728261</v>
      </c>
      <c r="E20" s="9">
        <v>0.724638</v>
      </c>
      <c r="F20" s="9">
        <v>0.7268116</v>
      </c>
      <c r="G20" s="9">
        <v>0.728260875</v>
      </c>
      <c r="H20" s="9">
        <v>0.583333</v>
      </c>
      <c r="I20" s="9">
        <v>0.747826</v>
      </c>
      <c r="J20" s="9">
        <v>0.75</v>
      </c>
      <c r="K20" s="9">
        <v>0.768116</v>
      </c>
      <c r="L20" s="9">
        <v>0.754347825</v>
      </c>
      <c r="M20" s="9">
        <v>0.75</v>
      </c>
      <c r="N20" s="9">
        <v>0.764493</v>
      </c>
      <c r="O20" s="9">
        <v>0.734058</v>
      </c>
      <c r="P20" s="9">
        <v>0.735507</v>
      </c>
      <c r="Q20" s="9">
        <v>0.713768</v>
      </c>
      <c r="R20" s="9">
        <v>0.7326087</v>
      </c>
      <c r="S20" s="9">
        <v>0.728261</v>
      </c>
      <c r="T20" s="9">
        <v>0.695652</v>
      </c>
      <c r="U20" s="9">
        <v>0.755072</v>
      </c>
      <c r="V20" s="9">
        <v>0.757246</v>
      </c>
      <c r="W20" s="9">
        <v>0.76087</v>
      </c>
      <c r="X20" s="9">
        <v>0.75942</v>
      </c>
      <c r="Y20" s="9">
        <v>0.757246</v>
      </c>
      <c r="Z20" s="9">
        <v>0.757246</v>
      </c>
      <c r="AA20" s="9">
        <v>0.744927537</v>
      </c>
      <c r="AB20" s="9">
        <v>0.742754</v>
      </c>
      <c r="AC20" s="9">
        <v>0.75</v>
      </c>
      <c r="AD20" s="9">
        <v>0.747826087</v>
      </c>
      <c r="AE20" s="9">
        <v>0.75</v>
      </c>
      <c r="AF20" s="9">
        <v>0.742754</v>
      </c>
      <c r="AG20" s="9">
        <v>0.736957</v>
      </c>
      <c r="AH20" s="9">
        <v>0.735507</v>
      </c>
      <c r="AI20" s="9">
        <v>0.75</v>
      </c>
      <c r="AJ20" s="9">
        <v>0.728986</v>
      </c>
      <c r="AK20" s="9">
        <v>0.724638</v>
      </c>
      <c r="AL20" s="9">
        <v>0.75</v>
      </c>
      <c r="AM20" s="9">
        <v>0.757246</v>
      </c>
      <c r="AN20" s="9">
        <v>0.764493</v>
      </c>
      <c r="AO20" s="9">
        <v>0.764493</v>
      </c>
      <c r="AP20" s="9">
        <v>0.760869563</v>
      </c>
      <c r="AQ20" s="9">
        <v>0.757246</v>
      </c>
      <c r="AR20" s="9">
        <v>0.753623</v>
      </c>
      <c r="AS20" s="9">
        <v>0.765217</v>
      </c>
      <c r="AT20" s="9">
        <v>0.764493</v>
      </c>
      <c r="AU20" s="9">
        <v>0.771739</v>
      </c>
      <c r="AV20" s="9">
        <v>0.762319</v>
      </c>
      <c r="AW20" s="9">
        <v>0.764493</v>
      </c>
      <c r="AX20" s="9">
        <v>0.753623</v>
      </c>
      <c r="AY20" s="9">
        <v>0.751449</v>
      </c>
      <c r="AZ20" s="9">
        <v>0.753623</v>
      </c>
      <c r="BA20" s="9">
        <v>0.753623</v>
      </c>
      <c r="BB20" s="9">
        <v>0.752174</v>
      </c>
      <c r="BC20" s="9">
        <v>0.757246</v>
      </c>
      <c r="BD20" s="9">
        <v>0.735507</v>
      </c>
      <c r="BE20" s="9">
        <v>0.742754</v>
      </c>
      <c r="BF20" s="9">
        <v>0.73913</v>
      </c>
      <c r="BG20" s="9">
        <v>0.75</v>
      </c>
      <c r="BH20" s="6"/>
      <c r="BI20" s="6" t="str">
        <f t="shared" si="1"/>
        <v>12V_One_Acc</v>
      </c>
      <c r="BJ20" s="6" t="str">
        <f t="shared" si="2"/>
        <v>5V_One_Acc</v>
      </c>
      <c r="BK20" s="6" t="str">
        <f t="shared" si="3"/>
        <v>12V_Fold_Mean</v>
      </c>
      <c r="BL20" s="6"/>
      <c r="BM20" s="6"/>
      <c r="BN20" s="6"/>
      <c r="BP20" s="6"/>
      <c r="BQ20" s="6"/>
      <c r="BR20" s="6"/>
      <c r="BS20" s="6"/>
      <c r="BT20" s="6"/>
      <c r="BU20" s="6"/>
      <c r="BV20" s="6"/>
      <c r="BW20" s="6"/>
      <c r="BX20" s="6"/>
    </row>
    <row r="21" ht="15.75" customHeight="1">
      <c r="A21" s="1" t="s">
        <v>115</v>
      </c>
      <c r="B21" s="17">
        <v>80.0</v>
      </c>
      <c r="C21" s="9">
        <v>0.594245</v>
      </c>
      <c r="D21" s="9">
        <v>0.597122</v>
      </c>
      <c r="E21" s="9">
        <v>0.582734</v>
      </c>
      <c r="F21" s="9">
        <v>0.597122312</v>
      </c>
      <c r="G21" s="9">
        <v>0.597122312</v>
      </c>
      <c r="H21" s="9">
        <v>0.302158</v>
      </c>
      <c r="I21" s="9">
        <v>0.666187</v>
      </c>
      <c r="J21" s="9">
        <v>0.669065</v>
      </c>
      <c r="K21" s="9">
        <v>0.669065</v>
      </c>
      <c r="L21" s="9">
        <v>0.641726613</v>
      </c>
      <c r="M21" s="9">
        <v>0.654676</v>
      </c>
      <c r="N21" s="9">
        <v>0.676259</v>
      </c>
      <c r="O21" s="9">
        <v>0.61295</v>
      </c>
      <c r="P21" s="9">
        <v>0.589928</v>
      </c>
      <c r="Q21" s="9">
        <v>0.640288</v>
      </c>
      <c r="R21" s="9">
        <v>0.61438849</v>
      </c>
      <c r="S21" s="9">
        <v>0.611511</v>
      </c>
      <c r="T21" s="9">
        <v>0.597122</v>
      </c>
      <c r="U21" s="9">
        <v>0.653237</v>
      </c>
      <c r="V21" s="9">
        <v>0.66187</v>
      </c>
      <c r="W21" s="9">
        <v>0.669065</v>
      </c>
      <c r="X21" s="9">
        <v>0.656115</v>
      </c>
      <c r="Y21" s="9">
        <v>0.669065</v>
      </c>
      <c r="Z21" s="9">
        <v>0.669065</v>
      </c>
      <c r="AA21" s="9">
        <v>0.607194245</v>
      </c>
      <c r="AB21" s="9">
        <v>0.582734</v>
      </c>
      <c r="AC21" s="9">
        <v>0.654676</v>
      </c>
      <c r="AD21" s="9">
        <v>0.615827334</v>
      </c>
      <c r="AE21" s="9">
        <v>0.604317</v>
      </c>
      <c r="AF21" s="9">
        <v>0.633094</v>
      </c>
      <c r="AG21" s="9">
        <v>0.614389</v>
      </c>
      <c r="AH21" s="9">
        <v>0.633094</v>
      </c>
      <c r="AI21" s="9">
        <v>0.654676</v>
      </c>
      <c r="AJ21" s="9">
        <v>0.647482</v>
      </c>
      <c r="AK21" s="9">
        <v>0.647482</v>
      </c>
      <c r="AL21" s="9">
        <v>0.582734</v>
      </c>
      <c r="AM21" s="9">
        <v>0.620144</v>
      </c>
      <c r="AN21" s="9">
        <v>0.625899</v>
      </c>
      <c r="AO21" s="9">
        <v>0.690647</v>
      </c>
      <c r="AP21" s="9">
        <v>0.618705034</v>
      </c>
      <c r="AQ21" s="9">
        <v>0.582734</v>
      </c>
      <c r="AR21" s="9">
        <v>0.654676</v>
      </c>
      <c r="AS21" s="9">
        <v>0.65036</v>
      </c>
      <c r="AT21" s="9">
        <v>0.654676</v>
      </c>
      <c r="AU21" s="9">
        <v>0.676259</v>
      </c>
      <c r="AV21" s="9">
        <v>0.634532</v>
      </c>
      <c r="AW21" s="9">
        <v>0.654676</v>
      </c>
      <c r="AX21" s="9">
        <v>0.654676</v>
      </c>
      <c r="AY21" s="9">
        <v>0.62446</v>
      </c>
      <c r="AZ21" s="9">
        <v>0.633094</v>
      </c>
      <c r="BA21" s="9">
        <v>0.625899</v>
      </c>
      <c r="BB21" s="9">
        <v>0.638849</v>
      </c>
      <c r="BC21" s="9">
        <v>0.654676</v>
      </c>
      <c r="BD21" s="9">
        <v>0.625899</v>
      </c>
      <c r="BE21" s="9">
        <v>0.686331</v>
      </c>
      <c r="BF21" s="9">
        <v>0.690647</v>
      </c>
      <c r="BG21" s="9">
        <v>0.690647</v>
      </c>
      <c r="BH21" s="6"/>
      <c r="BI21" s="6" t="str">
        <f t="shared" si="1"/>
        <v>12B_One_Acc</v>
      </c>
      <c r="BJ21" s="6" t="str">
        <f t="shared" si="2"/>
        <v>12B_One_Acc</v>
      </c>
      <c r="BK21" s="6" t="str">
        <f t="shared" si="3"/>
        <v>12B_One_Acc</v>
      </c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</row>
    <row r="22" ht="15.75" customHeight="1">
      <c r="A22" s="1" t="s">
        <v>116</v>
      </c>
      <c r="B22" s="17">
        <v>512.0</v>
      </c>
      <c r="C22" s="9">
        <v>0.748201</v>
      </c>
      <c r="D22" s="9">
        <v>0.748201</v>
      </c>
      <c r="E22" s="9">
        <v>0.741007</v>
      </c>
      <c r="F22" s="9">
        <v>0.74820143</v>
      </c>
      <c r="G22" s="9">
        <v>0.74820143</v>
      </c>
      <c r="H22" s="9">
        <v>0.748201</v>
      </c>
      <c r="I22" s="9">
        <v>0.748201</v>
      </c>
      <c r="J22" s="9">
        <v>0.748201</v>
      </c>
      <c r="K22" s="9">
        <v>0.748201</v>
      </c>
      <c r="L22" s="9">
        <v>0.74820143</v>
      </c>
      <c r="M22" s="9">
        <v>0.748201</v>
      </c>
      <c r="N22" s="9">
        <v>0.748201</v>
      </c>
      <c r="O22" s="9">
        <v>0.748201</v>
      </c>
      <c r="P22" s="9">
        <v>0.748201</v>
      </c>
      <c r="Q22" s="9">
        <v>0.748201</v>
      </c>
      <c r="R22" s="9">
        <v>0.74820143</v>
      </c>
      <c r="S22" s="9">
        <v>0.748201</v>
      </c>
      <c r="T22" s="9">
        <v>0.748201</v>
      </c>
      <c r="U22" s="9">
        <v>0.748201</v>
      </c>
      <c r="V22" s="9">
        <v>0.748201</v>
      </c>
      <c r="W22" s="9">
        <v>0.748201</v>
      </c>
      <c r="X22" s="9">
        <v>0.748201</v>
      </c>
      <c r="Y22" s="9">
        <v>0.748201</v>
      </c>
      <c r="Z22" s="9">
        <v>0.748201</v>
      </c>
      <c r="AA22" s="9">
        <v>0.74820143</v>
      </c>
      <c r="AB22" s="9">
        <v>0.748201</v>
      </c>
      <c r="AC22" s="9">
        <v>0.741007</v>
      </c>
      <c r="AD22" s="9">
        <v>0.74820143</v>
      </c>
      <c r="AE22" s="9">
        <v>0.748201</v>
      </c>
      <c r="AF22" s="9">
        <v>0.748201</v>
      </c>
      <c r="AG22" s="9">
        <v>0.748201</v>
      </c>
      <c r="AH22" s="9">
        <v>0.748201</v>
      </c>
      <c r="AI22" s="9">
        <v>0.748201</v>
      </c>
      <c r="AJ22" s="9">
        <v>0.748201</v>
      </c>
      <c r="AK22" s="9">
        <v>0.748201</v>
      </c>
      <c r="AL22" s="9">
        <v>0.748201</v>
      </c>
      <c r="AM22" s="9">
        <v>0.748201</v>
      </c>
      <c r="AN22" s="9">
        <v>0.748201</v>
      </c>
      <c r="AO22" s="9">
        <v>0.705036</v>
      </c>
      <c r="AP22" s="9">
        <v>0.74820143</v>
      </c>
      <c r="AQ22" s="9">
        <v>0.748201</v>
      </c>
      <c r="AR22" s="9">
        <v>0.748201</v>
      </c>
      <c r="AS22" s="9">
        <v>0.748201</v>
      </c>
      <c r="AT22" s="9">
        <v>0.748201</v>
      </c>
      <c r="AU22" s="9">
        <v>0.748201</v>
      </c>
      <c r="AV22" s="9">
        <v>0.748201</v>
      </c>
      <c r="AW22" s="9">
        <v>0.748201</v>
      </c>
      <c r="AX22" s="9">
        <v>0.748201</v>
      </c>
      <c r="AY22" s="9">
        <v>0.748201</v>
      </c>
      <c r="AZ22" s="9">
        <v>0.748201</v>
      </c>
      <c r="BA22" s="9">
        <v>0.748201</v>
      </c>
      <c r="BB22" s="9">
        <v>0.748201</v>
      </c>
      <c r="BC22" s="9">
        <v>0.748201</v>
      </c>
      <c r="BD22" s="9">
        <v>0.748201</v>
      </c>
      <c r="BE22" s="9">
        <v>0.748201</v>
      </c>
      <c r="BF22" s="9">
        <v>0.748201</v>
      </c>
      <c r="BG22" s="9">
        <v>0.66187</v>
      </c>
      <c r="BH22" s="6"/>
      <c r="BI22" s="6" t="str">
        <f t="shared" si="1"/>
        <v>5BN_Fold_Mean</v>
      </c>
      <c r="BJ22" s="6" t="str">
        <f t="shared" si="2"/>
        <v>5BN_Fold_Mean</v>
      </c>
      <c r="BK22" s="6" t="str">
        <f t="shared" si="3"/>
        <v>5BN_Fold_Mean</v>
      </c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</row>
    <row r="23" ht="15.75" customHeight="1">
      <c r="A23" s="1" t="s">
        <v>117</v>
      </c>
      <c r="B23" s="17">
        <v>96.0</v>
      </c>
      <c r="C23" s="9">
        <v>0.64</v>
      </c>
      <c r="D23" s="9">
        <v>0.64</v>
      </c>
      <c r="E23" s="9">
        <v>0.64</v>
      </c>
      <c r="F23" s="9">
        <v>0.639999986</v>
      </c>
      <c r="G23" s="9">
        <v>0.639999986</v>
      </c>
      <c r="H23" s="9">
        <v>0.64</v>
      </c>
      <c r="I23" s="9">
        <v>0.64</v>
      </c>
      <c r="J23" s="9">
        <v>0.64</v>
      </c>
      <c r="K23" s="9">
        <v>0.64</v>
      </c>
      <c r="L23" s="9">
        <v>0.639999986</v>
      </c>
      <c r="M23" s="9">
        <v>0.64</v>
      </c>
      <c r="N23" s="9">
        <v>0.64</v>
      </c>
      <c r="O23" s="9">
        <v>0.64</v>
      </c>
      <c r="P23" s="9">
        <v>0.64</v>
      </c>
      <c r="Q23" s="9">
        <v>0.64</v>
      </c>
      <c r="R23" s="9">
        <v>0.639999986</v>
      </c>
      <c r="S23" s="9">
        <v>0.64</v>
      </c>
      <c r="T23" s="9">
        <v>0.64</v>
      </c>
      <c r="U23" s="9">
        <v>0.64</v>
      </c>
      <c r="V23" s="9">
        <v>0.64</v>
      </c>
      <c r="W23" s="9">
        <v>0.64</v>
      </c>
      <c r="X23" s="9">
        <v>0.64</v>
      </c>
      <c r="Y23" s="9">
        <v>0.64</v>
      </c>
      <c r="Z23" s="9">
        <v>0.64</v>
      </c>
      <c r="AA23" s="9">
        <v>0.639999986</v>
      </c>
      <c r="AB23" s="9">
        <v>0.64</v>
      </c>
      <c r="AC23" s="9">
        <v>0.64</v>
      </c>
      <c r="AD23" s="9">
        <v>0.639999986</v>
      </c>
      <c r="AE23" s="9">
        <v>0.64</v>
      </c>
      <c r="AF23" s="9">
        <v>0.64</v>
      </c>
      <c r="AG23" s="9">
        <v>0.64</v>
      </c>
      <c r="AH23" s="9">
        <v>0.64</v>
      </c>
      <c r="AI23" s="9">
        <v>0.64</v>
      </c>
      <c r="AJ23" s="9">
        <v>0.64</v>
      </c>
      <c r="AK23" s="9">
        <v>0.64</v>
      </c>
      <c r="AL23" s="9">
        <v>0.64</v>
      </c>
      <c r="AM23" s="9">
        <v>0.64</v>
      </c>
      <c r="AN23" s="9">
        <v>0.64</v>
      </c>
      <c r="AO23" s="9">
        <v>0.64</v>
      </c>
      <c r="AP23" s="9">
        <v>0.639999986</v>
      </c>
      <c r="AQ23" s="9">
        <v>0.64</v>
      </c>
      <c r="AR23" s="9">
        <v>0.64</v>
      </c>
      <c r="AS23" s="9">
        <v>0.64</v>
      </c>
      <c r="AT23" s="9">
        <v>0.64</v>
      </c>
      <c r="AU23" s="9">
        <v>0.64</v>
      </c>
      <c r="AV23" s="9">
        <v>0.64</v>
      </c>
      <c r="AW23" s="9">
        <v>0.64</v>
      </c>
      <c r="AX23" s="9">
        <v>0.64</v>
      </c>
      <c r="AY23" s="9">
        <v>0.64</v>
      </c>
      <c r="AZ23" s="9">
        <v>0.64</v>
      </c>
      <c r="BA23" s="9">
        <v>0.64</v>
      </c>
      <c r="BB23" s="9">
        <v>0.64</v>
      </c>
      <c r="BC23" s="9">
        <v>0.64</v>
      </c>
      <c r="BD23" s="9">
        <v>0.64</v>
      </c>
      <c r="BE23" s="9">
        <v>0.64</v>
      </c>
      <c r="BF23" s="9">
        <v>0.64</v>
      </c>
      <c r="BG23" s="9">
        <v>0.64</v>
      </c>
      <c r="BH23" s="6"/>
      <c r="BI23" s="6" t="str">
        <f t="shared" si="1"/>
        <v>5B_Fold_Mean</v>
      </c>
      <c r="BJ23" s="6" t="str">
        <f t="shared" si="2"/>
        <v>5B_Fold_Mean</v>
      </c>
      <c r="BK23" s="6" t="str">
        <f t="shared" si="3"/>
        <v>5B_Fold_Mean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</row>
    <row r="24" ht="15.75" customHeight="1">
      <c r="A24" s="1" t="s">
        <v>118</v>
      </c>
      <c r="B24" s="17">
        <v>140.0</v>
      </c>
      <c r="C24" s="9">
        <v>0.911467</v>
      </c>
      <c r="D24" s="9">
        <v>0.913333</v>
      </c>
      <c r="E24" s="9">
        <v>0.922444</v>
      </c>
      <c r="F24" s="9">
        <v>0.913199985</v>
      </c>
      <c r="G24" s="9">
        <v>0.914444447</v>
      </c>
      <c r="H24" s="9">
        <v>0.583778</v>
      </c>
      <c r="I24" s="9">
        <v>0.916356</v>
      </c>
      <c r="J24" s="9">
        <v>0.917556</v>
      </c>
      <c r="K24" s="9">
        <v>0.918444</v>
      </c>
      <c r="L24" s="9">
        <v>0.912177777</v>
      </c>
      <c r="M24" s="9">
        <v>0.915111</v>
      </c>
      <c r="N24" s="9">
        <v>0.919556</v>
      </c>
      <c r="O24" s="9">
        <v>0.9136</v>
      </c>
      <c r="P24" s="9">
        <v>0.915111</v>
      </c>
      <c r="Q24" s="9">
        <v>0.922</v>
      </c>
      <c r="R24" s="9">
        <v>0.913866675</v>
      </c>
      <c r="S24" s="9">
        <v>0.914889</v>
      </c>
      <c r="T24" s="9">
        <v>0.922</v>
      </c>
      <c r="U24" s="9">
        <v>0.920044</v>
      </c>
      <c r="V24" s="9">
        <v>0.921333</v>
      </c>
      <c r="W24" s="9">
        <v>0.921778</v>
      </c>
      <c r="X24" s="9">
        <v>0.920089</v>
      </c>
      <c r="Y24" s="9">
        <v>0.920222</v>
      </c>
      <c r="Z24" s="9">
        <v>0.925778</v>
      </c>
      <c r="AA24" s="9">
        <v>0.916044438</v>
      </c>
      <c r="AB24" s="9">
        <v>0.916222</v>
      </c>
      <c r="AC24" s="9">
        <v>0.928444</v>
      </c>
      <c r="AD24" s="9">
        <v>0.916266656</v>
      </c>
      <c r="AE24" s="9">
        <v>0.916222</v>
      </c>
      <c r="AF24" s="9">
        <v>0.924889</v>
      </c>
      <c r="AG24" s="9">
        <v>0.920489</v>
      </c>
      <c r="AH24" s="9">
        <v>0.920444</v>
      </c>
      <c r="AI24" s="9">
        <v>0.924</v>
      </c>
      <c r="AJ24" s="9">
        <v>0.920844</v>
      </c>
      <c r="AK24" s="9">
        <v>0.920889</v>
      </c>
      <c r="AL24" s="9">
        <v>0.924222</v>
      </c>
      <c r="AM24" s="9">
        <v>0.917733</v>
      </c>
      <c r="AN24" s="9">
        <v>0.916667</v>
      </c>
      <c r="AO24" s="9">
        <v>0.928222</v>
      </c>
      <c r="AP24" s="9">
        <v>0.915911126</v>
      </c>
      <c r="AQ24" s="9">
        <v>0.916</v>
      </c>
      <c r="AR24" s="9">
        <v>0.925333</v>
      </c>
      <c r="AS24" s="9">
        <v>0.920978</v>
      </c>
      <c r="AT24" s="9">
        <v>0.920667</v>
      </c>
      <c r="AU24" s="9">
        <v>0.924667</v>
      </c>
      <c r="AV24" s="9">
        <v>0.920222</v>
      </c>
      <c r="AW24" s="9">
        <v>0.920444</v>
      </c>
      <c r="AX24" s="9">
        <v>0.931111</v>
      </c>
      <c r="AY24" s="9">
        <v>0.913778</v>
      </c>
      <c r="AZ24" s="9">
        <v>0.914222</v>
      </c>
      <c r="BA24" s="9">
        <v>0.921556</v>
      </c>
      <c r="BB24" s="9">
        <v>0.919778</v>
      </c>
      <c r="BC24" s="9">
        <v>0.920444</v>
      </c>
      <c r="BD24" s="9">
        <v>0.926667</v>
      </c>
      <c r="BE24" s="9">
        <v>0.924756</v>
      </c>
      <c r="BF24" s="9">
        <v>0.924889</v>
      </c>
      <c r="BG24" s="9">
        <v>0.926444</v>
      </c>
      <c r="BH24" s="6"/>
      <c r="BI24" s="6" t="str">
        <f t="shared" si="1"/>
        <v>12VB_One_Acc</v>
      </c>
      <c r="BJ24" s="6" t="str">
        <f t="shared" si="2"/>
        <v>10B_One_Acc</v>
      </c>
      <c r="BK24" s="6" t="str">
        <f t="shared" si="3"/>
        <v>12B_One_Acc</v>
      </c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</row>
    <row r="25" ht="15.75" customHeight="1">
      <c r="A25" s="1" t="s">
        <v>119</v>
      </c>
      <c r="B25" s="17">
        <v>136.0</v>
      </c>
      <c r="C25" s="9">
        <v>0.75633</v>
      </c>
      <c r="D25" s="9">
        <v>0.785134</v>
      </c>
      <c r="E25" s="9">
        <v>0.796748</v>
      </c>
      <c r="F25" s="9">
        <v>0.592102212</v>
      </c>
      <c r="G25" s="9">
        <v>0.59814167</v>
      </c>
      <c r="H25" s="9">
        <v>0.497096</v>
      </c>
      <c r="I25" s="9">
        <v>0.881998</v>
      </c>
      <c r="J25" s="9">
        <v>0.888502</v>
      </c>
      <c r="K25" s="9">
        <v>0.885017</v>
      </c>
      <c r="L25" s="9">
        <v>0.876655042</v>
      </c>
      <c r="M25" s="9">
        <v>0.878049</v>
      </c>
      <c r="N25" s="9">
        <v>0.912892</v>
      </c>
      <c r="O25" s="9">
        <v>0.702207</v>
      </c>
      <c r="P25" s="9">
        <v>0.765389</v>
      </c>
      <c r="Q25" s="9">
        <v>0.789779</v>
      </c>
      <c r="R25" s="9">
        <v>0.719628346</v>
      </c>
      <c r="S25" s="9">
        <v>0.704994</v>
      </c>
      <c r="T25" s="9">
        <v>0.81417</v>
      </c>
      <c r="U25" s="9">
        <v>0.837863</v>
      </c>
      <c r="V25" s="9">
        <v>0.858304</v>
      </c>
      <c r="W25" s="9">
        <v>0.872242</v>
      </c>
      <c r="X25" s="9">
        <v>0.75122</v>
      </c>
      <c r="Y25" s="9">
        <v>0.826945</v>
      </c>
      <c r="Z25" s="9">
        <v>0.875726</v>
      </c>
      <c r="AA25" s="9">
        <v>0.675029039</v>
      </c>
      <c r="AB25" s="9">
        <v>0.745645</v>
      </c>
      <c r="AC25" s="9">
        <v>0.851336</v>
      </c>
      <c r="AD25" s="9">
        <v>0.690127766</v>
      </c>
      <c r="AE25" s="9">
        <v>0.71777</v>
      </c>
      <c r="AF25" s="9">
        <v>0.84669</v>
      </c>
      <c r="AG25" s="9">
        <v>0.672242</v>
      </c>
      <c r="AH25" s="9">
        <v>0.68525</v>
      </c>
      <c r="AI25" s="9">
        <v>0.836237</v>
      </c>
      <c r="AJ25" s="9">
        <v>0.650174</v>
      </c>
      <c r="AK25" s="9">
        <v>0.627178</v>
      </c>
      <c r="AL25" s="9">
        <v>0.801394</v>
      </c>
      <c r="AM25" s="9">
        <v>0.769106</v>
      </c>
      <c r="AN25" s="9">
        <v>0.807201</v>
      </c>
      <c r="AO25" s="9">
        <v>0.826945</v>
      </c>
      <c r="AP25" s="9">
        <v>0.65574913</v>
      </c>
      <c r="AQ25" s="9">
        <v>0.735192</v>
      </c>
      <c r="AR25" s="9">
        <v>0.811847</v>
      </c>
      <c r="AS25" s="9">
        <v>0.728455</v>
      </c>
      <c r="AT25" s="9">
        <v>0.810685</v>
      </c>
      <c r="AU25" s="9">
        <v>0.831591</v>
      </c>
      <c r="AV25" s="9">
        <v>0.818815</v>
      </c>
      <c r="AW25" s="9">
        <v>0.829268</v>
      </c>
      <c r="AX25" s="9">
        <v>0.824623</v>
      </c>
      <c r="AY25" s="9">
        <v>0.774913</v>
      </c>
      <c r="AZ25" s="9">
        <v>0.790941</v>
      </c>
      <c r="BA25" s="9">
        <v>0.8223</v>
      </c>
      <c r="BB25" s="9">
        <v>0.560279</v>
      </c>
      <c r="BC25" s="9">
        <v>0.497096</v>
      </c>
      <c r="BD25" s="9">
        <v>0.658537</v>
      </c>
      <c r="BE25" s="9">
        <v>0.723345</v>
      </c>
      <c r="BF25" s="9">
        <v>0.745645</v>
      </c>
      <c r="BG25" s="9">
        <v>0.816492</v>
      </c>
      <c r="BH25" s="6"/>
      <c r="BI25" s="6" t="str">
        <f t="shared" si="1"/>
        <v>5VB_One_Acc</v>
      </c>
      <c r="BJ25" s="6" t="str">
        <f t="shared" si="2"/>
        <v>5V_Fold_Median</v>
      </c>
      <c r="BK25" s="6" t="str">
        <f t="shared" si="3"/>
        <v>5V_One_Acc</v>
      </c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</row>
    <row r="26" ht="15.75" customHeight="1">
      <c r="A26" s="1" t="s">
        <v>120</v>
      </c>
      <c r="B26" s="17">
        <v>96.0</v>
      </c>
      <c r="C26" s="9">
        <v>0.620568</v>
      </c>
      <c r="D26" s="9">
        <v>0.630787</v>
      </c>
      <c r="E26" s="9">
        <v>0.632343</v>
      </c>
      <c r="F26" s="9">
        <v>0.560368311</v>
      </c>
      <c r="G26" s="9">
        <v>0.556866825</v>
      </c>
      <c r="H26" s="9">
        <v>0.242381</v>
      </c>
      <c r="I26" s="9">
        <v>0.628998</v>
      </c>
      <c r="J26" s="9">
        <v>0.628712</v>
      </c>
      <c r="K26" s="9">
        <v>0.607574</v>
      </c>
      <c r="L26" s="9">
        <v>0.63862015</v>
      </c>
      <c r="M26" s="9">
        <v>0.637012</v>
      </c>
      <c r="N26" s="9">
        <v>0.650499</v>
      </c>
      <c r="O26" s="9">
        <v>0.637271</v>
      </c>
      <c r="P26" s="9">
        <v>0.648165</v>
      </c>
      <c r="Q26" s="9">
        <v>0.677474</v>
      </c>
      <c r="R26" s="9">
        <v>0.640876675</v>
      </c>
      <c r="S26" s="9">
        <v>0.652056</v>
      </c>
      <c r="T26" s="9">
        <v>0.670341</v>
      </c>
      <c r="U26" s="9">
        <v>0.635352</v>
      </c>
      <c r="V26" s="9">
        <v>0.635975</v>
      </c>
      <c r="W26" s="9">
        <v>0.643237</v>
      </c>
      <c r="X26" s="9">
        <v>0.648502</v>
      </c>
      <c r="Y26" s="9">
        <v>0.651277</v>
      </c>
      <c r="Z26" s="9">
        <v>0.606017</v>
      </c>
      <c r="AA26" s="9">
        <v>0.632473087</v>
      </c>
      <c r="AB26" s="9">
        <v>0.635067</v>
      </c>
      <c r="AC26" s="9">
        <v>0.627415</v>
      </c>
      <c r="AD26" s="9">
        <v>0.655894172</v>
      </c>
      <c r="AE26" s="9">
        <v>0.664765</v>
      </c>
      <c r="AF26" s="9">
        <v>0.66671</v>
      </c>
      <c r="AG26" s="9">
        <v>0.65203</v>
      </c>
      <c r="AH26" s="9">
        <v>0.651018</v>
      </c>
      <c r="AI26" s="9">
        <v>0.652445</v>
      </c>
      <c r="AJ26" s="9">
        <v>0.644612</v>
      </c>
      <c r="AK26" s="9">
        <v>0.638698</v>
      </c>
      <c r="AL26" s="9">
        <v>0.634937</v>
      </c>
      <c r="AM26" s="9">
        <v>0.611309</v>
      </c>
      <c r="AN26" s="9">
        <v>0.622487</v>
      </c>
      <c r="AO26" s="9">
        <v>0.67488</v>
      </c>
      <c r="AP26" s="9">
        <v>0.613876283</v>
      </c>
      <c r="AQ26" s="9">
        <v>0.61328</v>
      </c>
      <c r="AR26" s="9">
        <v>0.638568</v>
      </c>
      <c r="AS26" s="9">
        <v>0.630398</v>
      </c>
      <c r="AT26" s="9">
        <v>0.631436</v>
      </c>
      <c r="AU26" s="9">
        <v>0.626248</v>
      </c>
      <c r="AV26" s="9">
        <v>0.639684</v>
      </c>
      <c r="AW26" s="9">
        <v>0.638179</v>
      </c>
      <c r="AX26" s="9">
        <v>0.658151</v>
      </c>
      <c r="AY26" s="9">
        <v>0.62892</v>
      </c>
      <c r="AZ26" s="9">
        <v>0.62158</v>
      </c>
      <c r="BA26" s="9">
        <v>0.609519</v>
      </c>
      <c r="BB26" s="9">
        <v>0.638205</v>
      </c>
      <c r="BC26" s="9">
        <v>0.641551</v>
      </c>
      <c r="BD26" s="9">
        <v>0.600571</v>
      </c>
      <c r="BE26" s="9">
        <v>0.589029</v>
      </c>
      <c r="BF26" s="9">
        <v>0.585657</v>
      </c>
      <c r="BG26" s="9">
        <v>0.610686</v>
      </c>
      <c r="BH26" s="6"/>
      <c r="BI26" s="6" t="str">
        <f t="shared" si="1"/>
        <v>8B_One_Acc</v>
      </c>
      <c r="BJ26" s="6" t="str">
        <f t="shared" si="2"/>
        <v>12B_One_Acc</v>
      </c>
      <c r="BK26" s="6" t="str">
        <f t="shared" si="3"/>
        <v>8BN_One_Acc</v>
      </c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</row>
    <row r="27" ht="15.75" customHeight="1">
      <c r="A27" s="1" t="s">
        <v>121</v>
      </c>
      <c r="B27" s="17">
        <v>1751.0</v>
      </c>
      <c r="C27" s="9">
        <v>0.2672</v>
      </c>
      <c r="D27" s="9">
        <v>0.252</v>
      </c>
      <c r="E27" s="9">
        <v>0.248</v>
      </c>
      <c r="F27" s="9">
        <v>0.266000009</v>
      </c>
      <c r="G27" s="9">
        <v>0.256000012</v>
      </c>
      <c r="H27" s="9">
        <v>0.252</v>
      </c>
      <c r="I27" s="9">
        <v>0.2496</v>
      </c>
      <c r="J27" s="9">
        <v>0.25</v>
      </c>
      <c r="K27" s="9">
        <v>0.248</v>
      </c>
      <c r="L27" s="9">
        <v>0.253999996</v>
      </c>
      <c r="M27" s="9">
        <v>0.248</v>
      </c>
      <c r="N27" s="9">
        <v>0.276</v>
      </c>
      <c r="O27" s="9">
        <v>0.2932</v>
      </c>
      <c r="P27" s="9">
        <v>0.284</v>
      </c>
      <c r="Q27" s="9">
        <v>0.252</v>
      </c>
      <c r="R27" s="9">
        <v>0.253599995</v>
      </c>
      <c r="S27" s="9">
        <v>0.248</v>
      </c>
      <c r="T27" s="9">
        <v>0.248</v>
      </c>
      <c r="U27" s="9">
        <v>0.2524</v>
      </c>
      <c r="V27" s="9">
        <v>0.252</v>
      </c>
      <c r="W27" s="9">
        <v>0.248</v>
      </c>
      <c r="X27" s="9">
        <v>0.2476</v>
      </c>
      <c r="Y27" s="9">
        <v>0.252</v>
      </c>
      <c r="Z27" s="9">
        <v>0.248</v>
      </c>
      <c r="AA27" s="9">
        <v>0.285599995</v>
      </c>
      <c r="AB27" s="9">
        <v>0.268</v>
      </c>
      <c r="AC27" s="9">
        <v>0.248</v>
      </c>
      <c r="AD27" s="9">
        <v>0.288000003</v>
      </c>
      <c r="AE27" s="9">
        <v>0.284</v>
      </c>
      <c r="AF27" s="9">
        <v>0.252</v>
      </c>
      <c r="AG27" s="9">
        <v>0.3264</v>
      </c>
      <c r="AH27" s="9">
        <v>0.294</v>
      </c>
      <c r="AI27" s="9">
        <v>0.38</v>
      </c>
      <c r="AJ27" s="9">
        <v>0.3488</v>
      </c>
      <c r="AK27" s="9">
        <v>0.356</v>
      </c>
      <c r="AL27" s="9">
        <v>0.402</v>
      </c>
      <c r="AM27" s="9">
        <v>0.2496</v>
      </c>
      <c r="AN27" s="9">
        <v>0.248</v>
      </c>
      <c r="AO27" s="9">
        <v>0.258</v>
      </c>
      <c r="AP27" s="9">
        <v>0.281999993</v>
      </c>
      <c r="AQ27" s="9">
        <v>0.258</v>
      </c>
      <c r="AR27" s="9">
        <v>0.286</v>
      </c>
      <c r="AS27" s="9">
        <v>0.2476</v>
      </c>
      <c r="AT27" s="9">
        <v>0.248</v>
      </c>
      <c r="AU27" s="9">
        <v>0.288</v>
      </c>
      <c r="AV27" s="9">
        <v>0.25</v>
      </c>
      <c r="AW27" s="9">
        <v>0.248</v>
      </c>
      <c r="AX27" s="9">
        <v>0.248</v>
      </c>
      <c r="AY27" s="9">
        <v>0.2536</v>
      </c>
      <c r="AZ27" s="9">
        <v>0.248</v>
      </c>
      <c r="BA27" s="9">
        <v>0.278</v>
      </c>
      <c r="BB27" s="9">
        <v>0.286</v>
      </c>
      <c r="BC27" s="9">
        <v>0.26</v>
      </c>
      <c r="BD27" s="9">
        <v>0.252</v>
      </c>
      <c r="BE27" s="9">
        <v>0.3056</v>
      </c>
      <c r="BF27" s="9">
        <v>0.314</v>
      </c>
      <c r="BG27" s="9">
        <v>0.272</v>
      </c>
      <c r="BH27" s="6"/>
      <c r="BI27" s="6" t="str">
        <f t="shared" si="1"/>
        <v>10VB_One_Acc</v>
      </c>
      <c r="BJ27" s="6" t="str">
        <f t="shared" si="2"/>
        <v>10V_One_Acc</v>
      </c>
      <c r="BK27" s="6" t="str">
        <f t="shared" si="3"/>
        <v>10VB_Fold_Median</v>
      </c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</row>
    <row r="28" ht="15.75" customHeight="1">
      <c r="A28" s="1" t="s">
        <v>122</v>
      </c>
      <c r="B28" s="17">
        <v>131.0</v>
      </c>
      <c r="C28" s="9">
        <v>0.393728</v>
      </c>
      <c r="D28" s="9">
        <v>0.395266</v>
      </c>
      <c r="E28" s="9">
        <v>0.466864</v>
      </c>
      <c r="F28" s="9">
        <v>0.400710058</v>
      </c>
      <c r="G28" s="9">
        <v>0.411834329</v>
      </c>
      <c r="H28" s="9">
        <v>0.064497</v>
      </c>
      <c r="I28" s="9">
        <v>0.539527</v>
      </c>
      <c r="J28" s="9">
        <v>0.554438</v>
      </c>
      <c r="K28" s="9">
        <v>0.602959</v>
      </c>
      <c r="L28" s="9">
        <v>0.371124262</v>
      </c>
      <c r="M28" s="9">
        <v>0.36568</v>
      </c>
      <c r="N28" s="9">
        <v>0.624852</v>
      </c>
      <c r="O28" s="9">
        <v>0.587219</v>
      </c>
      <c r="P28" s="9">
        <v>0.587574</v>
      </c>
      <c r="Q28" s="9">
        <v>0.632544</v>
      </c>
      <c r="R28" s="9">
        <v>0.553964508</v>
      </c>
      <c r="S28" s="9">
        <v>0.557396</v>
      </c>
      <c r="T28" s="9">
        <v>0.63787</v>
      </c>
      <c r="U28" s="9">
        <v>0.577751</v>
      </c>
      <c r="V28" s="9">
        <v>0.523077</v>
      </c>
      <c r="W28" s="9">
        <v>0.704142</v>
      </c>
      <c r="X28" s="9">
        <v>0.439172</v>
      </c>
      <c r="Y28" s="9">
        <v>0.443787</v>
      </c>
      <c r="Z28" s="9">
        <v>0.516568</v>
      </c>
      <c r="AA28" s="9">
        <v>0.567573953</v>
      </c>
      <c r="AB28" s="9">
        <v>0.580473</v>
      </c>
      <c r="AC28" s="9">
        <v>0.552663</v>
      </c>
      <c r="AD28" s="9">
        <v>0.675621295</v>
      </c>
      <c r="AE28" s="9">
        <v>0.673373</v>
      </c>
      <c r="AF28" s="9">
        <v>0.676331</v>
      </c>
      <c r="AG28" s="9">
        <v>0.54213</v>
      </c>
      <c r="AH28" s="9">
        <v>0.550888</v>
      </c>
      <c r="AI28" s="9">
        <v>0.436686</v>
      </c>
      <c r="AJ28" s="9">
        <v>0.422249</v>
      </c>
      <c r="AK28" s="9">
        <v>0.374556</v>
      </c>
      <c r="AL28" s="9">
        <v>0.671006</v>
      </c>
      <c r="AM28" s="9">
        <v>0.550888</v>
      </c>
      <c r="AN28" s="9">
        <v>0.591124</v>
      </c>
      <c r="AO28" s="9">
        <v>0.36213</v>
      </c>
      <c r="AP28" s="9">
        <v>0.624023664</v>
      </c>
      <c r="AQ28" s="9">
        <v>0.629586</v>
      </c>
      <c r="AR28" s="9">
        <v>0.613018</v>
      </c>
      <c r="AS28" s="9">
        <v>0.442722</v>
      </c>
      <c r="AT28" s="9">
        <v>0.420118</v>
      </c>
      <c r="AU28" s="9">
        <v>0.646746</v>
      </c>
      <c r="AV28" s="9">
        <v>0.485917</v>
      </c>
      <c r="AW28" s="9">
        <v>0.46568</v>
      </c>
      <c r="AX28" s="9">
        <v>0.539645</v>
      </c>
      <c r="AY28" s="9">
        <v>0.631716</v>
      </c>
      <c r="AZ28" s="9">
        <v>0.678106</v>
      </c>
      <c r="BA28" s="9">
        <v>0.605325</v>
      </c>
      <c r="BB28" s="9">
        <v>0.422604</v>
      </c>
      <c r="BC28" s="9">
        <v>0.405325</v>
      </c>
      <c r="BD28" s="9">
        <v>0.390533</v>
      </c>
      <c r="BE28" s="9">
        <v>0.363077</v>
      </c>
      <c r="BF28" s="9">
        <v>0.300592</v>
      </c>
      <c r="BG28" s="9">
        <v>0.13787</v>
      </c>
      <c r="BH28" s="6"/>
      <c r="BI28" s="6" t="str">
        <f t="shared" si="1"/>
        <v>8V_One_Acc</v>
      </c>
      <c r="BJ28" s="6" t="str">
        <f t="shared" si="2"/>
        <v>20B_Fold_Median</v>
      </c>
      <c r="BK28" s="6" t="str">
        <f t="shared" si="3"/>
        <v>10BN_One_Acc</v>
      </c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</row>
    <row r="29" ht="15.75" customHeight="1">
      <c r="A29" s="1" t="s">
        <v>123</v>
      </c>
      <c r="B29" s="17">
        <v>350.0</v>
      </c>
      <c r="C29" s="9">
        <v>0.384091</v>
      </c>
      <c r="D29" s="9">
        <v>0.397727</v>
      </c>
      <c r="E29" s="9">
        <v>0.465909</v>
      </c>
      <c r="F29" s="9">
        <v>0.361363637</v>
      </c>
      <c r="G29" s="9">
        <v>0.363636374</v>
      </c>
      <c r="H29" s="9">
        <v>0.159091</v>
      </c>
      <c r="I29" s="9">
        <v>0.531818</v>
      </c>
      <c r="J29" s="9">
        <v>0.522727</v>
      </c>
      <c r="K29" s="9">
        <v>0.647727</v>
      </c>
      <c r="L29" s="9">
        <v>0.586363637</v>
      </c>
      <c r="M29" s="9">
        <v>0.545455</v>
      </c>
      <c r="N29" s="9">
        <v>0.738636</v>
      </c>
      <c r="O29" s="9">
        <v>0.456818</v>
      </c>
      <c r="P29" s="9">
        <v>0.409091</v>
      </c>
      <c r="Q29" s="9">
        <v>0.613636</v>
      </c>
      <c r="R29" s="9">
        <v>0.490909094</v>
      </c>
      <c r="S29" s="9">
        <v>0.488636</v>
      </c>
      <c r="T29" s="9">
        <v>0.556818</v>
      </c>
      <c r="U29" s="9">
        <v>0.7</v>
      </c>
      <c r="V29" s="9">
        <v>0.715909</v>
      </c>
      <c r="W29" s="9">
        <v>0.579545</v>
      </c>
      <c r="X29" s="9">
        <v>0.645455</v>
      </c>
      <c r="Y29" s="9">
        <v>0.602273</v>
      </c>
      <c r="Z29" s="9">
        <v>0.784091</v>
      </c>
      <c r="AA29" s="9">
        <v>0.45454545</v>
      </c>
      <c r="AB29" s="9">
        <v>0.454545</v>
      </c>
      <c r="AC29" s="9">
        <v>0.545455</v>
      </c>
      <c r="AD29" s="9">
        <v>0.440909091</v>
      </c>
      <c r="AE29" s="9">
        <v>0.477273</v>
      </c>
      <c r="AF29" s="9">
        <v>0.5</v>
      </c>
      <c r="AG29" s="9">
        <v>0.590909</v>
      </c>
      <c r="AH29" s="9">
        <v>0.556818</v>
      </c>
      <c r="AI29" s="9">
        <v>0.75</v>
      </c>
      <c r="AJ29" s="9">
        <v>0.638636</v>
      </c>
      <c r="AK29" s="9">
        <v>0.625</v>
      </c>
      <c r="AL29" s="9">
        <v>0.693182</v>
      </c>
      <c r="AM29" s="9">
        <v>0.515909</v>
      </c>
      <c r="AN29" s="9">
        <v>0.534091</v>
      </c>
      <c r="AO29" s="9">
        <v>0.715909</v>
      </c>
      <c r="AP29" s="9">
        <v>0.522727263</v>
      </c>
      <c r="AQ29" s="9">
        <v>0.647727</v>
      </c>
      <c r="AR29" s="9">
        <v>0.681818</v>
      </c>
      <c r="AS29" s="9">
        <v>0.522727</v>
      </c>
      <c r="AT29" s="9">
        <v>0.545455</v>
      </c>
      <c r="AU29" s="9">
        <v>0.659091</v>
      </c>
      <c r="AV29" s="9">
        <v>0.602273</v>
      </c>
      <c r="AW29" s="9">
        <v>0.602273</v>
      </c>
      <c r="AX29" s="9">
        <v>0.818182</v>
      </c>
      <c r="AY29" s="9">
        <v>0.563636</v>
      </c>
      <c r="AZ29" s="9">
        <v>0.488636</v>
      </c>
      <c r="BA29" s="9">
        <v>0.704545</v>
      </c>
      <c r="BB29" s="9">
        <v>0.65</v>
      </c>
      <c r="BC29" s="9">
        <v>0.681818</v>
      </c>
      <c r="BD29" s="9">
        <v>0.840909</v>
      </c>
      <c r="BE29" s="9">
        <v>0.520455</v>
      </c>
      <c r="BF29" s="9">
        <v>0.488636</v>
      </c>
      <c r="BG29" s="9">
        <v>0.590909</v>
      </c>
      <c r="BH29" s="6"/>
      <c r="BI29" s="6" t="str">
        <f t="shared" si="1"/>
        <v>20V_One_Acc</v>
      </c>
      <c r="BJ29" s="6" t="str">
        <f t="shared" si="2"/>
        <v>12VB_One_Acc</v>
      </c>
      <c r="BK29" s="6" t="str">
        <f t="shared" si="3"/>
        <v>8VB_One_Acc</v>
      </c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</row>
    <row r="30" ht="15.75" customHeight="1">
      <c r="A30" s="1" t="s">
        <v>124</v>
      </c>
      <c r="B30" s="17">
        <v>131.0</v>
      </c>
      <c r="C30" s="9">
        <v>0.517951</v>
      </c>
      <c r="D30" s="9">
        <v>0.519024</v>
      </c>
      <c r="E30" s="9">
        <v>0.560976</v>
      </c>
      <c r="F30" s="9">
        <v>0.456195128</v>
      </c>
      <c r="G30" s="9">
        <v>0.458048791</v>
      </c>
      <c r="H30" s="9">
        <v>0.143415</v>
      </c>
      <c r="I30" s="9">
        <v>0.564</v>
      </c>
      <c r="J30" s="9">
        <v>0.581951</v>
      </c>
      <c r="K30" s="9">
        <v>0.570732</v>
      </c>
      <c r="L30" s="9">
        <v>0.548682922</v>
      </c>
      <c r="M30" s="9">
        <v>0.556585</v>
      </c>
      <c r="N30" s="9">
        <v>0.49122</v>
      </c>
      <c r="O30" s="9">
        <v>0.626049</v>
      </c>
      <c r="P30" s="9">
        <v>0.625366</v>
      </c>
      <c r="Q30" s="9">
        <v>0.630244</v>
      </c>
      <c r="R30" s="9">
        <v>0.582048786</v>
      </c>
      <c r="S30" s="9">
        <v>0.598537</v>
      </c>
      <c r="T30" s="9">
        <v>0.638537</v>
      </c>
      <c r="U30" s="9">
        <v>0.607512</v>
      </c>
      <c r="V30" s="9">
        <v>0.61122</v>
      </c>
      <c r="W30" s="9">
        <v>0.686341</v>
      </c>
      <c r="X30" s="9">
        <v>0.585854</v>
      </c>
      <c r="Y30" s="9">
        <v>0.583902</v>
      </c>
      <c r="Z30" s="9">
        <v>0.574146</v>
      </c>
      <c r="AA30" s="9">
        <v>0.599414653</v>
      </c>
      <c r="AB30" s="9">
        <v>0.610244</v>
      </c>
      <c r="AC30" s="9">
        <v>0.7</v>
      </c>
      <c r="AD30" s="9">
        <v>0.617268288</v>
      </c>
      <c r="AE30" s="9">
        <v>0.640976</v>
      </c>
      <c r="AF30" s="9">
        <v>0.607805</v>
      </c>
      <c r="AG30" s="9">
        <v>0.538829</v>
      </c>
      <c r="AH30" s="9">
        <v>0.537073</v>
      </c>
      <c r="AI30" s="9">
        <v>0.690244</v>
      </c>
      <c r="AJ30" s="9">
        <v>0.564878</v>
      </c>
      <c r="AK30" s="9">
        <v>0.581463</v>
      </c>
      <c r="AL30" s="9">
        <v>0.415122</v>
      </c>
      <c r="AM30" s="9">
        <v>0.636195</v>
      </c>
      <c r="AN30" s="9">
        <v>0.649268</v>
      </c>
      <c r="AO30" s="9">
        <v>0.561951</v>
      </c>
      <c r="AP30" s="9">
        <v>0.636097562</v>
      </c>
      <c r="AQ30" s="9">
        <v>0.636585</v>
      </c>
      <c r="AR30" s="9">
        <v>0.679024</v>
      </c>
      <c r="AS30" s="9">
        <v>0.573268</v>
      </c>
      <c r="AT30" s="9">
        <v>0.565366</v>
      </c>
      <c r="AU30" s="9">
        <v>0.601951</v>
      </c>
      <c r="AV30" s="9">
        <v>0.612098</v>
      </c>
      <c r="AW30" s="9">
        <v>0.61122</v>
      </c>
      <c r="AX30" s="9">
        <v>0.369756</v>
      </c>
      <c r="AY30" s="9">
        <v>0.667902</v>
      </c>
      <c r="AZ30" s="9">
        <v>0.687805</v>
      </c>
      <c r="BA30" s="9">
        <v>0.665366</v>
      </c>
      <c r="BB30" s="9">
        <v>0.549463</v>
      </c>
      <c r="BC30" s="9">
        <v>0.541463</v>
      </c>
      <c r="BD30" s="9">
        <v>0.570244</v>
      </c>
      <c r="BE30" s="9">
        <v>0.378146</v>
      </c>
      <c r="BF30" s="9">
        <v>0.393171</v>
      </c>
      <c r="BG30" s="9">
        <v>0.396098</v>
      </c>
      <c r="BH30" s="6"/>
      <c r="BI30" s="6" t="str">
        <f t="shared" si="1"/>
        <v>10B_One_Acc</v>
      </c>
      <c r="BJ30" s="6" t="str">
        <f t="shared" si="2"/>
        <v>10V_One_Acc</v>
      </c>
      <c r="BK30" s="6" t="str">
        <f t="shared" si="3"/>
        <v>20B_Fold_Median</v>
      </c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</row>
    <row r="31" ht="15.75" customHeight="1">
      <c r="A31" s="1" t="s">
        <v>125</v>
      </c>
      <c r="B31" s="17">
        <v>270.0</v>
      </c>
      <c r="C31" s="9">
        <v>0.412747</v>
      </c>
      <c r="D31" s="9">
        <v>0.413187</v>
      </c>
      <c r="E31" s="9">
        <v>0.404396</v>
      </c>
      <c r="F31" s="9">
        <v>0.356043965</v>
      </c>
      <c r="G31" s="9">
        <v>0.353846163</v>
      </c>
      <c r="H31" s="9">
        <v>0.125275</v>
      </c>
      <c r="I31" s="9">
        <v>0.396044</v>
      </c>
      <c r="J31" s="9">
        <v>0.386813</v>
      </c>
      <c r="K31" s="9">
        <v>0.353846</v>
      </c>
      <c r="L31" s="9">
        <v>0.389010996</v>
      </c>
      <c r="M31" s="9">
        <v>0.373626</v>
      </c>
      <c r="N31" s="9">
        <v>0.272527</v>
      </c>
      <c r="O31" s="9">
        <v>0.444835</v>
      </c>
      <c r="P31" s="9">
        <v>0.446154</v>
      </c>
      <c r="Q31" s="9">
        <v>0.492308</v>
      </c>
      <c r="R31" s="9">
        <v>0.465934068</v>
      </c>
      <c r="S31" s="9">
        <v>0.476923</v>
      </c>
      <c r="T31" s="9">
        <v>0.505495</v>
      </c>
      <c r="U31" s="9">
        <v>0.374066</v>
      </c>
      <c r="V31" s="9">
        <v>0.397802</v>
      </c>
      <c r="W31" s="9">
        <v>0.254945</v>
      </c>
      <c r="X31" s="9">
        <v>0.38989</v>
      </c>
      <c r="Y31" s="9">
        <v>0.378022</v>
      </c>
      <c r="Z31" s="9">
        <v>0.340659</v>
      </c>
      <c r="AA31" s="9">
        <v>0.439120883</v>
      </c>
      <c r="AB31" s="9">
        <v>0.430769</v>
      </c>
      <c r="AC31" s="9">
        <v>0.452747</v>
      </c>
      <c r="AD31" s="9">
        <v>0.454945064</v>
      </c>
      <c r="AE31" s="9">
        <v>0.432967</v>
      </c>
      <c r="AF31" s="9">
        <v>0.540659</v>
      </c>
      <c r="AG31" s="9">
        <v>0.301538</v>
      </c>
      <c r="AH31" s="9">
        <v>0.259341</v>
      </c>
      <c r="AI31" s="9">
        <v>0.389011</v>
      </c>
      <c r="AJ31" s="9">
        <v>0.414945</v>
      </c>
      <c r="AK31" s="9">
        <v>0.424176</v>
      </c>
      <c r="AL31" s="9">
        <v>0.426374</v>
      </c>
      <c r="AM31" s="9">
        <v>0.414945</v>
      </c>
      <c r="AN31" s="9">
        <v>0.413187</v>
      </c>
      <c r="AO31" s="9">
        <v>0.492308</v>
      </c>
      <c r="AP31" s="9">
        <v>0.479120886</v>
      </c>
      <c r="AQ31" s="9">
        <v>0.481319</v>
      </c>
      <c r="AR31" s="9">
        <v>0.432967</v>
      </c>
      <c r="AS31" s="9">
        <v>0.338022</v>
      </c>
      <c r="AT31" s="9">
        <v>0.342857</v>
      </c>
      <c r="AU31" s="9">
        <v>0.252747</v>
      </c>
      <c r="AV31" s="9">
        <v>0.331429</v>
      </c>
      <c r="AW31" s="9">
        <v>0.336264</v>
      </c>
      <c r="AX31" s="9">
        <v>0.364835</v>
      </c>
      <c r="AY31" s="9">
        <v>0.378022</v>
      </c>
      <c r="AZ31" s="9">
        <v>0.373626</v>
      </c>
      <c r="BA31" s="9">
        <v>0.356044</v>
      </c>
      <c r="BB31" s="9">
        <v>0.384176</v>
      </c>
      <c r="BC31" s="9">
        <v>0.382418</v>
      </c>
      <c r="BD31" s="9">
        <v>0.457143</v>
      </c>
      <c r="BE31" s="9">
        <v>0.454505</v>
      </c>
      <c r="BF31" s="9">
        <v>0.459341</v>
      </c>
      <c r="BG31" s="9">
        <v>0.465934</v>
      </c>
      <c r="BH31" s="6"/>
      <c r="BI31" s="6" t="str">
        <f t="shared" si="1"/>
        <v>10BN_One_Acc</v>
      </c>
      <c r="BJ31" s="6" t="str">
        <f t="shared" si="2"/>
        <v>8BN_One_Acc</v>
      </c>
      <c r="BK31" s="6" t="str">
        <f t="shared" si="3"/>
        <v>8B_One_Acc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</row>
    <row r="32" ht="15.75" customHeight="1">
      <c r="A32" s="1" t="s">
        <v>126</v>
      </c>
      <c r="B32" s="17">
        <v>463.0</v>
      </c>
      <c r="C32" s="9">
        <v>0.517714</v>
      </c>
      <c r="D32" s="9">
        <v>0.514286</v>
      </c>
      <c r="E32" s="9">
        <v>0.491429</v>
      </c>
      <c r="F32" s="9">
        <v>0.48228572</v>
      </c>
      <c r="G32" s="9">
        <v>0.497142851</v>
      </c>
      <c r="H32" s="9">
        <v>0.137143</v>
      </c>
      <c r="I32" s="9">
        <v>0.669714</v>
      </c>
      <c r="J32" s="9">
        <v>0.68</v>
      </c>
      <c r="K32" s="9">
        <v>0.531429</v>
      </c>
      <c r="L32" s="9">
        <v>0.656000006</v>
      </c>
      <c r="M32" s="9">
        <v>0.651429</v>
      </c>
      <c r="N32" s="9">
        <v>0.748571</v>
      </c>
      <c r="O32" s="9">
        <v>0.580571</v>
      </c>
      <c r="P32" s="9">
        <v>0.577143</v>
      </c>
      <c r="Q32" s="9">
        <v>0.668571</v>
      </c>
      <c r="R32" s="9">
        <v>0.618285716</v>
      </c>
      <c r="S32" s="9">
        <v>0.628571</v>
      </c>
      <c r="T32" s="9">
        <v>0.622857</v>
      </c>
      <c r="U32" s="9">
        <v>0.618286</v>
      </c>
      <c r="V32" s="9">
        <v>0.691429</v>
      </c>
      <c r="W32" s="9">
        <v>0.594286</v>
      </c>
      <c r="X32" s="9">
        <v>0.592</v>
      </c>
      <c r="Y32" s="9">
        <v>0.64</v>
      </c>
      <c r="Z32" s="9">
        <v>0.52</v>
      </c>
      <c r="AA32" s="9">
        <v>0.594285703</v>
      </c>
      <c r="AB32" s="9">
        <v>0.577143</v>
      </c>
      <c r="AC32" s="9">
        <v>0.611429</v>
      </c>
      <c r="AD32" s="9">
        <v>0.595428574</v>
      </c>
      <c r="AE32" s="9">
        <v>0.6</v>
      </c>
      <c r="AF32" s="9">
        <v>0.645714</v>
      </c>
      <c r="AG32" s="9">
        <v>0.613714</v>
      </c>
      <c r="AH32" s="9">
        <v>0.611429</v>
      </c>
      <c r="AI32" s="9">
        <v>0.634286</v>
      </c>
      <c r="AJ32" s="9">
        <v>0.558857</v>
      </c>
      <c r="AK32" s="9">
        <v>0.537143</v>
      </c>
      <c r="AL32" s="9">
        <v>0.508571</v>
      </c>
      <c r="AM32" s="9">
        <v>0.590857</v>
      </c>
      <c r="AN32" s="9">
        <v>0.588571</v>
      </c>
      <c r="AO32" s="9">
        <v>0.514286</v>
      </c>
      <c r="AP32" s="9">
        <v>0.555428576</v>
      </c>
      <c r="AQ32" s="9">
        <v>0.554286</v>
      </c>
      <c r="AR32" s="9">
        <v>0.662857</v>
      </c>
      <c r="AS32" s="9">
        <v>0.539429</v>
      </c>
      <c r="AT32" s="9">
        <v>0.571429</v>
      </c>
      <c r="AU32" s="9">
        <v>0.525714</v>
      </c>
      <c r="AV32" s="9">
        <v>0.542857</v>
      </c>
      <c r="AW32" s="9">
        <v>0.537143</v>
      </c>
      <c r="AX32" s="9">
        <v>0.605714</v>
      </c>
      <c r="AY32" s="9">
        <v>0.562286</v>
      </c>
      <c r="AZ32" s="9">
        <v>0.565714</v>
      </c>
      <c r="BA32" s="9">
        <v>0.662857</v>
      </c>
      <c r="BB32" s="9">
        <v>0.633143</v>
      </c>
      <c r="BC32" s="9">
        <v>0.657143</v>
      </c>
      <c r="BD32" s="9">
        <v>0.731429</v>
      </c>
      <c r="BE32" s="9">
        <v>0.549714</v>
      </c>
      <c r="BF32" s="9">
        <v>0.554286</v>
      </c>
      <c r="BG32" s="9">
        <v>0.64</v>
      </c>
      <c r="BH32" s="6"/>
      <c r="BI32" s="6" t="str">
        <f t="shared" si="1"/>
        <v>5VB_One_Acc</v>
      </c>
      <c r="BJ32" s="6" t="str">
        <f t="shared" si="2"/>
        <v>20V_One_Acc</v>
      </c>
      <c r="BK32" s="6" t="str">
        <f t="shared" si="3"/>
        <v>8V_Fold_Median</v>
      </c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</row>
    <row r="33" ht="15.75" customHeight="1">
      <c r="A33" s="1" t="s">
        <v>127</v>
      </c>
      <c r="B33" s="17">
        <v>500.0</v>
      </c>
      <c r="C33" s="9">
        <v>0.484091</v>
      </c>
      <c r="D33" s="9">
        <v>0.484091</v>
      </c>
      <c r="E33" s="9">
        <v>0.484091</v>
      </c>
      <c r="F33" s="9">
        <v>0.484090894</v>
      </c>
      <c r="G33" s="9">
        <v>0.484090894</v>
      </c>
      <c r="H33" s="9">
        <v>0.484091</v>
      </c>
      <c r="I33" s="9">
        <v>0.484091</v>
      </c>
      <c r="J33" s="9">
        <v>0.484091</v>
      </c>
      <c r="K33" s="9">
        <v>0.484091</v>
      </c>
      <c r="L33" s="9">
        <v>0.484090894</v>
      </c>
      <c r="M33" s="9">
        <v>0.484091</v>
      </c>
      <c r="N33" s="9">
        <v>0.484091</v>
      </c>
      <c r="O33" s="9">
        <v>0.484091</v>
      </c>
      <c r="P33" s="9">
        <v>0.484091</v>
      </c>
      <c r="Q33" s="9">
        <v>0.484091</v>
      </c>
      <c r="R33" s="9">
        <v>0.484090894</v>
      </c>
      <c r="S33" s="9">
        <v>0.484091</v>
      </c>
      <c r="T33" s="9">
        <v>0.484091</v>
      </c>
      <c r="U33" s="9">
        <v>0.484091</v>
      </c>
      <c r="V33" s="9">
        <v>0.484091</v>
      </c>
      <c r="W33" s="9">
        <v>0.484091</v>
      </c>
      <c r="X33" s="9">
        <v>0.484091</v>
      </c>
      <c r="Y33" s="9">
        <v>0.484091</v>
      </c>
      <c r="Z33" s="9">
        <v>0.484091</v>
      </c>
      <c r="AA33" s="9">
        <v>0.484090894</v>
      </c>
      <c r="AB33" s="9">
        <v>0.484091</v>
      </c>
      <c r="AC33" s="9">
        <v>0.484091</v>
      </c>
      <c r="AD33" s="9">
        <v>0.484090894</v>
      </c>
      <c r="AE33" s="9">
        <v>0.484091</v>
      </c>
      <c r="AF33" s="9">
        <v>0.484091</v>
      </c>
      <c r="AG33" s="9">
        <v>0.484091</v>
      </c>
      <c r="AH33" s="9">
        <v>0.484091</v>
      </c>
      <c r="AI33" s="9">
        <v>0.484091</v>
      </c>
      <c r="AJ33" s="9">
        <v>0.484091</v>
      </c>
      <c r="AK33" s="9">
        <v>0.484091</v>
      </c>
      <c r="AL33" s="9">
        <v>0.484091</v>
      </c>
      <c r="AM33" s="9">
        <v>0.484091</v>
      </c>
      <c r="AN33" s="9">
        <v>0.484091</v>
      </c>
      <c r="AO33" s="9">
        <v>0.484091</v>
      </c>
      <c r="AP33" s="9">
        <v>0.484090894</v>
      </c>
      <c r="AQ33" s="9">
        <v>0.484091</v>
      </c>
      <c r="AR33" s="9">
        <v>0.484091</v>
      </c>
      <c r="AS33" s="9">
        <v>0.484091</v>
      </c>
      <c r="AT33" s="9">
        <v>0.484091</v>
      </c>
      <c r="AU33" s="9">
        <v>0.484091</v>
      </c>
      <c r="AV33" s="9">
        <v>0.484091</v>
      </c>
      <c r="AW33" s="9">
        <v>0.484091</v>
      </c>
      <c r="AX33" s="9">
        <v>0.484091</v>
      </c>
      <c r="AY33" s="9">
        <v>0.484091</v>
      </c>
      <c r="AZ33" s="9">
        <v>0.484091</v>
      </c>
      <c r="BA33" s="9">
        <v>0.484091</v>
      </c>
      <c r="BB33" s="9">
        <v>0.484091</v>
      </c>
      <c r="BC33" s="9">
        <v>0.484091</v>
      </c>
      <c r="BD33" s="9">
        <v>0.484091</v>
      </c>
      <c r="BE33" s="9">
        <v>0.484091</v>
      </c>
      <c r="BF33" s="9">
        <v>0.484091</v>
      </c>
      <c r="BG33" s="9">
        <v>0.484091</v>
      </c>
      <c r="BH33" s="6"/>
      <c r="BI33" s="6" t="str">
        <f t="shared" si="1"/>
        <v>5B_Fold_Mean</v>
      </c>
      <c r="BJ33" s="6" t="str">
        <f t="shared" si="2"/>
        <v>5B_Fold_Mean</v>
      </c>
      <c r="BK33" s="6" t="str">
        <f t="shared" si="3"/>
        <v>5B_Fold_Mean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</row>
    <row r="34" ht="15.75" customHeight="1">
      <c r="A34" s="14" t="s">
        <v>128</v>
      </c>
      <c r="B34" s="17">
        <v>500.0</v>
      </c>
      <c r="C34" s="9">
        <v>0.504938</v>
      </c>
      <c r="D34" s="9">
        <v>0.504938</v>
      </c>
      <c r="E34" s="9">
        <v>0.504938</v>
      </c>
      <c r="F34" s="9">
        <v>0.504938245</v>
      </c>
      <c r="G34" s="9">
        <v>0.504938245</v>
      </c>
      <c r="H34" s="9">
        <v>0.504938</v>
      </c>
      <c r="I34" s="9">
        <v>0.504938</v>
      </c>
      <c r="J34" s="9">
        <v>0.504938</v>
      </c>
      <c r="K34" s="9">
        <v>0.504938</v>
      </c>
      <c r="L34" s="9">
        <v>0.504938245</v>
      </c>
      <c r="M34" s="9">
        <v>0.504938</v>
      </c>
      <c r="N34" s="9">
        <v>0.504938</v>
      </c>
      <c r="O34" s="9">
        <v>0.504938</v>
      </c>
      <c r="P34" s="9">
        <v>0.504938</v>
      </c>
      <c r="Q34" s="9">
        <v>0.504938</v>
      </c>
      <c r="R34" s="9">
        <v>0.504938245</v>
      </c>
      <c r="S34" s="9">
        <v>0.504938</v>
      </c>
      <c r="T34" s="9">
        <v>0.504938</v>
      </c>
      <c r="U34" s="9">
        <v>0.504938</v>
      </c>
      <c r="V34" s="9">
        <v>0.504938</v>
      </c>
      <c r="W34" s="9">
        <v>0.504938</v>
      </c>
      <c r="X34" s="9">
        <v>0.504938</v>
      </c>
      <c r="Y34" s="9">
        <v>0.504938</v>
      </c>
      <c r="Z34" s="9">
        <v>0.504938</v>
      </c>
      <c r="AA34" s="9">
        <v>0.504938245</v>
      </c>
      <c r="AB34" s="9">
        <v>0.504938</v>
      </c>
      <c r="AC34" s="9">
        <v>0.504938</v>
      </c>
      <c r="AD34" s="9">
        <v>0.504938245</v>
      </c>
      <c r="AE34" s="9">
        <v>0.504938</v>
      </c>
      <c r="AF34" s="9">
        <v>0.504938</v>
      </c>
      <c r="AG34" s="9">
        <v>0.504938</v>
      </c>
      <c r="AH34" s="9">
        <v>0.504938</v>
      </c>
      <c r="AI34" s="9">
        <v>0.504938</v>
      </c>
      <c r="AJ34" s="9">
        <v>0.504938</v>
      </c>
      <c r="AK34" s="9">
        <v>0.504938</v>
      </c>
      <c r="AL34" s="9">
        <v>0.504938</v>
      </c>
      <c r="AM34" s="9">
        <v>0.504938</v>
      </c>
      <c r="AN34" s="9">
        <v>0.504938</v>
      </c>
      <c r="AO34" s="9">
        <v>0.504938</v>
      </c>
      <c r="AP34" s="9">
        <v>0.504938245</v>
      </c>
      <c r="AQ34" s="9">
        <v>0.504938</v>
      </c>
      <c r="AR34" s="9">
        <v>0.504938</v>
      </c>
      <c r="AS34" s="9">
        <v>0.504938</v>
      </c>
      <c r="AT34" s="9">
        <v>0.504938</v>
      </c>
      <c r="AU34" s="9">
        <v>0.504938</v>
      </c>
      <c r="AV34" s="9">
        <v>0.504938</v>
      </c>
      <c r="AW34" s="9">
        <v>0.504938</v>
      </c>
      <c r="AX34" s="9">
        <v>0.504938</v>
      </c>
      <c r="AY34" s="9">
        <v>0.504938</v>
      </c>
      <c r="AZ34" s="9">
        <v>0.504938</v>
      </c>
      <c r="BA34" s="9">
        <v>0.504938</v>
      </c>
      <c r="BB34" s="9">
        <v>0.504938</v>
      </c>
      <c r="BC34" s="9">
        <v>0.504938</v>
      </c>
      <c r="BD34" s="9">
        <v>0.504938</v>
      </c>
      <c r="BE34" s="9">
        <v>0.504938</v>
      </c>
      <c r="BF34" s="9">
        <v>0.504938</v>
      </c>
      <c r="BG34" s="9">
        <v>0.504938</v>
      </c>
      <c r="BH34" s="6"/>
      <c r="BI34" s="6" t="str">
        <f t="shared" si="1"/>
        <v>5BN_Fold_Mean</v>
      </c>
      <c r="BJ34" s="6" t="str">
        <f t="shared" si="2"/>
        <v>5BN_Fold_Mean</v>
      </c>
      <c r="BK34" s="6" t="str">
        <f t="shared" si="3"/>
        <v>5BN_Fold_Mean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</row>
    <row r="35" ht="15.75" customHeight="1">
      <c r="A35" s="1" t="s">
        <v>129</v>
      </c>
      <c r="B35" s="17">
        <v>301.0</v>
      </c>
      <c r="C35" s="9">
        <v>0.966175</v>
      </c>
      <c r="D35" s="9">
        <v>0.967018</v>
      </c>
      <c r="E35" s="9">
        <v>0.968421</v>
      </c>
      <c r="F35" s="9">
        <v>0.967157888</v>
      </c>
      <c r="G35" s="9">
        <v>0.968070149</v>
      </c>
      <c r="H35" s="9">
        <v>0.5</v>
      </c>
      <c r="I35" s="9">
        <v>0.940351</v>
      </c>
      <c r="J35" s="9">
        <v>0.944211</v>
      </c>
      <c r="K35" s="9">
        <v>0.947719</v>
      </c>
      <c r="L35" s="9">
        <v>0.942947364</v>
      </c>
      <c r="M35" s="9">
        <v>0.94386</v>
      </c>
      <c r="N35" s="9">
        <v>0.95193</v>
      </c>
      <c r="O35" s="9">
        <v>0.968772</v>
      </c>
      <c r="P35" s="9">
        <v>0.968421</v>
      </c>
      <c r="Q35" s="9">
        <v>0.969825</v>
      </c>
      <c r="R35" s="9">
        <v>0.971157897</v>
      </c>
      <c r="S35" s="9">
        <v>0.971228</v>
      </c>
      <c r="T35" s="9">
        <v>0.971579</v>
      </c>
      <c r="U35" s="9">
        <v>0.974597</v>
      </c>
      <c r="V35" s="9">
        <v>0.975088</v>
      </c>
      <c r="W35" s="9">
        <v>0.981754</v>
      </c>
      <c r="X35" s="9">
        <v>0.970667</v>
      </c>
      <c r="Y35" s="9">
        <v>0.969123</v>
      </c>
      <c r="Z35" s="9">
        <v>0.980351</v>
      </c>
      <c r="AA35" s="9">
        <v>0.973684216</v>
      </c>
      <c r="AB35" s="9">
        <v>0.973333</v>
      </c>
      <c r="AC35" s="9">
        <v>0.976491</v>
      </c>
      <c r="AD35" s="9">
        <v>0.971087718</v>
      </c>
      <c r="AE35" s="9">
        <v>0.970877</v>
      </c>
      <c r="AF35" s="9">
        <v>0.972281</v>
      </c>
      <c r="AG35" s="9">
        <v>0.95186</v>
      </c>
      <c r="AH35" s="9">
        <v>0.962456</v>
      </c>
      <c r="AI35" s="9">
        <v>0.960351</v>
      </c>
      <c r="AJ35" s="9">
        <v>0.962246</v>
      </c>
      <c r="AK35" s="9">
        <v>0.961403</v>
      </c>
      <c r="AL35" s="9">
        <v>0.964561</v>
      </c>
      <c r="AM35" s="9">
        <v>0.969474</v>
      </c>
      <c r="AN35" s="9">
        <v>0.970175</v>
      </c>
      <c r="AO35" s="9">
        <v>0.96807</v>
      </c>
      <c r="AP35" s="9">
        <v>0.965964901</v>
      </c>
      <c r="AQ35" s="9">
        <v>0.970175</v>
      </c>
      <c r="AR35" s="9">
        <v>0.964912</v>
      </c>
      <c r="AS35" s="9">
        <v>0.961684</v>
      </c>
      <c r="AT35" s="9">
        <v>0.963158</v>
      </c>
      <c r="AU35" s="9">
        <v>0.963158</v>
      </c>
      <c r="AV35" s="9">
        <v>0.962386</v>
      </c>
      <c r="AW35" s="9">
        <v>0.965263</v>
      </c>
      <c r="AX35" s="9">
        <v>0.961754</v>
      </c>
      <c r="AY35" s="9">
        <v>0.970807</v>
      </c>
      <c r="AZ35" s="9">
        <v>0.970877</v>
      </c>
      <c r="BA35" s="9">
        <v>0.971228</v>
      </c>
      <c r="BB35" s="9">
        <v>0.945825</v>
      </c>
      <c r="BC35" s="9">
        <v>0.945965</v>
      </c>
      <c r="BD35" s="9">
        <v>0.947018</v>
      </c>
      <c r="BE35" s="9">
        <v>0.827228</v>
      </c>
      <c r="BF35" s="9">
        <v>0.817193</v>
      </c>
      <c r="BG35" s="9">
        <v>0.853684</v>
      </c>
      <c r="BH35" s="6"/>
      <c r="BI35" s="6" t="str">
        <f t="shared" si="1"/>
        <v>8V_One_Acc</v>
      </c>
      <c r="BJ35" s="6" t="str">
        <f t="shared" si="2"/>
        <v>8VB_One_Acc</v>
      </c>
      <c r="BK35" s="6" t="str">
        <f t="shared" si="3"/>
        <v>10B_One_Acc</v>
      </c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</row>
    <row r="36" ht="15.75" customHeight="1">
      <c r="A36" s="1" t="s">
        <v>130</v>
      </c>
      <c r="B36" s="17">
        <v>301.0</v>
      </c>
      <c r="C36" s="9">
        <v>0.962526</v>
      </c>
      <c r="D36" s="9">
        <v>0.962807</v>
      </c>
      <c r="E36" s="9">
        <v>0.961403</v>
      </c>
      <c r="F36" s="9">
        <v>0.960561407</v>
      </c>
      <c r="G36" s="9">
        <v>0.958947361</v>
      </c>
      <c r="H36" s="9">
        <v>0.5</v>
      </c>
      <c r="I36" s="9">
        <v>0.788</v>
      </c>
      <c r="J36" s="9">
        <v>0.793333</v>
      </c>
      <c r="K36" s="9">
        <v>0.807719</v>
      </c>
      <c r="L36" s="9">
        <v>0.788280702</v>
      </c>
      <c r="M36" s="9">
        <v>0.801053</v>
      </c>
      <c r="N36" s="9">
        <v>0.801053</v>
      </c>
      <c r="O36" s="9">
        <v>0.950035</v>
      </c>
      <c r="P36" s="9">
        <v>0.950175</v>
      </c>
      <c r="Q36" s="9">
        <v>0.949825</v>
      </c>
      <c r="R36" s="9">
        <v>0.946175444</v>
      </c>
      <c r="S36" s="9">
        <v>0.949825</v>
      </c>
      <c r="T36" s="9">
        <v>0.948772</v>
      </c>
      <c r="U36" s="9">
        <v>0.913404</v>
      </c>
      <c r="V36" s="9">
        <v>0.921404</v>
      </c>
      <c r="W36" s="9">
        <v>0.906316</v>
      </c>
      <c r="X36" s="9">
        <v>0.905263</v>
      </c>
      <c r="Y36" s="9">
        <v>0.910526</v>
      </c>
      <c r="Z36" s="9">
        <v>0.92386</v>
      </c>
      <c r="AA36" s="10" t="s">
        <v>85</v>
      </c>
      <c r="AB36" s="10" t="s">
        <v>85</v>
      </c>
      <c r="AC36" s="1" t="s">
        <v>85</v>
      </c>
      <c r="AD36" s="9">
        <v>0.964070177</v>
      </c>
      <c r="AE36" s="9">
        <v>0.966316</v>
      </c>
      <c r="AF36" s="9">
        <v>0.94807</v>
      </c>
      <c r="AG36" s="9">
        <v>0.883158</v>
      </c>
      <c r="AH36" s="9">
        <v>0.889474</v>
      </c>
      <c r="AI36" s="9">
        <v>0.889123</v>
      </c>
      <c r="AJ36" s="9">
        <v>0.877825</v>
      </c>
      <c r="AK36" s="9">
        <v>0.886316</v>
      </c>
      <c r="AL36" s="9">
        <v>0.893333</v>
      </c>
      <c r="AM36" s="9">
        <v>0.952912</v>
      </c>
      <c r="AN36" s="9">
        <v>0.954386</v>
      </c>
      <c r="AO36" s="9">
        <v>0.952281</v>
      </c>
      <c r="AP36" s="9">
        <v>0.949052632</v>
      </c>
      <c r="AQ36" s="9">
        <v>0.952632</v>
      </c>
      <c r="AR36" s="9">
        <v>0.95614</v>
      </c>
      <c r="AS36" s="9">
        <v>0.785404</v>
      </c>
      <c r="AT36" s="9">
        <v>0.782105</v>
      </c>
      <c r="AU36" s="9">
        <v>0.767719</v>
      </c>
      <c r="AV36" s="9">
        <v>0.808351</v>
      </c>
      <c r="AW36" s="9">
        <v>0.799649</v>
      </c>
      <c r="AX36" s="9">
        <v>0.823509</v>
      </c>
      <c r="AY36" s="9">
        <v>0.966807</v>
      </c>
      <c r="AZ36" s="9">
        <v>0.968772</v>
      </c>
      <c r="BA36" s="9">
        <v>0.967368</v>
      </c>
      <c r="BB36" s="9">
        <v>0.889614</v>
      </c>
      <c r="BC36" s="9">
        <v>0.886667</v>
      </c>
      <c r="BD36" s="9">
        <v>0.896491</v>
      </c>
      <c r="BE36" s="9">
        <v>0.707298</v>
      </c>
      <c r="BF36" s="9">
        <v>0.69193</v>
      </c>
      <c r="BG36" s="9">
        <v>0.694386</v>
      </c>
      <c r="BH36" s="6"/>
      <c r="BI36" s="6" t="str">
        <f t="shared" si="1"/>
        <v>20B_Fold_Median</v>
      </c>
      <c r="BJ36" s="6" t="str">
        <f t="shared" si="2"/>
        <v>20B_One_Acc</v>
      </c>
      <c r="BK36" s="6" t="str">
        <f t="shared" si="3"/>
        <v>20B_Fold_Mean</v>
      </c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</row>
    <row r="37" ht="15.75" customHeight="1">
      <c r="A37" s="1" t="s">
        <v>131</v>
      </c>
      <c r="B37" s="17">
        <v>150.0</v>
      </c>
      <c r="C37" s="9">
        <v>0.909333</v>
      </c>
      <c r="D37" s="9">
        <v>0.906667</v>
      </c>
      <c r="E37" s="9">
        <v>0.92</v>
      </c>
      <c r="F37" s="9">
        <v>0.912000012</v>
      </c>
      <c r="G37" s="9">
        <v>0.913333356</v>
      </c>
      <c r="H37" s="9">
        <v>0.493333</v>
      </c>
      <c r="I37" s="9">
        <v>0.897333</v>
      </c>
      <c r="J37" s="9">
        <v>0.9</v>
      </c>
      <c r="K37" s="9">
        <v>0.906667</v>
      </c>
      <c r="L37" s="9">
        <v>0.921333337</v>
      </c>
      <c r="M37" s="9">
        <v>0.926667</v>
      </c>
      <c r="N37" s="9">
        <v>0.92</v>
      </c>
      <c r="O37" s="9">
        <v>0.941333</v>
      </c>
      <c r="P37" s="9">
        <v>0.946667</v>
      </c>
      <c r="Q37" s="9">
        <v>0.973333</v>
      </c>
      <c r="R37" s="9">
        <v>0.937333345</v>
      </c>
      <c r="S37" s="9">
        <v>0.94</v>
      </c>
      <c r="T37" s="9">
        <v>0.966667</v>
      </c>
      <c r="U37" s="9">
        <v>0.836</v>
      </c>
      <c r="V37" s="9">
        <v>0.84</v>
      </c>
      <c r="W37" s="9">
        <v>0.893333</v>
      </c>
      <c r="X37" s="9">
        <v>0.833333</v>
      </c>
      <c r="Y37" s="9">
        <v>0.813333</v>
      </c>
      <c r="Z37" s="9">
        <v>0.873333</v>
      </c>
      <c r="AA37" s="9">
        <v>0.918666661</v>
      </c>
      <c r="AB37" s="9">
        <v>0.933333</v>
      </c>
      <c r="AC37" s="9">
        <v>0.953333</v>
      </c>
      <c r="AD37" s="9">
        <v>0.925333321</v>
      </c>
      <c r="AE37" s="9">
        <v>0.92</v>
      </c>
      <c r="AF37" s="9">
        <v>0.946667</v>
      </c>
      <c r="AG37" s="9">
        <v>0.832</v>
      </c>
      <c r="AH37" s="9">
        <v>0.826667</v>
      </c>
      <c r="AI37" s="9">
        <v>0.84</v>
      </c>
      <c r="AJ37" s="9">
        <v>0.842667</v>
      </c>
      <c r="AK37" s="9">
        <v>0.833333</v>
      </c>
      <c r="AL37" s="9">
        <v>0.846667</v>
      </c>
      <c r="AM37" s="9">
        <v>0.924</v>
      </c>
      <c r="AN37" s="9">
        <v>0.953333</v>
      </c>
      <c r="AO37" s="9">
        <v>0.92</v>
      </c>
      <c r="AP37" s="9">
        <v>0.931999993</v>
      </c>
      <c r="AQ37" s="9">
        <v>0.94</v>
      </c>
      <c r="AR37" s="9">
        <v>0.94</v>
      </c>
      <c r="AS37" s="9">
        <v>0.869333</v>
      </c>
      <c r="AT37" s="9">
        <v>0.873333</v>
      </c>
      <c r="AU37" s="9">
        <v>0.9</v>
      </c>
      <c r="AV37" s="9">
        <v>0.854667</v>
      </c>
      <c r="AW37" s="9">
        <v>0.853333</v>
      </c>
      <c r="AX37" s="9">
        <v>0.873333</v>
      </c>
      <c r="AY37" s="9">
        <v>0.922667</v>
      </c>
      <c r="AZ37" s="9">
        <v>0.92</v>
      </c>
      <c r="BA37" s="9">
        <v>0.953333</v>
      </c>
      <c r="BB37" s="9">
        <v>0.890667</v>
      </c>
      <c r="BC37" s="9">
        <v>0.893333</v>
      </c>
      <c r="BD37" s="9">
        <v>0.913333</v>
      </c>
      <c r="BE37" s="9">
        <v>0.789333</v>
      </c>
      <c r="BF37" s="9">
        <v>0.786667</v>
      </c>
      <c r="BG37" s="9">
        <v>0.786667</v>
      </c>
      <c r="BH37" s="6"/>
      <c r="BI37" s="6" t="str">
        <f t="shared" si="1"/>
        <v>8B_One_Acc</v>
      </c>
      <c r="BJ37" s="6" t="str">
        <f t="shared" si="2"/>
        <v>8BN_One_Acc</v>
      </c>
      <c r="BK37" s="6" t="str">
        <f t="shared" si="3"/>
        <v>10B_One_Acc</v>
      </c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</row>
    <row r="38" ht="15.75" customHeight="1">
      <c r="A38" s="1" t="s">
        <v>132</v>
      </c>
      <c r="B38" s="17">
        <v>150.0</v>
      </c>
      <c r="C38" s="9">
        <v>0.956962</v>
      </c>
      <c r="D38" s="9">
        <v>0.955696</v>
      </c>
      <c r="E38" s="9">
        <v>0.974684</v>
      </c>
      <c r="F38" s="9">
        <v>0.946835446</v>
      </c>
      <c r="G38" s="9">
        <v>0.946202517</v>
      </c>
      <c r="H38" s="9">
        <v>0.493671</v>
      </c>
      <c r="I38" s="9">
        <v>0.929747</v>
      </c>
      <c r="J38" s="9">
        <v>0.936709</v>
      </c>
      <c r="K38" s="9">
        <v>0.936709</v>
      </c>
      <c r="L38" s="9">
        <v>0.945569623</v>
      </c>
      <c r="M38" s="9">
        <v>0.946203</v>
      </c>
      <c r="N38" s="9">
        <v>0.955696</v>
      </c>
      <c r="O38" s="9">
        <v>0.947468</v>
      </c>
      <c r="P38" s="9">
        <v>0.946203</v>
      </c>
      <c r="Q38" s="9">
        <v>0.952532</v>
      </c>
      <c r="R38" s="9">
        <v>0.949367106</v>
      </c>
      <c r="S38" s="9">
        <v>0.955696</v>
      </c>
      <c r="T38" s="9">
        <v>0.96519</v>
      </c>
      <c r="U38" s="9">
        <v>0.89557</v>
      </c>
      <c r="V38" s="9">
        <v>0.89557</v>
      </c>
      <c r="W38" s="9">
        <v>0.901899</v>
      </c>
      <c r="X38" s="9">
        <v>0.898101</v>
      </c>
      <c r="Y38" s="9">
        <v>0.898734</v>
      </c>
      <c r="Z38" s="9">
        <v>0.917722</v>
      </c>
      <c r="AA38" s="9">
        <v>0.937341774</v>
      </c>
      <c r="AB38" s="9">
        <v>0.936709</v>
      </c>
      <c r="AC38" s="9">
        <v>0.955696</v>
      </c>
      <c r="AD38" s="9">
        <v>0.940506315</v>
      </c>
      <c r="AE38" s="9">
        <v>0.939873</v>
      </c>
      <c r="AF38" s="9">
        <v>0.949367</v>
      </c>
      <c r="AG38" s="9">
        <v>0.913291</v>
      </c>
      <c r="AH38" s="9">
        <v>0.908228</v>
      </c>
      <c r="AI38" s="9">
        <v>0.924051</v>
      </c>
      <c r="AJ38" s="9">
        <v>0.908861</v>
      </c>
      <c r="AK38" s="9">
        <v>0.914557</v>
      </c>
      <c r="AL38" s="9">
        <v>0.924051</v>
      </c>
      <c r="AM38" s="9">
        <v>0.932278</v>
      </c>
      <c r="AN38" s="9">
        <v>0.93038</v>
      </c>
      <c r="AO38" s="9">
        <v>0.933544</v>
      </c>
      <c r="AP38" s="9">
        <v>0.933544314</v>
      </c>
      <c r="AQ38" s="9">
        <v>0.93038</v>
      </c>
      <c r="AR38" s="9">
        <v>0.946203</v>
      </c>
      <c r="AS38" s="9">
        <v>0.906329</v>
      </c>
      <c r="AT38" s="9">
        <v>0.917722</v>
      </c>
      <c r="AU38" s="9">
        <v>0.914557</v>
      </c>
      <c r="AV38" s="9">
        <v>0.90443</v>
      </c>
      <c r="AW38" s="9">
        <v>0.914557</v>
      </c>
      <c r="AX38" s="9">
        <v>0.93038</v>
      </c>
      <c r="AY38" s="9">
        <v>0.913924</v>
      </c>
      <c r="AZ38" s="9">
        <v>0.920886</v>
      </c>
      <c r="BA38" s="9">
        <v>0.927215</v>
      </c>
      <c r="BB38" s="9">
        <v>0.912658</v>
      </c>
      <c r="BC38" s="9">
        <v>0.920886</v>
      </c>
      <c r="BD38" s="9">
        <v>0.924051</v>
      </c>
      <c r="BE38" s="9">
        <v>0.501266</v>
      </c>
      <c r="BF38" s="9">
        <v>0.506329</v>
      </c>
      <c r="BG38" s="9">
        <v>0.506329</v>
      </c>
      <c r="BH38" s="6"/>
      <c r="BI38" s="6" t="str">
        <f t="shared" si="1"/>
        <v>5B_One_Acc</v>
      </c>
      <c r="BJ38" s="6" t="str">
        <f t="shared" si="2"/>
        <v>8BN_One_Acc</v>
      </c>
      <c r="BK38" s="6" t="str">
        <f t="shared" si="3"/>
        <v>5B_Fold_Mean</v>
      </c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</row>
    <row r="39" ht="15.75" customHeight="1">
      <c r="A39" s="1" t="s">
        <v>133</v>
      </c>
      <c r="B39" s="17">
        <v>150.0</v>
      </c>
      <c r="C39" s="9">
        <v>0.968987</v>
      </c>
      <c r="D39" s="9">
        <v>0.96519</v>
      </c>
      <c r="E39" s="9">
        <v>0.974684</v>
      </c>
      <c r="F39" s="9">
        <v>0.961392403</v>
      </c>
      <c r="G39" s="9">
        <v>0.958860755</v>
      </c>
      <c r="H39" s="9">
        <v>0.474684</v>
      </c>
      <c r="I39" s="9">
        <v>0.944304</v>
      </c>
      <c r="J39" s="9">
        <v>0.946203</v>
      </c>
      <c r="K39" s="9">
        <v>0.962025</v>
      </c>
      <c r="L39" s="9">
        <v>0.958227849</v>
      </c>
      <c r="M39" s="9">
        <v>0.96519</v>
      </c>
      <c r="N39" s="9">
        <v>0.977848</v>
      </c>
      <c r="O39" s="9">
        <v>0.974051</v>
      </c>
      <c r="P39" s="9">
        <v>0.977848</v>
      </c>
      <c r="Q39" s="9">
        <v>0.974684</v>
      </c>
      <c r="R39" s="9">
        <v>0.972151887</v>
      </c>
      <c r="S39" s="9">
        <v>0.974684</v>
      </c>
      <c r="T39" s="9">
        <v>0.977848</v>
      </c>
      <c r="U39" s="9">
        <v>0.946203</v>
      </c>
      <c r="V39" s="9">
        <v>0.949367</v>
      </c>
      <c r="W39" s="9">
        <v>0.968354</v>
      </c>
      <c r="X39" s="9">
        <v>0.960127</v>
      </c>
      <c r="Y39" s="9">
        <v>0.958861</v>
      </c>
      <c r="Z39" s="9">
        <v>0.962025</v>
      </c>
      <c r="AA39" s="9">
        <v>0.98227849</v>
      </c>
      <c r="AB39" s="9">
        <v>0.987342</v>
      </c>
      <c r="AC39" s="9">
        <v>0.981013</v>
      </c>
      <c r="AD39" s="9">
        <v>0.977848089</v>
      </c>
      <c r="AE39" s="9">
        <v>0.981013</v>
      </c>
      <c r="AF39" s="9">
        <v>0.984177</v>
      </c>
      <c r="AG39" s="9">
        <v>0.975316</v>
      </c>
      <c r="AH39" s="9">
        <v>0.974684</v>
      </c>
      <c r="AI39" s="9">
        <v>0.987342</v>
      </c>
      <c r="AJ39" s="9">
        <v>0.968354</v>
      </c>
      <c r="AK39" s="9">
        <v>0.968354</v>
      </c>
      <c r="AL39" s="9">
        <v>0.984177</v>
      </c>
      <c r="AM39" s="9">
        <v>0.968354</v>
      </c>
      <c r="AN39" s="9">
        <v>0.96519</v>
      </c>
      <c r="AO39" s="9">
        <v>0.974684</v>
      </c>
      <c r="AP39" s="9">
        <v>0.966455686</v>
      </c>
      <c r="AQ39" s="9">
        <v>0.968354</v>
      </c>
      <c r="AR39" s="9">
        <v>0.971519</v>
      </c>
      <c r="AS39" s="9">
        <v>0.982911</v>
      </c>
      <c r="AT39" s="9">
        <v>0.987342</v>
      </c>
      <c r="AU39" s="9">
        <v>0.996835</v>
      </c>
      <c r="AV39" s="9">
        <v>0.982278</v>
      </c>
      <c r="AW39" s="9">
        <v>0.987342</v>
      </c>
      <c r="AX39" s="9">
        <v>0.993671</v>
      </c>
      <c r="AY39" s="9">
        <v>0.967089</v>
      </c>
      <c r="AZ39" s="9">
        <v>0.968354</v>
      </c>
      <c r="BA39" s="9">
        <v>0.977848</v>
      </c>
      <c r="BB39" s="9">
        <v>0.961392</v>
      </c>
      <c r="BC39" s="9">
        <v>0.96519</v>
      </c>
      <c r="BD39" s="9">
        <v>0.974684</v>
      </c>
      <c r="BE39" s="9">
        <v>0.525316</v>
      </c>
      <c r="BF39" s="9">
        <v>0.525316</v>
      </c>
      <c r="BG39" s="9">
        <v>0.525316</v>
      </c>
      <c r="BH39" s="6"/>
      <c r="BI39" s="6" t="str">
        <f t="shared" si="1"/>
        <v>12V_One_Acc</v>
      </c>
      <c r="BJ39" s="6" t="str">
        <f t="shared" si="2"/>
        <v>12VB_One_Acc</v>
      </c>
      <c r="BK39" s="6" t="str">
        <f t="shared" si="3"/>
        <v>10B_Fold_Median</v>
      </c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</row>
    <row r="40" ht="15.75" customHeight="1">
      <c r="A40" s="1" t="s">
        <v>134</v>
      </c>
      <c r="B40" s="17">
        <v>150.0</v>
      </c>
      <c r="C40" s="9">
        <v>0.961905</v>
      </c>
      <c r="D40" s="9">
        <v>0.968254</v>
      </c>
      <c r="E40" s="9">
        <v>0.961905</v>
      </c>
      <c r="F40" s="9">
        <v>0.965079367</v>
      </c>
      <c r="G40" s="9">
        <v>0.965079367</v>
      </c>
      <c r="H40" s="9">
        <v>0.52381</v>
      </c>
      <c r="I40" s="9">
        <v>0.940317</v>
      </c>
      <c r="J40" s="9">
        <v>0.942857</v>
      </c>
      <c r="K40" s="9">
        <v>0.942857</v>
      </c>
      <c r="L40" s="9">
        <v>0.93650794</v>
      </c>
      <c r="M40" s="9">
        <v>0.936508</v>
      </c>
      <c r="N40" s="9">
        <v>0.942857</v>
      </c>
      <c r="O40" s="9">
        <v>0.936508</v>
      </c>
      <c r="P40" s="9">
        <v>0.936508</v>
      </c>
      <c r="Q40" s="9">
        <v>0.939683</v>
      </c>
      <c r="R40" s="9">
        <v>0.939047623</v>
      </c>
      <c r="S40" s="9">
        <v>0.936508</v>
      </c>
      <c r="T40" s="9">
        <v>0.933333</v>
      </c>
      <c r="U40" s="9">
        <v>0.934603</v>
      </c>
      <c r="V40" s="9">
        <v>0.936508</v>
      </c>
      <c r="W40" s="9">
        <v>0.95873</v>
      </c>
      <c r="X40" s="9">
        <v>0.931429</v>
      </c>
      <c r="Y40" s="9">
        <v>0.933333</v>
      </c>
      <c r="Z40" s="9">
        <v>0.942857</v>
      </c>
      <c r="AA40" s="9">
        <v>0.951746035</v>
      </c>
      <c r="AB40" s="9">
        <v>0.949206</v>
      </c>
      <c r="AC40" s="9">
        <v>0.952381</v>
      </c>
      <c r="AD40" s="9">
        <v>0.951746035</v>
      </c>
      <c r="AE40" s="9">
        <v>0.952381</v>
      </c>
      <c r="AF40" s="9">
        <v>0.949206</v>
      </c>
      <c r="AG40" s="9">
        <v>0.912381</v>
      </c>
      <c r="AH40" s="9">
        <v>0.914286</v>
      </c>
      <c r="AI40" s="9">
        <v>0.911111</v>
      </c>
      <c r="AJ40" s="9">
        <v>0.914921</v>
      </c>
      <c r="AK40" s="9">
        <v>0.91746</v>
      </c>
      <c r="AL40" s="9">
        <v>0.914286</v>
      </c>
      <c r="AM40" s="9">
        <v>0.953651</v>
      </c>
      <c r="AN40" s="9">
        <v>0.95873</v>
      </c>
      <c r="AO40" s="9">
        <v>0.946032</v>
      </c>
      <c r="AP40" s="9">
        <v>0.947936511</v>
      </c>
      <c r="AQ40" s="9">
        <v>0.946032</v>
      </c>
      <c r="AR40" s="9">
        <v>0.955556</v>
      </c>
      <c r="AS40" s="9">
        <v>0.905397</v>
      </c>
      <c r="AT40" s="9">
        <v>0.91746</v>
      </c>
      <c r="AU40" s="9">
        <v>0.91746</v>
      </c>
      <c r="AV40" s="9">
        <v>0.909206</v>
      </c>
      <c r="AW40" s="9">
        <v>0.911111</v>
      </c>
      <c r="AX40" s="9">
        <v>0.920635</v>
      </c>
      <c r="AY40" s="9">
        <v>0.945397</v>
      </c>
      <c r="AZ40" s="9">
        <v>0.946032</v>
      </c>
      <c r="BA40" s="9">
        <v>0.952381</v>
      </c>
      <c r="BB40" s="9">
        <v>0.913016</v>
      </c>
      <c r="BC40" s="9">
        <v>0.91746</v>
      </c>
      <c r="BD40" s="9">
        <v>0.911111</v>
      </c>
      <c r="BE40" s="9">
        <v>0.614603</v>
      </c>
      <c r="BF40" s="9">
        <v>0.52381</v>
      </c>
      <c r="BG40" s="9">
        <v>0.990476</v>
      </c>
      <c r="BH40" s="6"/>
      <c r="BI40" s="6" t="str">
        <f t="shared" si="1"/>
        <v>De_One_Acc</v>
      </c>
      <c r="BJ40" s="6" t="str">
        <f t="shared" si="2"/>
        <v>5B_Fold_Median</v>
      </c>
      <c r="BK40" s="6" t="str">
        <f t="shared" si="3"/>
        <v>5BN_Fold_Mean</v>
      </c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</row>
    <row r="41" ht="15.75" customHeight="1">
      <c r="A41" s="1" t="s">
        <v>135</v>
      </c>
      <c r="B41" s="17">
        <v>431.0</v>
      </c>
      <c r="C41" s="9">
        <v>0.548571</v>
      </c>
      <c r="D41" s="9">
        <v>0.542857</v>
      </c>
      <c r="E41" s="9">
        <v>0.504762</v>
      </c>
      <c r="F41" s="9">
        <v>0.466666675</v>
      </c>
      <c r="G41" s="9">
        <v>0.45714286</v>
      </c>
      <c r="H41" s="9">
        <v>0.52381</v>
      </c>
      <c r="I41" s="9">
        <v>0.502857</v>
      </c>
      <c r="J41" s="9">
        <v>0.514286</v>
      </c>
      <c r="K41" s="9">
        <v>0.52381</v>
      </c>
      <c r="L41" s="9">
        <v>0.500952393</v>
      </c>
      <c r="M41" s="9">
        <v>0.495238</v>
      </c>
      <c r="N41" s="9">
        <v>0.495238</v>
      </c>
      <c r="O41" s="9">
        <v>0.550476</v>
      </c>
      <c r="P41" s="9">
        <v>0.561905</v>
      </c>
      <c r="Q41" s="9">
        <v>0.552381</v>
      </c>
      <c r="R41" s="9">
        <v>0.529523832</v>
      </c>
      <c r="S41" s="9">
        <v>0.533333</v>
      </c>
      <c r="T41" s="9">
        <v>0.542857</v>
      </c>
      <c r="U41" s="9">
        <v>0.546667</v>
      </c>
      <c r="V41" s="9">
        <v>0.561905</v>
      </c>
      <c r="W41" s="9">
        <v>0.561905</v>
      </c>
      <c r="X41" s="9">
        <v>0.558095</v>
      </c>
      <c r="Y41" s="9">
        <v>0.561905</v>
      </c>
      <c r="Z41" s="9">
        <v>0.52381</v>
      </c>
      <c r="AA41" s="9">
        <v>0.580952406</v>
      </c>
      <c r="AB41" s="9">
        <v>0.571429</v>
      </c>
      <c r="AC41" s="9">
        <v>0.552381</v>
      </c>
      <c r="AD41" s="9">
        <v>0.567619073</v>
      </c>
      <c r="AE41" s="9">
        <v>0.571429</v>
      </c>
      <c r="AF41" s="9">
        <v>0.571429</v>
      </c>
      <c r="AG41" s="9">
        <v>0.622857</v>
      </c>
      <c r="AH41" s="9">
        <v>0.628571</v>
      </c>
      <c r="AI41" s="9">
        <v>0.6</v>
      </c>
      <c r="AJ41" s="9">
        <v>0.624762</v>
      </c>
      <c r="AK41" s="9">
        <v>0.647619</v>
      </c>
      <c r="AL41" s="9">
        <v>0.628571</v>
      </c>
      <c r="AM41" s="9">
        <v>0.552381</v>
      </c>
      <c r="AN41" s="9">
        <v>0.552381</v>
      </c>
      <c r="AO41" s="9">
        <v>0.590476</v>
      </c>
      <c r="AP41" s="9">
        <v>0.556190503</v>
      </c>
      <c r="AQ41" s="9">
        <v>0.561905</v>
      </c>
      <c r="AR41" s="9">
        <v>0.542857</v>
      </c>
      <c r="AS41" s="9">
        <v>0.598095</v>
      </c>
      <c r="AT41" s="9">
        <v>0.609524</v>
      </c>
      <c r="AU41" s="9">
        <v>0.638095</v>
      </c>
      <c r="AV41" s="9">
        <v>0.624762</v>
      </c>
      <c r="AW41" s="9">
        <v>0.628571</v>
      </c>
      <c r="AX41" s="9">
        <v>0.619048</v>
      </c>
      <c r="AY41" s="9">
        <v>0.626667</v>
      </c>
      <c r="AZ41" s="9">
        <v>0.619048</v>
      </c>
      <c r="BA41" s="9">
        <v>0.609524</v>
      </c>
      <c r="BB41" s="9">
        <v>0.605714</v>
      </c>
      <c r="BC41" s="9">
        <v>0.609524</v>
      </c>
      <c r="BD41" s="9">
        <v>0.6</v>
      </c>
      <c r="BE41" s="9">
        <v>0.754286</v>
      </c>
      <c r="BF41" s="9">
        <v>0.761905</v>
      </c>
      <c r="BG41" s="9">
        <v>0.714286</v>
      </c>
      <c r="BH41" s="6"/>
      <c r="BI41" s="6" t="str">
        <f t="shared" si="1"/>
        <v>De_Fold_Median</v>
      </c>
      <c r="BJ41" s="6" t="str">
        <f t="shared" si="2"/>
        <v>De_Fold_Mean</v>
      </c>
      <c r="BK41" s="6" t="str">
        <f t="shared" si="3"/>
        <v>De_One_Acc</v>
      </c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</row>
    <row r="42" ht="15.75" customHeight="1">
      <c r="A42" s="1" t="s">
        <v>136</v>
      </c>
      <c r="B42" s="17">
        <v>1092.0</v>
      </c>
      <c r="C42" s="9">
        <v>0.385065</v>
      </c>
      <c r="D42" s="9">
        <v>0.38961</v>
      </c>
      <c r="E42" s="9">
        <v>0.37013</v>
      </c>
      <c r="F42" s="9">
        <v>0.342207795</v>
      </c>
      <c r="G42" s="9">
        <v>0.344155848</v>
      </c>
      <c r="H42" s="9">
        <v>0.191558</v>
      </c>
      <c r="I42" s="9">
        <v>0.362338</v>
      </c>
      <c r="J42" s="9">
        <v>0.357143</v>
      </c>
      <c r="K42" s="9">
        <v>0.409091</v>
      </c>
      <c r="L42" s="9">
        <v>0.348701298</v>
      </c>
      <c r="M42" s="9">
        <v>0.337662</v>
      </c>
      <c r="N42" s="9">
        <v>0.246753</v>
      </c>
      <c r="O42" s="9">
        <v>0.401948</v>
      </c>
      <c r="P42" s="9">
        <v>0.399351</v>
      </c>
      <c r="Q42" s="9">
        <v>0.418831</v>
      </c>
      <c r="R42" s="9">
        <v>0.411038959</v>
      </c>
      <c r="S42" s="9">
        <v>0.409091</v>
      </c>
      <c r="T42" s="9">
        <v>0.405844</v>
      </c>
      <c r="U42" s="9">
        <v>0.414286</v>
      </c>
      <c r="V42" s="9">
        <v>0.405844</v>
      </c>
      <c r="W42" s="9">
        <v>0.435065</v>
      </c>
      <c r="X42" s="9">
        <v>0.382468</v>
      </c>
      <c r="Y42" s="9">
        <v>0.38961</v>
      </c>
      <c r="Z42" s="9">
        <v>0.425325</v>
      </c>
      <c r="AA42" s="9">
        <v>0.381818187</v>
      </c>
      <c r="AB42" s="9">
        <v>0.366883</v>
      </c>
      <c r="AC42" s="9">
        <v>0.402597</v>
      </c>
      <c r="AD42" s="9">
        <v>0.382467532</v>
      </c>
      <c r="AE42" s="9">
        <v>0.418831</v>
      </c>
      <c r="AF42" s="9">
        <v>0.422078</v>
      </c>
      <c r="AG42" s="9">
        <v>0.365584</v>
      </c>
      <c r="AH42" s="9">
        <v>0.405844</v>
      </c>
      <c r="AI42" s="9">
        <v>0.461039</v>
      </c>
      <c r="AJ42" s="9">
        <v>0.422727</v>
      </c>
      <c r="AK42" s="9">
        <v>0.422078</v>
      </c>
      <c r="AL42" s="9">
        <v>0.399351</v>
      </c>
      <c r="AM42" s="9">
        <v>0.406494</v>
      </c>
      <c r="AN42" s="9">
        <v>0.431818</v>
      </c>
      <c r="AO42" s="9">
        <v>0.409091</v>
      </c>
      <c r="AP42" s="9">
        <v>0.41948052</v>
      </c>
      <c r="AQ42" s="9">
        <v>0.422078</v>
      </c>
      <c r="AR42" s="9">
        <v>0.412338</v>
      </c>
      <c r="AS42" s="9">
        <v>0.390909</v>
      </c>
      <c r="AT42" s="9">
        <v>0.396104</v>
      </c>
      <c r="AU42" s="9">
        <v>0.467532</v>
      </c>
      <c r="AV42" s="9">
        <v>0.387662</v>
      </c>
      <c r="AW42" s="9">
        <v>0.405844</v>
      </c>
      <c r="AX42" s="9">
        <v>0.337662</v>
      </c>
      <c r="AY42" s="9">
        <v>0.398701</v>
      </c>
      <c r="AZ42" s="9">
        <v>0.409091</v>
      </c>
      <c r="BA42" s="9">
        <v>0.431818</v>
      </c>
      <c r="BB42" s="9">
        <v>0.423377</v>
      </c>
      <c r="BC42" s="9">
        <v>0.454545</v>
      </c>
      <c r="BD42" s="9">
        <v>0.438312</v>
      </c>
      <c r="BE42" s="9">
        <v>0.423377</v>
      </c>
      <c r="BF42" s="9">
        <v>0.415584</v>
      </c>
      <c r="BG42" s="9">
        <v>0.461039</v>
      </c>
      <c r="BH42" s="6"/>
      <c r="BI42" s="6" t="str">
        <f t="shared" si="1"/>
        <v>12V_One_Acc</v>
      </c>
      <c r="BJ42" s="6" t="str">
        <f t="shared" si="2"/>
        <v>10V_One_Acc</v>
      </c>
      <c r="BK42" s="6" t="str">
        <f t="shared" si="3"/>
        <v>10V_One_Acc</v>
      </c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</row>
    <row r="43" ht="15.75" customHeight="1">
      <c r="A43" s="1" t="s">
        <v>137</v>
      </c>
      <c r="B43" s="17">
        <v>512.0</v>
      </c>
      <c r="C43" s="9">
        <v>0.553125</v>
      </c>
      <c r="D43" s="9">
        <v>0.5625</v>
      </c>
      <c r="E43" s="9">
        <v>0.5625</v>
      </c>
      <c r="F43" s="9">
        <v>0.565625</v>
      </c>
      <c r="G43" s="9">
        <v>0.59375</v>
      </c>
      <c r="H43" s="9">
        <v>0.59375</v>
      </c>
      <c r="I43" s="9">
        <v>0.525</v>
      </c>
      <c r="J43" s="9">
        <v>0.53125</v>
      </c>
      <c r="K43" s="9">
        <v>0.484375</v>
      </c>
      <c r="L43" s="9">
        <v>0.575</v>
      </c>
      <c r="M43" s="9">
        <v>0.578125</v>
      </c>
      <c r="N43" s="9">
        <v>0.578125</v>
      </c>
      <c r="O43" s="9">
        <v>0.546875</v>
      </c>
      <c r="P43" s="9">
        <v>0.546875</v>
      </c>
      <c r="Q43" s="9">
        <v>0.484375</v>
      </c>
      <c r="R43" s="9">
        <v>0.5375</v>
      </c>
      <c r="S43" s="9">
        <v>0.53125</v>
      </c>
      <c r="T43" s="9">
        <v>0.4375</v>
      </c>
      <c r="U43" s="9">
        <v>0.565625</v>
      </c>
      <c r="V43" s="9">
        <v>0.5625</v>
      </c>
      <c r="W43" s="9">
        <v>0.5625</v>
      </c>
      <c r="X43" s="9">
        <v>0.584375</v>
      </c>
      <c r="Y43" s="9">
        <v>0.59375</v>
      </c>
      <c r="Z43" s="9">
        <v>0.484375</v>
      </c>
      <c r="AA43" s="9">
        <v>0.578125</v>
      </c>
      <c r="AB43" s="9">
        <v>0.578125</v>
      </c>
      <c r="AC43" s="9">
        <v>0.578125</v>
      </c>
      <c r="AD43" s="9">
        <v>0.5875</v>
      </c>
      <c r="AE43" s="9">
        <v>0.59375</v>
      </c>
      <c r="AF43" s="9">
        <v>0.5625</v>
      </c>
      <c r="AG43" s="9">
        <v>0.603125</v>
      </c>
      <c r="AH43" s="9">
        <v>0.59375</v>
      </c>
      <c r="AI43" s="9">
        <v>0.5625</v>
      </c>
      <c r="AJ43" s="9">
        <v>0.584375</v>
      </c>
      <c r="AK43" s="9">
        <v>0.59375</v>
      </c>
      <c r="AL43" s="9">
        <v>0.609375</v>
      </c>
      <c r="AM43" s="9">
        <v>0.578125</v>
      </c>
      <c r="AN43" s="9">
        <v>0.59375</v>
      </c>
      <c r="AO43" s="9">
        <v>0.484375</v>
      </c>
      <c r="AP43" s="9">
        <v>0.559375</v>
      </c>
      <c r="AQ43" s="9">
        <v>0.546875</v>
      </c>
      <c r="AR43" s="9">
        <v>0.484375</v>
      </c>
      <c r="AS43" s="9">
        <v>0.615625</v>
      </c>
      <c r="AT43" s="9">
        <v>0.609375</v>
      </c>
      <c r="AU43" s="9">
        <v>0.59375</v>
      </c>
      <c r="AV43" s="9">
        <v>0.61875</v>
      </c>
      <c r="AW43" s="9">
        <v>0.609375</v>
      </c>
      <c r="AX43" s="9">
        <v>0.625</v>
      </c>
      <c r="AY43" s="9">
        <v>0.55625</v>
      </c>
      <c r="AZ43" s="9">
        <v>0.59375</v>
      </c>
      <c r="BA43" s="9">
        <v>0.484375</v>
      </c>
      <c r="BB43" s="9">
        <v>0.565625</v>
      </c>
      <c r="BC43" s="9">
        <v>0.59375</v>
      </c>
      <c r="BD43" s="9">
        <v>0.59375</v>
      </c>
      <c r="BE43" s="9">
        <v>0.55625</v>
      </c>
      <c r="BF43" s="9">
        <v>0.59375</v>
      </c>
      <c r="BG43" s="9">
        <v>0.59375</v>
      </c>
      <c r="BH43" s="6"/>
      <c r="BI43" s="6" t="str">
        <f t="shared" si="1"/>
        <v>12VB_One_Acc</v>
      </c>
      <c r="BJ43" s="6" t="str">
        <f t="shared" si="2"/>
        <v>12VB_Fold_Mean</v>
      </c>
      <c r="BK43" s="6" t="str">
        <f t="shared" si="3"/>
        <v>12V_Fold_Mean</v>
      </c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</row>
    <row r="44" ht="15.75" customHeight="1">
      <c r="A44" s="1" t="s">
        <v>138</v>
      </c>
      <c r="B44" s="17">
        <v>3000.0</v>
      </c>
      <c r="C44" s="9">
        <v>0.754622</v>
      </c>
      <c r="D44" s="9">
        <v>0.798319</v>
      </c>
      <c r="E44" s="9">
        <v>0.798319</v>
      </c>
      <c r="F44" s="9">
        <v>0.768067241</v>
      </c>
      <c r="G44" s="9">
        <v>0.773109257</v>
      </c>
      <c r="H44" s="9">
        <v>0.428571</v>
      </c>
      <c r="I44" s="9">
        <v>0.715966</v>
      </c>
      <c r="J44" s="9">
        <v>0.722689</v>
      </c>
      <c r="K44" s="9">
        <v>0.731092</v>
      </c>
      <c r="L44" s="9">
        <v>0.668907583</v>
      </c>
      <c r="M44" s="9">
        <v>0.697479</v>
      </c>
      <c r="N44" s="9">
        <v>0.773109</v>
      </c>
      <c r="O44" s="9">
        <v>0.756303</v>
      </c>
      <c r="P44" s="9">
        <v>0.806723</v>
      </c>
      <c r="Q44" s="9">
        <v>0.84874</v>
      </c>
      <c r="R44" s="9">
        <v>0.806722701</v>
      </c>
      <c r="S44" s="9">
        <v>0.831933</v>
      </c>
      <c r="T44" s="9">
        <v>0.831933</v>
      </c>
      <c r="U44" s="9">
        <v>0.731092</v>
      </c>
      <c r="V44" s="9">
        <v>0.731092</v>
      </c>
      <c r="W44" s="9">
        <v>0.747899</v>
      </c>
      <c r="X44" s="9">
        <v>0.752941</v>
      </c>
      <c r="Y44" s="9">
        <v>0.756303</v>
      </c>
      <c r="Z44" s="9">
        <v>0.756303</v>
      </c>
      <c r="AA44" s="9">
        <v>0.831932783</v>
      </c>
      <c r="AB44" s="9">
        <v>0.831933</v>
      </c>
      <c r="AC44" s="9">
        <v>0.84874</v>
      </c>
      <c r="AD44" s="9">
        <v>0.831932783</v>
      </c>
      <c r="AE44" s="9">
        <v>0.840336</v>
      </c>
      <c r="AF44" s="9">
        <v>0.865546</v>
      </c>
      <c r="AG44" s="9">
        <v>0.660504</v>
      </c>
      <c r="AH44" s="9">
        <v>0.689076</v>
      </c>
      <c r="AI44" s="9">
        <v>0.697479</v>
      </c>
      <c r="AJ44" s="9">
        <v>0.712605</v>
      </c>
      <c r="AK44" s="9">
        <v>0.714286</v>
      </c>
      <c r="AL44" s="9">
        <v>0.731092</v>
      </c>
      <c r="AM44" s="9">
        <v>0.87563</v>
      </c>
      <c r="AN44" s="9">
        <v>0.865546</v>
      </c>
      <c r="AO44" s="9">
        <v>0.89916</v>
      </c>
      <c r="AP44" s="9">
        <v>0.853781521</v>
      </c>
      <c r="AQ44" s="9">
        <v>0.857143</v>
      </c>
      <c r="AR44" s="9">
        <v>0.890756</v>
      </c>
      <c r="AS44" s="9">
        <v>0.710924</v>
      </c>
      <c r="AT44" s="9">
        <v>0.705882</v>
      </c>
      <c r="AU44" s="9">
        <v>0.705882</v>
      </c>
      <c r="AV44" s="9">
        <v>0.769748</v>
      </c>
      <c r="AW44" s="9">
        <v>0.773109</v>
      </c>
      <c r="AX44" s="9">
        <v>0.781513</v>
      </c>
      <c r="AY44" s="9">
        <v>0.862185</v>
      </c>
      <c r="AZ44" s="9">
        <v>0.865546</v>
      </c>
      <c r="BA44" s="9">
        <v>0.882353</v>
      </c>
      <c r="BB44" s="9">
        <v>0.773109</v>
      </c>
      <c r="BC44" s="9">
        <v>0.773109</v>
      </c>
      <c r="BD44" s="9">
        <v>0.781513</v>
      </c>
      <c r="BE44" s="9">
        <v>0.463866</v>
      </c>
      <c r="BF44" s="9">
        <v>0.420168</v>
      </c>
      <c r="BG44" s="9">
        <v>0.579832</v>
      </c>
      <c r="BH44" s="6"/>
      <c r="BI44" s="6" t="str">
        <f t="shared" si="1"/>
        <v>12B_One_Acc</v>
      </c>
      <c r="BJ44" s="6" t="str">
        <f t="shared" si="2"/>
        <v>12BN_One_Acc</v>
      </c>
      <c r="BK44" s="6" t="str">
        <f t="shared" si="3"/>
        <v>20B_One_Acc</v>
      </c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</row>
    <row r="45" ht="15.75" customHeight="1">
      <c r="A45" s="1" t="s">
        <v>139</v>
      </c>
      <c r="B45" s="17">
        <v>1882.0</v>
      </c>
      <c r="C45" s="9">
        <v>0.289818</v>
      </c>
      <c r="D45" s="9">
        <v>0.303636</v>
      </c>
      <c r="E45" s="9">
        <v>0.325455</v>
      </c>
      <c r="F45" s="9">
        <v>0.272727275</v>
      </c>
      <c r="G45" s="9">
        <v>0.298181832</v>
      </c>
      <c r="H45" s="9">
        <v>0.183636</v>
      </c>
      <c r="I45" s="9">
        <v>0.251636</v>
      </c>
      <c r="J45" s="9">
        <v>0.247273</v>
      </c>
      <c r="K45" s="9">
        <v>0.261818</v>
      </c>
      <c r="L45" s="9">
        <v>0.259272721</v>
      </c>
      <c r="M45" s="9">
        <v>0.287273</v>
      </c>
      <c r="N45" s="9">
        <v>0.321818</v>
      </c>
      <c r="O45" s="9">
        <v>0.294545</v>
      </c>
      <c r="P45" s="9">
        <v>0.289091</v>
      </c>
      <c r="Q45" s="9">
        <v>0.321818</v>
      </c>
      <c r="R45" s="9">
        <v>0.282545456</v>
      </c>
      <c r="S45" s="9">
        <v>0.289091</v>
      </c>
      <c r="T45" s="9">
        <v>0.318182</v>
      </c>
      <c r="U45" s="9">
        <v>0.199636</v>
      </c>
      <c r="V45" s="9">
        <v>0.203636</v>
      </c>
      <c r="W45" s="9">
        <v>0.24</v>
      </c>
      <c r="X45" s="9">
        <v>0.228</v>
      </c>
      <c r="Y45" s="9">
        <v>0.223636</v>
      </c>
      <c r="Z45" s="9">
        <v>0.3</v>
      </c>
      <c r="AA45" s="9">
        <v>0.275636357</v>
      </c>
      <c r="AB45" s="9">
        <v>0.283636</v>
      </c>
      <c r="AC45" s="9">
        <v>0.272727</v>
      </c>
      <c r="AD45" s="9">
        <v>0.260000002</v>
      </c>
      <c r="AE45" s="9">
        <v>0.269091</v>
      </c>
      <c r="AF45" s="9">
        <v>0.272727</v>
      </c>
      <c r="AG45" s="9">
        <v>0.218909</v>
      </c>
      <c r="AH45" s="9">
        <v>0.210909</v>
      </c>
      <c r="AI45" s="9">
        <v>0.258182</v>
      </c>
      <c r="AJ45" s="9">
        <v>0.225091</v>
      </c>
      <c r="AK45" s="9">
        <v>0.227273</v>
      </c>
      <c r="AL45" s="9">
        <v>0.232727</v>
      </c>
      <c r="AM45" s="9">
        <v>0.263636</v>
      </c>
      <c r="AN45" s="9">
        <v>0.267273</v>
      </c>
      <c r="AO45" s="9">
        <v>0.327273</v>
      </c>
      <c r="AP45" s="9">
        <v>0.286909091</v>
      </c>
      <c r="AQ45" s="9">
        <v>0.292727</v>
      </c>
      <c r="AR45" s="9">
        <v>0.3</v>
      </c>
      <c r="AS45" s="9">
        <v>0.258909</v>
      </c>
      <c r="AT45" s="9">
        <v>0.243636</v>
      </c>
      <c r="AU45" s="9">
        <v>0.249091</v>
      </c>
      <c r="AV45" s="9">
        <v>0.240364</v>
      </c>
      <c r="AW45" s="9">
        <v>0.236364</v>
      </c>
      <c r="AX45" s="9">
        <v>0.263636</v>
      </c>
      <c r="AY45" s="9">
        <v>0.276727</v>
      </c>
      <c r="AZ45" s="9">
        <v>0.290909</v>
      </c>
      <c r="BA45" s="9">
        <v>0.314545</v>
      </c>
      <c r="BB45" s="9">
        <v>0.243273</v>
      </c>
      <c r="BC45" s="9">
        <v>0.243636</v>
      </c>
      <c r="BD45" s="9">
        <v>0.296364</v>
      </c>
      <c r="BE45" s="9">
        <v>0.182545</v>
      </c>
      <c r="BF45" s="9">
        <v>0.183636</v>
      </c>
      <c r="BG45" s="9">
        <v>0.187273</v>
      </c>
      <c r="BH45" s="6"/>
      <c r="BI45" s="6" t="str">
        <f t="shared" si="1"/>
        <v>12B_One_Acc</v>
      </c>
      <c r="BJ45" s="6" t="str">
        <f t="shared" si="2"/>
        <v>5B_One_Acc</v>
      </c>
      <c r="BK45" s="6" t="str">
        <f t="shared" si="3"/>
        <v>5VB_One_Acc</v>
      </c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</row>
    <row r="46" ht="15.75" customHeight="1">
      <c r="A46" s="1" t="s">
        <v>140</v>
      </c>
      <c r="B46" s="17">
        <v>601.0</v>
      </c>
      <c r="C46" s="9">
        <v>0.798394</v>
      </c>
      <c r="D46" s="9">
        <v>0.803213</v>
      </c>
      <c r="E46" s="9">
        <v>0.823293</v>
      </c>
      <c r="F46" s="9">
        <v>0.798393583</v>
      </c>
      <c r="G46" s="9">
        <v>0.795180738</v>
      </c>
      <c r="H46" s="9">
        <v>0.473896</v>
      </c>
      <c r="I46" s="9">
        <v>0.791165</v>
      </c>
      <c r="J46" s="9">
        <v>0.787149</v>
      </c>
      <c r="K46" s="9">
        <v>0.807229</v>
      </c>
      <c r="L46" s="9">
        <v>0.804819298</v>
      </c>
      <c r="M46" s="9">
        <v>0.803213</v>
      </c>
      <c r="N46" s="9">
        <v>0.791165</v>
      </c>
      <c r="O46" s="9">
        <v>0.803213</v>
      </c>
      <c r="P46" s="9">
        <v>0.803213</v>
      </c>
      <c r="Q46" s="9">
        <v>0.815261</v>
      </c>
      <c r="R46" s="9">
        <v>0.809638572</v>
      </c>
      <c r="S46" s="9">
        <v>0.803213</v>
      </c>
      <c r="T46" s="9">
        <v>0.839357</v>
      </c>
      <c r="U46" s="9">
        <v>0.801606</v>
      </c>
      <c r="V46" s="9">
        <v>0.799197</v>
      </c>
      <c r="W46" s="9">
        <v>0.823293</v>
      </c>
      <c r="X46" s="9">
        <v>0.800803</v>
      </c>
      <c r="Y46" s="9">
        <v>0.795181</v>
      </c>
      <c r="Z46" s="9">
        <v>0.823293</v>
      </c>
      <c r="AA46" s="9">
        <v>0.803212857</v>
      </c>
      <c r="AB46" s="9">
        <v>0.799197</v>
      </c>
      <c r="AC46" s="9">
        <v>0.819277</v>
      </c>
      <c r="AD46" s="9">
        <v>0.803212857</v>
      </c>
      <c r="AE46" s="9">
        <v>0.811245</v>
      </c>
      <c r="AF46" s="9">
        <v>0.807229</v>
      </c>
      <c r="AG46" s="9">
        <v>0.798394</v>
      </c>
      <c r="AH46" s="9">
        <v>0.799197</v>
      </c>
      <c r="AI46" s="9">
        <v>0.807229</v>
      </c>
      <c r="AJ46" s="9">
        <v>0.798394</v>
      </c>
      <c r="AK46" s="9">
        <v>0.799197</v>
      </c>
      <c r="AL46" s="9">
        <v>0.819277</v>
      </c>
      <c r="AM46" s="9">
        <v>0.804016</v>
      </c>
      <c r="AN46" s="9">
        <v>0.807229</v>
      </c>
      <c r="AO46" s="9">
        <v>0.827309</v>
      </c>
      <c r="AP46" s="9">
        <v>0.811244988</v>
      </c>
      <c r="AQ46" s="9">
        <v>0.807229</v>
      </c>
      <c r="AR46" s="9">
        <v>0.827309</v>
      </c>
      <c r="AS46" s="9">
        <v>0.808835</v>
      </c>
      <c r="AT46" s="9">
        <v>0.811245</v>
      </c>
      <c r="AU46" s="9">
        <v>0.815261</v>
      </c>
      <c r="AV46" s="9">
        <v>0.812048</v>
      </c>
      <c r="AW46" s="9">
        <v>0.811245</v>
      </c>
      <c r="AX46" s="9">
        <v>0.811245</v>
      </c>
      <c r="AY46" s="9">
        <v>0.810442</v>
      </c>
      <c r="AZ46" s="9">
        <v>0.815261</v>
      </c>
      <c r="BA46" s="9">
        <v>0.819277</v>
      </c>
      <c r="BB46" s="9">
        <v>0.8249</v>
      </c>
      <c r="BC46" s="9">
        <v>0.839357</v>
      </c>
      <c r="BD46" s="9">
        <v>0.843373</v>
      </c>
      <c r="BE46" s="9">
        <v>1.0</v>
      </c>
      <c r="BF46" s="9">
        <v>1.0</v>
      </c>
      <c r="BG46" s="9">
        <v>1.0</v>
      </c>
      <c r="BH46" s="6"/>
      <c r="BI46" s="6" t="str">
        <f t="shared" si="1"/>
        <v>De_Fold_Mean</v>
      </c>
      <c r="BJ46" s="6" t="str">
        <f t="shared" si="2"/>
        <v>De_Fold_Mean</v>
      </c>
      <c r="BK46" s="6" t="str">
        <f t="shared" si="3"/>
        <v>De_Fold_Mean</v>
      </c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</row>
    <row r="47" ht="15.75" customHeight="1">
      <c r="A47" s="1" t="s">
        <v>141</v>
      </c>
      <c r="B47" s="17">
        <v>601.0</v>
      </c>
      <c r="C47" s="9">
        <v>0.646586</v>
      </c>
      <c r="D47" s="9">
        <v>0.73494</v>
      </c>
      <c r="E47" s="9">
        <v>0.807229</v>
      </c>
      <c r="F47" s="9">
        <v>0.578313255</v>
      </c>
      <c r="G47" s="9">
        <v>0.710843384</v>
      </c>
      <c r="H47" s="9">
        <v>0.35743</v>
      </c>
      <c r="I47" s="9">
        <v>0.669076</v>
      </c>
      <c r="J47" s="9">
        <v>0.751004</v>
      </c>
      <c r="K47" s="9">
        <v>0.767068</v>
      </c>
      <c r="L47" s="9">
        <v>0.704417664</v>
      </c>
      <c r="M47" s="9">
        <v>0.75502</v>
      </c>
      <c r="N47" s="9">
        <v>0.779116</v>
      </c>
      <c r="O47" s="9">
        <v>0.734137</v>
      </c>
      <c r="P47" s="9">
        <v>0.75502</v>
      </c>
      <c r="Q47" s="9">
        <v>0.803213</v>
      </c>
      <c r="R47" s="9">
        <v>0.707630521</v>
      </c>
      <c r="S47" s="9">
        <v>0.767068</v>
      </c>
      <c r="T47" s="9">
        <v>0.795181</v>
      </c>
      <c r="U47" s="9">
        <v>0.630522</v>
      </c>
      <c r="V47" s="9">
        <v>0.751004</v>
      </c>
      <c r="W47" s="9">
        <v>0.787149</v>
      </c>
      <c r="X47" s="9">
        <v>0.711647</v>
      </c>
      <c r="Y47" s="9">
        <v>0.767068</v>
      </c>
      <c r="Z47" s="9">
        <v>0.783133</v>
      </c>
      <c r="AA47" s="9">
        <v>0.70441767</v>
      </c>
      <c r="AB47" s="9">
        <v>0.759036</v>
      </c>
      <c r="AC47" s="9">
        <v>0.795181</v>
      </c>
      <c r="AD47" s="9">
        <v>0.716465861</v>
      </c>
      <c r="AE47" s="9">
        <v>0.767068</v>
      </c>
      <c r="AF47" s="9">
        <v>0.799197</v>
      </c>
      <c r="AG47" s="9">
        <v>0.71004</v>
      </c>
      <c r="AH47" s="9">
        <v>0.75502</v>
      </c>
      <c r="AI47" s="9">
        <v>0.783133</v>
      </c>
      <c r="AJ47" s="9">
        <v>0.731727</v>
      </c>
      <c r="AK47" s="9">
        <v>0.742972</v>
      </c>
      <c r="AL47" s="9">
        <v>0.783133</v>
      </c>
      <c r="AM47" s="9">
        <v>0.735743</v>
      </c>
      <c r="AN47" s="9">
        <v>0.7751</v>
      </c>
      <c r="AO47" s="9">
        <v>0.803213</v>
      </c>
      <c r="AP47" s="9">
        <v>0.657028115</v>
      </c>
      <c r="AQ47" s="9">
        <v>0.759036</v>
      </c>
      <c r="AR47" s="9">
        <v>0.795181</v>
      </c>
      <c r="AS47" s="9">
        <v>0.743775</v>
      </c>
      <c r="AT47" s="9">
        <v>0.73494</v>
      </c>
      <c r="AU47" s="9">
        <v>0.759036</v>
      </c>
      <c r="AV47" s="9">
        <v>0.698795</v>
      </c>
      <c r="AW47" s="9">
        <v>0.73494</v>
      </c>
      <c r="AX47" s="9">
        <v>0.7751</v>
      </c>
      <c r="AY47" s="9">
        <v>0.553414</v>
      </c>
      <c r="AZ47" s="9">
        <v>0.481928</v>
      </c>
      <c r="BA47" s="9">
        <v>0.795181</v>
      </c>
      <c r="BB47" s="9">
        <v>0.707631</v>
      </c>
      <c r="BC47" s="9">
        <v>0.759036</v>
      </c>
      <c r="BD47" s="9">
        <v>0.783133</v>
      </c>
      <c r="BE47" s="9">
        <v>1.0</v>
      </c>
      <c r="BF47" s="9">
        <v>1.0</v>
      </c>
      <c r="BG47" s="9">
        <v>1.0</v>
      </c>
      <c r="BH47" s="6"/>
      <c r="BI47" s="6" t="str">
        <f t="shared" si="1"/>
        <v>De_Fold_Mean</v>
      </c>
      <c r="BJ47" s="6" t="str">
        <f t="shared" si="2"/>
        <v>De_Fold_Mean</v>
      </c>
      <c r="BK47" s="6" t="str">
        <f t="shared" si="3"/>
        <v>De_Fold_Mean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</row>
    <row r="48" ht="15.75" customHeight="1">
      <c r="A48" s="1" t="s">
        <v>142</v>
      </c>
      <c r="B48" s="17">
        <v>24.0</v>
      </c>
      <c r="C48" s="9">
        <v>0.922449</v>
      </c>
      <c r="D48" s="9">
        <v>0.921283</v>
      </c>
      <c r="E48" s="9">
        <v>0.924198</v>
      </c>
      <c r="F48" s="9">
        <v>0.917006791</v>
      </c>
      <c r="G48" s="9">
        <v>0.922254622</v>
      </c>
      <c r="H48" s="9">
        <v>0.498542</v>
      </c>
      <c r="I48" s="9">
        <v>0.844898</v>
      </c>
      <c r="J48" s="9">
        <v>0.83965</v>
      </c>
      <c r="K48" s="9">
        <v>0.849368</v>
      </c>
      <c r="L48" s="9">
        <v>0.83712343</v>
      </c>
      <c r="M48" s="9">
        <v>0.836735</v>
      </c>
      <c r="N48" s="9">
        <v>0.852284</v>
      </c>
      <c r="O48" s="9">
        <v>0.911953</v>
      </c>
      <c r="P48" s="9">
        <v>0.909621</v>
      </c>
      <c r="Q48" s="9">
        <v>0.923226</v>
      </c>
      <c r="R48" s="9">
        <v>0.91292516</v>
      </c>
      <c r="S48" s="9">
        <v>0.912536</v>
      </c>
      <c r="T48" s="9">
        <v>0.924198</v>
      </c>
      <c r="U48" s="9">
        <v>0.93275</v>
      </c>
      <c r="V48" s="9">
        <v>0.93586</v>
      </c>
      <c r="W48" s="9">
        <v>0.940719</v>
      </c>
      <c r="X48" s="9">
        <v>0.933916</v>
      </c>
      <c r="Y48" s="9">
        <v>0.936832</v>
      </c>
      <c r="Z48" s="9">
        <v>0.949466</v>
      </c>
      <c r="AA48" s="9">
        <v>0.922060251</v>
      </c>
      <c r="AB48" s="9">
        <v>0.922255</v>
      </c>
      <c r="AC48" s="9">
        <v>0.924198</v>
      </c>
      <c r="AD48" s="9">
        <v>0.920894086</v>
      </c>
      <c r="AE48" s="9">
        <v>0.924198</v>
      </c>
      <c r="AF48" s="9">
        <v>0.926142</v>
      </c>
      <c r="AG48" s="9">
        <v>0.886103</v>
      </c>
      <c r="AH48" s="9">
        <v>0.886297</v>
      </c>
      <c r="AI48" s="9">
        <v>0.891156</v>
      </c>
      <c r="AJ48" s="9">
        <v>0.899903</v>
      </c>
      <c r="AK48" s="9">
        <v>0.901846</v>
      </c>
      <c r="AL48" s="9">
        <v>0.909621</v>
      </c>
      <c r="AM48" s="9">
        <v>0.921672</v>
      </c>
      <c r="AN48" s="9">
        <v>0.921283</v>
      </c>
      <c r="AO48" s="9">
        <v>0.931973</v>
      </c>
      <c r="AP48" s="9">
        <v>0.923615158</v>
      </c>
      <c r="AQ48" s="9">
        <v>0.922255</v>
      </c>
      <c r="AR48" s="9">
        <v>0.927114</v>
      </c>
      <c r="AS48" s="9">
        <v>0.888241</v>
      </c>
      <c r="AT48" s="9">
        <v>0.8931</v>
      </c>
      <c r="AU48" s="9">
        <v>0.8931</v>
      </c>
      <c r="AV48" s="9">
        <v>0.898542</v>
      </c>
      <c r="AW48" s="9">
        <v>0.896987</v>
      </c>
      <c r="AX48" s="9">
        <v>0.90379</v>
      </c>
      <c r="AY48" s="9">
        <v>0.879689</v>
      </c>
      <c r="AZ48" s="9">
        <v>0.880466</v>
      </c>
      <c r="BA48" s="9">
        <v>0.889213</v>
      </c>
      <c r="BB48" s="9">
        <v>0.903401</v>
      </c>
      <c r="BC48" s="9">
        <v>0.90379</v>
      </c>
      <c r="BD48" s="9">
        <v>0.918367</v>
      </c>
      <c r="BE48" s="9">
        <v>0.966375</v>
      </c>
      <c r="BF48" s="9">
        <v>0.970845</v>
      </c>
      <c r="BG48" s="9">
        <v>0.969874</v>
      </c>
      <c r="BH48" s="6"/>
      <c r="BI48" s="6" t="str">
        <f t="shared" si="1"/>
        <v>De_Fold_Median</v>
      </c>
      <c r="BJ48" s="6" t="str">
        <f t="shared" si="2"/>
        <v>De_One_Acc</v>
      </c>
      <c r="BK48" s="6" t="str">
        <f t="shared" si="3"/>
        <v>De_Fold_Mean</v>
      </c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</row>
    <row r="49" ht="15.75" customHeight="1">
      <c r="A49" s="1" t="s">
        <v>143</v>
      </c>
      <c r="B49" s="17">
        <v>720.0</v>
      </c>
      <c r="C49" s="9">
        <v>0.645333</v>
      </c>
      <c r="D49" s="9">
        <v>0.674667</v>
      </c>
      <c r="E49" s="9">
        <v>0.709333</v>
      </c>
      <c r="F49" s="9">
        <v>0.47146666</v>
      </c>
      <c r="G49" s="9">
        <v>0.472000003</v>
      </c>
      <c r="H49" s="9">
        <v>0.333333</v>
      </c>
      <c r="I49" s="9">
        <v>0.5952</v>
      </c>
      <c r="J49" s="9">
        <v>0.6</v>
      </c>
      <c r="K49" s="9">
        <v>0.592</v>
      </c>
      <c r="L49" s="9">
        <v>0.593600011</v>
      </c>
      <c r="M49" s="9">
        <v>0.6</v>
      </c>
      <c r="N49" s="9">
        <v>0.6</v>
      </c>
      <c r="O49" s="9">
        <v>0.6704</v>
      </c>
      <c r="P49" s="9">
        <v>0.672</v>
      </c>
      <c r="Q49" s="9">
        <v>0.674667</v>
      </c>
      <c r="R49" s="9">
        <v>0.658133328</v>
      </c>
      <c r="S49" s="9">
        <v>0.664</v>
      </c>
      <c r="T49" s="9">
        <v>0.677333</v>
      </c>
      <c r="U49" s="9">
        <v>0.576533</v>
      </c>
      <c r="V49" s="9">
        <v>0.578667</v>
      </c>
      <c r="W49" s="9">
        <v>0.592</v>
      </c>
      <c r="X49" s="9">
        <v>0.5696</v>
      </c>
      <c r="Y49" s="9">
        <v>0.568</v>
      </c>
      <c r="Z49" s="9">
        <v>0.613333</v>
      </c>
      <c r="AA49" s="9">
        <v>0.648000002</v>
      </c>
      <c r="AB49" s="9">
        <v>0.642667</v>
      </c>
      <c r="AC49" s="9">
        <v>0.650667</v>
      </c>
      <c r="AD49" s="9">
        <v>0.645866656</v>
      </c>
      <c r="AE49" s="9">
        <v>0.653333</v>
      </c>
      <c r="AF49" s="9">
        <v>0.666667</v>
      </c>
      <c r="AG49" s="9">
        <v>0.576533</v>
      </c>
      <c r="AH49" s="9">
        <v>0.576</v>
      </c>
      <c r="AI49" s="9">
        <v>0.616</v>
      </c>
      <c r="AJ49" s="9">
        <v>0.580267</v>
      </c>
      <c r="AK49" s="9">
        <v>0.573333</v>
      </c>
      <c r="AL49" s="9">
        <v>0.616</v>
      </c>
      <c r="AM49" s="9">
        <v>0.656533</v>
      </c>
      <c r="AN49" s="9">
        <v>0.648</v>
      </c>
      <c r="AO49" s="9">
        <v>0.685333</v>
      </c>
      <c r="AP49" s="9">
        <v>0.669866669</v>
      </c>
      <c r="AQ49" s="9">
        <v>0.677333</v>
      </c>
      <c r="AR49" s="9">
        <v>0.685333</v>
      </c>
      <c r="AS49" s="9">
        <v>0.577067</v>
      </c>
      <c r="AT49" s="9">
        <v>0.578667</v>
      </c>
      <c r="AU49" s="9">
        <v>0.6</v>
      </c>
      <c r="AV49" s="9">
        <v>0.5984</v>
      </c>
      <c r="AW49" s="9">
        <v>0.594667</v>
      </c>
      <c r="AX49" s="9">
        <v>0.637333</v>
      </c>
      <c r="AY49" s="9">
        <v>0.6368</v>
      </c>
      <c r="AZ49" s="9">
        <v>0.634667</v>
      </c>
      <c r="BA49" s="9">
        <v>0.634667</v>
      </c>
      <c r="BB49" s="9">
        <v>0.602133</v>
      </c>
      <c r="BC49" s="9">
        <v>0.597333</v>
      </c>
      <c r="BD49" s="9">
        <v>0.642667</v>
      </c>
      <c r="BE49" s="9">
        <v>0.503467</v>
      </c>
      <c r="BF49" s="9">
        <v>0.509333</v>
      </c>
      <c r="BG49" s="9">
        <v>0.522667</v>
      </c>
      <c r="BH49" s="6"/>
      <c r="BI49" s="6" t="str">
        <f t="shared" si="1"/>
        <v>5B_One_Acc</v>
      </c>
      <c r="BJ49" s="6" t="str">
        <f t="shared" si="2"/>
        <v>12B_One_Acc</v>
      </c>
      <c r="BK49" s="6" t="str">
        <f t="shared" si="3"/>
        <v>12B_One_Acc</v>
      </c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</row>
    <row r="50" ht="15.75" customHeight="1">
      <c r="A50" s="1" t="s">
        <v>144</v>
      </c>
      <c r="B50" s="17">
        <v>637.0</v>
      </c>
      <c r="C50" s="9">
        <v>0.540984</v>
      </c>
      <c r="D50" s="9">
        <v>0.540984</v>
      </c>
      <c r="E50" s="9">
        <v>0.540984</v>
      </c>
      <c r="F50" s="9">
        <v>0.540983617</v>
      </c>
      <c r="G50" s="9">
        <v>0.540983617</v>
      </c>
      <c r="H50" s="9">
        <v>0.540984</v>
      </c>
      <c r="I50" s="9">
        <v>0.540984</v>
      </c>
      <c r="J50" s="9">
        <v>0.540984</v>
      </c>
      <c r="K50" s="9">
        <v>0.540984</v>
      </c>
      <c r="L50" s="9">
        <v>0.540983617</v>
      </c>
      <c r="M50" s="9">
        <v>0.540984</v>
      </c>
      <c r="N50" s="9">
        <v>0.540984</v>
      </c>
      <c r="O50" s="9">
        <v>0.540984</v>
      </c>
      <c r="P50" s="9">
        <v>0.540984</v>
      </c>
      <c r="Q50" s="9">
        <v>0.540984</v>
      </c>
      <c r="R50" s="9">
        <v>0.540983617</v>
      </c>
      <c r="S50" s="9">
        <v>0.540984</v>
      </c>
      <c r="T50" s="9">
        <v>0.540984</v>
      </c>
      <c r="U50" s="9">
        <v>0.540984</v>
      </c>
      <c r="V50" s="9">
        <v>0.540984</v>
      </c>
      <c r="W50" s="9">
        <v>0.540984</v>
      </c>
      <c r="X50" s="9">
        <v>0.540984</v>
      </c>
      <c r="Y50" s="9">
        <v>0.540984</v>
      </c>
      <c r="Z50" s="9">
        <v>0.540984</v>
      </c>
      <c r="AA50" s="9">
        <v>0.540983617</v>
      </c>
      <c r="AB50" s="9">
        <v>0.540984</v>
      </c>
      <c r="AC50" s="9">
        <v>0.540984</v>
      </c>
      <c r="AD50" s="9">
        <v>0.540983617</v>
      </c>
      <c r="AE50" s="9">
        <v>0.540984</v>
      </c>
      <c r="AF50" s="9">
        <v>0.540984</v>
      </c>
      <c r="AG50" s="9">
        <v>0.540984</v>
      </c>
      <c r="AH50" s="9">
        <v>0.540984</v>
      </c>
      <c r="AI50" s="9">
        <v>0.540984</v>
      </c>
      <c r="AJ50" s="9">
        <v>0.540984</v>
      </c>
      <c r="AK50" s="9">
        <v>0.540984</v>
      </c>
      <c r="AL50" s="9">
        <v>0.540984</v>
      </c>
      <c r="AM50" s="9">
        <v>0.540984</v>
      </c>
      <c r="AN50" s="9">
        <v>0.540984</v>
      </c>
      <c r="AO50" s="9">
        <v>0.540984</v>
      </c>
      <c r="AP50" s="9">
        <v>0.540983617</v>
      </c>
      <c r="AQ50" s="9">
        <v>0.540984</v>
      </c>
      <c r="AR50" s="9">
        <v>0.540984</v>
      </c>
      <c r="AS50" s="9">
        <v>0.540984</v>
      </c>
      <c r="AT50" s="9">
        <v>0.540984</v>
      </c>
      <c r="AU50" s="9">
        <v>0.540984</v>
      </c>
      <c r="AV50" s="9">
        <v>0.540984</v>
      </c>
      <c r="AW50" s="9">
        <v>0.540984</v>
      </c>
      <c r="AX50" s="9">
        <v>0.540984</v>
      </c>
      <c r="AY50" s="9">
        <v>0.540984</v>
      </c>
      <c r="AZ50" s="9">
        <v>0.540984</v>
      </c>
      <c r="BA50" s="9">
        <v>0.540984</v>
      </c>
      <c r="BB50" s="9">
        <v>0.540984</v>
      </c>
      <c r="BC50" s="9">
        <v>0.540984</v>
      </c>
      <c r="BD50" s="9">
        <v>0.540984</v>
      </c>
      <c r="BE50" s="9">
        <v>0.540984</v>
      </c>
      <c r="BF50" s="9">
        <v>0.540984</v>
      </c>
      <c r="BG50" s="9">
        <v>0.540984</v>
      </c>
      <c r="BH50" s="6"/>
      <c r="BI50" s="6" t="str">
        <f t="shared" si="1"/>
        <v>5B_Fold_Mean</v>
      </c>
      <c r="BJ50" s="6" t="str">
        <f t="shared" si="2"/>
        <v>5B_Fold_Mean</v>
      </c>
      <c r="BK50" s="6" t="str">
        <f t="shared" si="3"/>
        <v>5B_Fold_Mean</v>
      </c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</row>
    <row r="51" ht="15.75" customHeight="1">
      <c r="A51" s="1" t="s">
        <v>145</v>
      </c>
      <c r="B51" s="17">
        <v>319.0</v>
      </c>
      <c r="C51" s="9">
        <v>0.578082</v>
      </c>
      <c r="D51" s="9">
        <v>0.575342</v>
      </c>
      <c r="E51" s="9">
        <v>0.60274</v>
      </c>
      <c r="F51" s="9">
        <v>0.542465734</v>
      </c>
      <c r="G51" s="9">
        <v>0.520547926</v>
      </c>
      <c r="H51" s="9">
        <v>0.260274</v>
      </c>
      <c r="I51" s="9">
        <v>0.589041</v>
      </c>
      <c r="J51" s="9">
        <v>0.60274</v>
      </c>
      <c r="K51" s="9">
        <v>0.589041</v>
      </c>
      <c r="L51" s="9">
        <v>0.580821931</v>
      </c>
      <c r="M51" s="9">
        <v>0.589041</v>
      </c>
      <c r="N51" s="9">
        <v>0.630137</v>
      </c>
      <c r="O51" s="9">
        <v>0.578082</v>
      </c>
      <c r="P51" s="9">
        <v>0.575342</v>
      </c>
      <c r="Q51" s="9">
        <v>0.630137</v>
      </c>
      <c r="R51" s="9">
        <v>0.578082192</v>
      </c>
      <c r="S51" s="9">
        <v>0.575342</v>
      </c>
      <c r="T51" s="9">
        <v>0.643836</v>
      </c>
      <c r="U51" s="9">
        <v>0.641096</v>
      </c>
      <c r="V51" s="9">
        <v>0.657534</v>
      </c>
      <c r="W51" s="9">
        <v>0.69863</v>
      </c>
      <c r="X51" s="9">
        <v>0.616438</v>
      </c>
      <c r="Y51" s="9">
        <v>0.643836</v>
      </c>
      <c r="Z51" s="9">
        <v>0.589041</v>
      </c>
      <c r="AA51" s="9">
        <v>0.586301374</v>
      </c>
      <c r="AB51" s="9">
        <v>0.575342</v>
      </c>
      <c r="AC51" s="9">
        <v>0.589041</v>
      </c>
      <c r="AD51" s="9">
        <v>0.556164378</v>
      </c>
      <c r="AE51" s="9">
        <v>0.561644</v>
      </c>
      <c r="AF51" s="9">
        <v>0.60274</v>
      </c>
      <c r="AG51" s="9">
        <v>0.575342</v>
      </c>
      <c r="AH51" s="9">
        <v>0.589041</v>
      </c>
      <c r="AI51" s="9">
        <v>0.643836</v>
      </c>
      <c r="AJ51" s="9">
        <v>0.586301</v>
      </c>
      <c r="AK51" s="9">
        <v>0.575342</v>
      </c>
      <c r="AL51" s="9">
        <v>0.630137</v>
      </c>
      <c r="AM51" s="9">
        <v>0.591781</v>
      </c>
      <c r="AN51" s="9">
        <v>0.589041</v>
      </c>
      <c r="AO51" s="9">
        <v>0.630137</v>
      </c>
      <c r="AP51" s="9">
        <v>0.580821919</v>
      </c>
      <c r="AQ51" s="9">
        <v>0.60274</v>
      </c>
      <c r="AR51" s="9">
        <v>0.589041</v>
      </c>
      <c r="AS51" s="9">
        <v>0.572603</v>
      </c>
      <c r="AT51" s="9">
        <v>0.561644</v>
      </c>
      <c r="AU51" s="9">
        <v>0.657534</v>
      </c>
      <c r="AV51" s="9">
        <v>0.632877</v>
      </c>
      <c r="AW51" s="9">
        <v>0.630137</v>
      </c>
      <c r="AX51" s="9">
        <v>0.616438</v>
      </c>
      <c r="AY51" s="9">
        <v>0.589041</v>
      </c>
      <c r="AZ51" s="9">
        <v>0.589041</v>
      </c>
      <c r="BA51" s="9">
        <v>0.589041</v>
      </c>
      <c r="BB51" s="9">
        <v>0.59726</v>
      </c>
      <c r="BC51" s="9">
        <v>0.60274</v>
      </c>
      <c r="BD51" s="9">
        <v>0.630137</v>
      </c>
      <c r="BE51" s="9">
        <v>0.610959</v>
      </c>
      <c r="BF51" s="9">
        <v>0.616438</v>
      </c>
      <c r="BG51" s="9">
        <v>0.616438</v>
      </c>
      <c r="BH51" s="6"/>
      <c r="BI51" s="6" t="str">
        <f t="shared" si="1"/>
        <v>8V_One_Acc</v>
      </c>
      <c r="BJ51" s="6" t="str">
        <f t="shared" si="2"/>
        <v>8V_Fold_Median</v>
      </c>
      <c r="BK51" s="6" t="str">
        <f t="shared" si="3"/>
        <v>8V_Fold_Median</v>
      </c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</row>
    <row r="52" ht="15.75" customHeight="1">
      <c r="A52" s="1" t="s">
        <v>146</v>
      </c>
      <c r="B52" s="17">
        <v>1024.0</v>
      </c>
      <c r="C52" s="9">
        <v>0.591642</v>
      </c>
      <c r="D52" s="9">
        <v>0.591471</v>
      </c>
      <c r="E52" s="9">
        <v>0.672921</v>
      </c>
      <c r="F52" s="9">
        <v>0.585756922</v>
      </c>
      <c r="G52" s="9">
        <v>0.573134303</v>
      </c>
      <c r="H52" s="9">
        <v>0.123241</v>
      </c>
      <c r="I52" s="9">
        <v>0.675309</v>
      </c>
      <c r="J52" s="9">
        <v>0.686141</v>
      </c>
      <c r="K52" s="9">
        <v>0.742004</v>
      </c>
      <c r="L52" s="9">
        <v>0.567761207</v>
      </c>
      <c r="M52" s="9">
        <v>0.58209</v>
      </c>
      <c r="N52" s="9">
        <v>0.673774</v>
      </c>
      <c r="O52" s="9">
        <v>0.657996</v>
      </c>
      <c r="P52" s="9">
        <v>0.663966</v>
      </c>
      <c r="Q52" s="9">
        <v>0.61791</v>
      </c>
      <c r="R52" s="9">
        <v>0.689040506</v>
      </c>
      <c r="S52" s="9">
        <v>0.672495</v>
      </c>
      <c r="T52" s="9">
        <v>0.732623</v>
      </c>
      <c r="U52" s="9">
        <v>0.483923</v>
      </c>
      <c r="V52" s="9">
        <v>0.4742</v>
      </c>
      <c r="W52" s="9">
        <v>0.502772</v>
      </c>
      <c r="X52" s="9">
        <v>0.504819</v>
      </c>
      <c r="Y52" s="9">
        <v>0.564606</v>
      </c>
      <c r="Z52" s="9">
        <v>0.438806</v>
      </c>
      <c r="AA52" s="9">
        <v>0.681279325</v>
      </c>
      <c r="AB52" s="9">
        <v>0.697655</v>
      </c>
      <c r="AC52" s="9">
        <v>0.710021</v>
      </c>
      <c r="AD52" s="9">
        <v>0.638891268</v>
      </c>
      <c r="AE52" s="9">
        <v>0.634542</v>
      </c>
      <c r="AF52" s="9">
        <v>0.696802</v>
      </c>
      <c r="AG52" s="9">
        <v>0.607335</v>
      </c>
      <c r="AH52" s="9">
        <v>0.596588</v>
      </c>
      <c r="AI52" s="9">
        <v>0.580384</v>
      </c>
      <c r="AJ52" s="9">
        <v>0.49629</v>
      </c>
      <c r="AK52" s="9">
        <v>0.4742</v>
      </c>
      <c r="AL52" s="9">
        <v>0.486567</v>
      </c>
      <c r="AM52" s="9">
        <v>0.676503</v>
      </c>
      <c r="AN52" s="9">
        <v>0.701493</v>
      </c>
      <c r="AO52" s="9">
        <v>0.696802</v>
      </c>
      <c r="AP52" s="9">
        <v>0.649978685</v>
      </c>
      <c r="AQ52" s="9">
        <v>0.690832</v>
      </c>
      <c r="AR52" s="9">
        <v>0.731343</v>
      </c>
      <c r="AS52" s="9">
        <v>0.533049</v>
      </c>
      <c r="AT52" s="9">
        <v>0.575267</v>
      </c>
      <c r="AU52" s="9">
        <v>0.55565</v>
      </c>
      <c r="AV52" s="9">
        <v>0.550362</v>
      </c>
      <c r="AW52" s="9">
        <v>0.553518</v>
      </c>
      <c r="AX52" s="9">
        <v>0.373987</v>
      </c>
      <c r="AY52" s="9">
        <v>0.688273</v>
      </c>
      <c r="AZ52" s="9">
        <v>0.694669</v>
      </c>
      <c r="BA52" s="9">
        <v>0.736034</v>
      </c>
      <c r="BB52" s="9">
        <v>0.548316</v>
      </c>
      <c r="BC52" s="9">
        <v>0.551386</v>
      </c>
      <c r="BD52" s="9">
        <v>0.499787</v>
      </c>
      <c r="BE52" s="9">
        <v>0.401791</v>
      </c>
      <c r="BF52" s="9">
        <v>0.373134</v>
      </c>
      <c r="BG52" s="9">
        <v>0.448188</v>
      </c>
      <c r="BH52" s="6"/>
      <c r="BI52" s="6" t="str">
        <f t="shared" si="1"/>
        <v>5V_One_Acc</v>
      </c>
      <c r="BJ52" s="6" t="str">
        <f t="shared" si="2"/>
        <v>20B_One_Acc</v>
      </c>
      <c r="BK52" s="6" t="str">
        <f t="shared" si="3"/>
        <v>8BN_One_Acc</v>
      </c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</row>
    <row r="53" ht="15.75" customHeight="1">
      <c r="A53" s="1" t="s">
        <v>147</v>
      </c>
      <c r="B53" s="17">
        <v>448.0</v>
      </c>
      <c r="C53" s="9">
        <v>0.903333</v>
      </c>
      <c r="D53" s="9">
        <v>0.916667</v>
      </c>
      <c r="E53" s="9">
        <v>0.95</v>
      </c>
      <c r="F53" s="9">
        <v>0.910000002</v>
      </c>
      <c r="G53" s="9">
        <v>0.916666687</v>
      </c>
      <c r="H53" s="9">
        <v>0.316667</v>
      </c>
      <c r="I53" s="9">
        <v>0.616667</v>
      </c>
      <c r="J53" s="9">
        <v>0.633333</v>
      </c>
      <c r="K53" s="9">
        <v>0.566667</v>
      </c>
      <c r="L53" s="9">
        <v>0.473333347</v>
      </c>
      <c r="M53" s="9">
        <v>0.533333</v>
      </c>
      <c r="N53" s="9">
        <v>0.633333</v>
      </c>
      <c r="O53" s="9">
        <v>0.91</v>
      </c>
      <c r="P53" s="9">
        <v>0.916667</v>
      </c>
      <c r="Q53" s="9">
        <v>0.916667</v>
      </c>
      <c r="R53" s="9">
        <v>0.879999995</v>
      </c>
      <c r="S53" s="9">
        <v>0.883333</v>
      </c>
      <c r="T53" s="9">
        <v>0.916667</v>
      </c>
      <c r="U53" s="9">
        <v>0.546667</v>
      </c>
      <c r="V53" s="9">
        <v>0.55</v>
      </c>
      <c r="W53" s="9">
        <v>0.6</v>
      </c>
      <c r="X53" s="9">
        <v>0.48</v>
      </c>
      <c r="Y53" s="9">
        <v>0.5</v>
      </c>
      <c r="Z53" s="9">
        <v>0.566667</v>
      </c>
      <c r="AA53" s="9">
        <v>0.89333334</v>
      </c>
      <c r="AB53" s="9">
        <v>0.916667</v>
      </c>
      <c r="AC53" s="9">
        <v>0.95</v>
      </c>
      <c r="AD53" s="9">
        <v>0.933333325</v>
      </c>
      <c r="AE53" s="9">
        <v>0.933333</v>
      </c>
      <c r="AF53" s="9">
        <v>0.9</v>
      </c>
      <c r="AG53" s="9">
        <v>0.71</v>
      </c>
      <c r="AH53" s="9">
        <v>0.666667</v>
      </c>
      <c r="AI53" s="9">
        <v>0.75</v>
      </c>
      <c r="AJ53" s="9">
        <v>0.743333</v>
      </c>
      <c r="AK53" s="9">
        <v>0.733333</v>
      </c>
      <c r="AL53" s="9">
        <v>0.883333</v>
      </c>
      <c r="AM53" s="9">
        <v>0.856667</v>
      </c>
      <c r="AN53" s="9">
        <v>0.883333</v>
      </c>
      <c r="AO53" s="9">
        <v>0.933333</v>
      </c>
      <c r="AP53" s="9">
        <v>0.829999983</v>
      </c>
      <c r="AQ53" s="9">
        <v>0.9</v>
      </c>
      <c r="AR53" s="9">
        <v>0.65</v>
      </c>
      <c r="AS53" s="9">
        <v>0.666667</v>
      </c>
      <c r="AT53" s="9">
        <v>0.616667</v>
      </c>
      <c r="AU53" s="9">
        <v>0.55</v>
      </c>
      <c r="AV53" s="9">
        <v>0.696667</v>
      </c>
      <c r="AW53" s="9">
        <v>0.65</v>
      </c>
      <c r="AX53" s="9">
        <v>0.416667</v>
      </c>
      <c r="AY53" s="9">
        <v>0.843333</v>
      </c>
      <c r="AZ53" s="9">
        <v>0.883333</v>
      </c>
      <c r="BA53" s="9">
        <v>0.933333</v>
      </c>
      <c r="BB53" s="9">
        <v>0.54</v>
      </c>
      <c r="BC53" s="9">
        <v>0.616667</v>
      </c>
      <c r="BD53" s="9">
        <v>0.55</v>
      </c>
      <c r="BE53" s="9">
        <v>0.626667</v>
      </c>
      <c r="BF53" s="9">
        <v>0.633333</v>
      </c>
      <c r="BG53" s="9">
        <v>0.666667</v>
      </c>
      <c r="BH53" s="6"/>
      <c r="BI53" s="6" t="str">
        <f t="shared" si="1"/>
        <v>5B_One_Acc</v>
      </c>
      <c r="BJ53" s="6" t="str">
        <f t="shared" si="2"/>
        <v>5B_One_Acc</v>
      </c>
      <c r="BK53" s="6" t="str">
        <f t="shared" si="3"/>
        <v>10BN_Fold_Mean</v>
      </c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</row>
    <row r="54" ht="15.75" customHeight="1">
      <c r="A54" s="1" t="s">
        <v>148</v>
      </c>
      <c r="B54" s="17">
        <v>99.0</v>
      </c>
      <c r="C54" s="9">
        <v>0.523684</v>
      </c>
      <c r="D54" s="9">
        <v>0.521053</v>
      </c>
      <c r="E54" s="9">
        <v>0.526316</v>
      </c>
      <c r="F54" s="9">
        <v>0.514999998</v>
      </c>
      <c r="G54" s="9">
        <v>0.514473677</v>
      </c>
      <c r="H54" s="9">
        <v>0.514474</v>
      </c>
      <c r="I54" s="9">
        <v>0.541579</v>
      </c>
      <c r="J54" s="9">
        <v>0.544737</v>
      </c>
      <c r="K54" s="9">
        <v>0.572368</v>
      </c>
      <c r="L54" s="9">
        <v>0.542894733</v>
      </c>
      <c r="M54" s="9">
        <v>0.528947</v>
      </c>
      <c r="N54" s="9">
        <v>0.610526</v>
      </c>
      <c r="O54" s="9">
        <v>0.537368</v>
      </c>
      <c r="P54" s="9">
        <v>0.527632</v>
      </c>
      <c r="Q54" s="9">
        <v>0.596053</v>
      </c>
      <c r="R54" s="9">
        <v>0.529473686</v>
      </c>
      <c r="S54" s="9">
        <v>0.526316</v>
      </c>
      <c r="T54" s="9">
        <v>0.546053</v>
      </c>
      <c r="U54" s="9">
        <v>0.559474</v>
      </c>
      <c r="V54" s="9">
        <v>0.551316</v>
      </c>
      <c r="W54" s="9">
        <v>0.586842</v>
      </c>
      <c r="X54" s="9">
        <v>0.581316</v>
      </c>
      <c r="Y54" s="9">
        <v>0.596053</v>
      </c>
      <c r="Z54" s="9">
        <v>0.586842</v>
      </c>
      <c r="AA54" s="9">
        <v>0.538684213</v>
      </c>
      <c r="AB54" s="9">
        <v>0.542105</v>
      </c>
      <c r="AC54" s="9">
        <v>0.573684</v>
      </c>
      <c r="AD54" s="9">
        <v>0.546052635</v>
      </c>
      <c r="AE54" s="9">
        <v>0.531579</v>
      </c>
      <c r="AF54" s="9">
        <v>0.586842</v>
      </c>
      <c r="AG54" s="9">
        <v>0.524737</v>
      </c>
      <c r="AH54" s="9">
        <v>0.517105</v>
      </c>
      <c r="AI54" s="9">
        <v>0.564474</v>
      </c>
      <c r="AJ54" s="9">
        <v>0.530526</v>
      </c>
      <c r="AK54" s="9">
        <v>0.530263</v>
      </c>
      <c r="AL54" s="9">
        <v>0.555263</v>
      </c>
      <c r="AM54" s="9">
        <v>0.538421</v>
      </c>
      <c r="AN54" s="9">
        <v>0.536842</v>
      </c>
      <c r="AO54" s="9">
        <v>0.584211</v>
      </c>
      <c r="AP54" s="9">
        <v>0.548684204</v>
      </c>
      <c r="AQ54" s="9">
        <v>0.553947</v>
      </c>
      <c r="AR54" s="9">
        <v>0.610526</v>
      </c>
      <c r="AS54" s="9">
        <v>0.541579</v>
      </c>
      <c r="AT54" s="9">
        <v>0.536842</v>
      </c>
      <c r="AU54" s="9">
        <v>0.607895</v>
      </c>
      <c r="AV54" s="9">
        <v>0.533684</v>
      </c>
      <c r="AW54" s="9">
        <v>0.542105</v>
      </c>
      <c r="AX54" s="9">
        <v>0.617105</v>
      </c>
      <c r="AY54" s="9">
        <v>0.543947</v>
      </c>
      <c r="AZ54" s="9">
        <v>0.525</v>
      </c>
      <c r="BA54" s="9">
        <v>0.607895</v>
      </c>
      <c r="BB54" s="9">
        <v>0.548947</v>
      </c>
      <c r="BC54" s="9">
        <v>0.551316</v>
      </c>
      <c r="BD54" s="9">
        <v>0.597368</v>
      </c>
      <c r="BE54" s="9">
        <v>0.521579</v>
      </c>
      <c r="BF54" s="9">
        <v>0.514474</v>
      </c>
      <c r="BG54" s="9">
        <v>0.560526</v>
      </c>
      <c r="BH54" s="6"/>
      <c r="BI54" s="6" t="str">
        <f t="shared" si="1"/>
        <v>12VB_One_Acc</v>
      </c>
      <c r="BJ54" s="6" t="str">
        <f t="shared" si="2"/>
        <v>5VB_One_Acc</v>
      </c>
      <c r="BK54" s="6" t="str">
        <f t="shared" si="3"/>
        <v>5VB_One_Acc</v>
      </c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</row>
    <row r="55" ht="15.75" customHeight="1">
      <c r="A55" s="1" t="s">
        <v>149</v>
      </c>
      <c r="B55" s="17">
        <v>80.0</v>
      </c>
      <c r="C55" s="9">
        <v>0.557143</v>
      </c>
      <c r="D55" s="9">
        <v>0.564935</v>
      </c>
      <c r="E55" s="9">
        <v>0.519481</v>
      </c>
      <c r="F55" s="9">
        <v>0.551948047</v>
      </c>
      <c r="G55" s="9">
        <v>0.558441579</v>
      </c>
      <c r="H55" s="9">
        <v>0.188312</v>
      </c>
      <c r="I55" s="9">
        <v>0.585714</v>
      </c>
      <c r="J55" s="9">
        <v>0.577922</v>
      </c>
      <c r="K55" s="9">
        <v>0.506494</v>
      </c>
      <c r="L55" s="9">
        <v>0.572727263</v>
      </c>
      <c r="M55" s="9">
        <v>0.584416</v>
      </c>
      <c r="N55" s="9">
        <v>0.506494</v>
      </c>
      <c r="O55" s="9">
        <v>0.588312</v>
      </c>
      <c r="P55" s="9">
        <v>0.584416</v>
      </c>
      <c r="Q55" s="9">
        <v>0.571429</v>
      </c>
      <c r="R55" s="9">
        <v>0.585714269</v>
      </c>
      <c r="S55" s="9">
        <v>0.584416</v>
      </c>
      <c r="T55" s="9">
        <v>0.512987</v>
      </c>
      <c r="U55" s="9">
        <v>0.575325</v>
      </c>
      <c r="V55" s="9">
        <v>0.577922</v>
      </c>
      <c r="W55" s="9">
        <v>0.564935</v>
      </c>
      <c r="X55" s="9">
        <v>0.549351</v>
      </c>
      <c r="Y55" s="9">
        <v>0.571429</v>
      </c>
      <c r="Z55" s="9">
        <v>0.577922</v>
      </c>
      <c r="AA55" s="9">
        <v>0.567532456</v>
      </c>
      <c r="AB55" s="9">
        <v>0.584416</v>
      </c>
      <c r="AC55" s="9">
        <v>0.597403</v>
      </c>
      <c r="AD55" s="9">
        <v>0.581818175</v>
      </c>
      <c r="AE55" s="9">
        <v>0.584416</v>
      </c>
      <c r="AF55" s="9">
        <v>0.564935</v>
      </c>
      <c r="AG55" s="9">
        <v>0.576623</v>
      </c>
      <c r="AH55" s="9">
        <v>0.571429</v>
      </c>
      <c r="AI55" s="9">
        <v>0.564935</v>
      </c>
      <c r="AJ55" s="9">
        <v>0.55974</v>
      </c>
      <c r="AK55" s="9">
        <v>0.564935</v>
      </c>
      <c r="AL55" s="9">
        <v>0.558442</v>
      </c>
      <c r="AM55" s="9">
        <v>0.575325</v>
      </c>
      <c r="AN55" s="9">
        <v>0.584416</v>
      </c>
      <c r="AO55" s="9">
        <v>0.616883</v>
      </c>
      <c r="AP55" s="9">
        <v>0.584415591</v>
      </c>
      <c r="AQ55" s="9">
        <v>0.577922</v>
      </c>
      <c r="AR55" s="9">
        <v>0.603896</v>
      </c>
      <c r="AS55" s="9">
        <v>0.577922</v>
      </c>
      <c r="AT55" s="9">
        <v>0.577922</v>
      </c>
      <c r="AU55" s="9">
        <v>0.577922</v>
      </c>
      <c r="AV55" s="9">
        <v>0.579221</v>
      </c>
      <c r="AW55" s="9">
        <v>0.584416</v>
      </c>
      <c r="AX55" s="9">
        <v>0.577922</v>
      </c>
      <c r="AY55" s="9">
        <v>0.575325</v>
      </c>
      <c r="AZ55" s="9">
        <v>0.571429</v>
      </c>
      <c r="BA55" s="9">
        <v>0.62987</v>
      </c>
      <c r="BB55" s="9">
        <v>0.57013</v>
      </c>
      <c r="BC55" s="9">
        <v>0.584416</v>
      </c>
      <c r="BD55" s="9">
        <v>0.564935</v>
      </c>
      <c r="BE55" s="9">
        <v>0.615584</v>
      </c>
      <c r="BF55" s="9">
        <v>0.616883</v>
      </c>
      <c r="BG55" s="9">
        <v>0.616883</v>
      </c>
      <c r="BH55" s="6"/>
      <c r="BI55" s="6" t="str">
        <f t="shared" si="1"/>
        <v>20B_One_Acc</v>
      </c>
      <c r="BJ55" s="6" t="str">
        <f t="shared" si="2"/>
        <v>12B_One_Acc</v>
      </c>
      <c r="BK55" s="6" t="str">
        <f t="shared" si="3"/>
        <v>12B_One_Acc</v>
      </c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</row>
    <row r="56" ht="15.75" customHeight="1">
      <c r="A56" s="1" t="s">
        <v>150</v>
      </c>
      <c r="B56" s="17">
        <v>80.0</v>
      </c>
      <c r="C56" s="9">
        <v>0.685911</v>
      </c>
      <c r="D56" s="9">
        <v>0.714777</v>
      </c>
      <c r="E56" s="9">
        <v>0.666667</v>
      </c>
      <c r="F56" s="9">
        <v>0.66391753</v>
      </c>
      <c r="G56" s="9">
        <v>0.676975965</v>
      </c>
      <c r="H56" s="9">
        <v>0.570447</v>
      </c>
      <c r="I56" s="9">
        <v>0.778694</v>
      </c>
      <c r="J56" s="9">
        <v>0.790378</v>
      </c>
      <c r="K56" s="9">
        <v>0.790378</v>
      </c>
      <c r="L56" s="9">
        <v>0.77182132</v>
      </c>
      <c r="M56" s="9">
        <v>0.780069</v>
      </c>
      <c r="N56" s="9">
        <v>0.75945</v>
      </c>
      <c r="O56" s="9">
        <v>0.668041</v>
      </c>
      <c r="P56" s="9">
        <v>0.701031</v>
      </c>
      <c r="Q56" s="9">
        <v>0.762887</v>
      </c>
      <c r="R56" s="9">
        <v>0.722336781</v>
      </c>
      <c r="S56" s="9">
        <v>0.752577</v>
      </c>
      <c r="T56" s="9">
        <v>0.718213</v>
      </c>
      <c r="U56" s="9">
        <v>0.773883</v>
      </c>
      <c r="V56" s="9">
        <v>0.766323</v>
      </c>
      <c r="W56" s="9">
        <v>0.766323</v>
      </c>
      <c r="X56" s="9">
        <v>0.771821</v>
      </c>
      <c r="Y56" s="9">
        <v>0.769759</v>
      </c>
      <c r="Z56" s="9">
        <v>0.766323</v>
      </c>
      <c r="AA56" s="9">
        <v>0.740893471</v>
      </c>
      <c r="AB56" s="9">
        <v>0.749141</v>
      </c>
      <c r="AC56" s="9">
        <v>0.725086</v>
      </c>
      <c r="AD56" s="9">
        <v>0.714089346</v>
      </c>
      <c r="AE56" s="9">
        <v>0.742268</v>
      </c>
      <c r="AF56" s="9">
        <v>0.728522</v>
      </c>
      <c r="AG56" s="9">
        <v>0.730584</v>
      </c>
      <c r="AH56" s="9">
        <v>0.756014</v>
      </c>
      <c r="AI56" s="9">
        <v>0.800687</v>
      </c>
      <c r="AJ56" s="9">
        <v>0.778007</v>
      </c>
      <c r="AK56" s="9">
        <v>0.776632</v>
      </c>
      <c r="AL56" s="9">
        <v>0.570447</v>
      </c>
      <c r="AM56" s="9">
        <v>0.7189</v>
      </c>
      <c r="AN56" s="9">
        <v>0.738832</v>
      </c>
      <c r="AO56" s="9">
        <v>0.71134</v>
      </c>
      <c r="AP56" s="9">
        <v>0.697594488</v>
      </c>
      <c r="AQ56" s="9">
        <v>0.742268</v>
      </c>
      <c r="AR56" s="9">
        <v>0.728522</v>
      </c>
      <c r="AS56" s="9">
        <v>0.783505</v>
      </c>
      <c r="AT56" s="9">
        <v>0.790378</v>
      </c>
      <c r="AU56" s="9">
        <v>0.800687</v>
      </c>
      <c r="AV56" s="9">
        <v>0.784192</v>
      </c>
      <c r="AW56" s="9">
        <v>0.783505</v>
      </c>
      <c r="AX56" s="9">
        <v>0.790378</v>
      </c>
      <c r="AY56" s="9">
        <v>0.685911</v>
      </c>
      <c r="AZ56" s="9">
        <v>0.718213</v>
      </c>
      <c r="BA56" s="9">
        <v>0.683849</v>
      </c>
      <c r="BB56" s="9">
        <v>0.756014</v>
      </c>
      <c r="BC56" s="9">
        <v>0.804124</v>
      </c>
      <c r="BD56" s="9">
        <v>0.817869</v>
      </c>
      <c r="BE56" s="9">
        <v>0.679038</v>
      </c>
      <c r="BF56" s="9">
        <v>0.704467</v>
      </c>
      <c r="BG56" s="9">
        <v>0.790378</v>
      </c>
      <c r="BH56" s="6"/>
      <c r="BI56" s="6" t="str">
        <f t="shared" si="1"/>
        <v>20V_One_Acc</v>
      </c>
      <c r="BJ56" s="6" t="str">
        <f t="shared" si="2"/>
        <v>20V_Fold_Median</v>
      </c>
      <c r="BK56" s="6" t="str">
        <f t="shared" si="3"/>
        <v>10V_One_Acc</v>
      </c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</row>
    <row r="57" ht="15.75" customHeight="1">
      <c r="A57" s="1" t="s">
        <v>151</v>
      </c>
      <c r="B57" s="17">
        <v>80.0</v>
      </c>
      <c r="C57" s="9">
        <v>0.549351</v>
      </c>
      <c r="D57" s="9">
        <v>0.558442</v>
      </c>
      <c r="E57" s="9">
        <v>0.525974</v>
      </c>
      <c r="F57" s="9">
        <v>0.554545474</v>
      </c>
      <c r="G57" s="9">
        <v>0.558441579</v>
      </c>
      <c r="H57" s="9">
        <v>0.272727</v>
      </c>
      <c r="I57" s="9">
        <v>0.572727</v>
      </c>
      <c r="J57" s="9">
        <v>0.577922</v>
      </c>
      <c r="K57" s="9">
        <v>0.590909</v>
      </c>
      <c r="L57" s="9">
        <v>0.566233766</v>
      </c>
      <c r="M57" s="9">
        <v>0.558442</v>
      </c>
      <c r="N57" s="9">
        <v>0.558442</v>
      </c>
      <c r="O57" s="9">
        <v>0.542857</v>
      </c>
      <c r="P57" s="9">
        <v>0.551948</v>
      </c>
      <c r="Q57" s="9">
        <v>0.545455</v>
      </c>
      <c r="R57" s="9">
        <v>0.553246772</v>
      </c>
      <c r="S57" s="9">
        <v>0.558442</v>
      </c>
      <c r="T57" s="9">
        <v>0.474026</v>
      </c>
      <c r="U57" s="9">
        <v>0.564935</v>
      </c>
      <c r="V57" s="9">
        <v>0.558442</v>
      </c>
      <c r="W57" s="9">
        <v>0.558442</v>
      </c>
      <c r="X57" s="9">
        <v>0.557143</v>
      </c>
      <c r="Y57" s="9">
        <v>0.558442</v>
      </c>
      <c r="Z57" s="9">
        <v>0.558442</v>
      </c>
      <c r="AA57" s="9">
        <v>0.561038983</v>
      </c>
      <c r="AB57" s="9">
        <v>0.558442</v>
      </c>
      <c r="AC57" s="9">
        <v>0.506494</v>
      </c>
      <c r="AD57" s="9">
        <v>0.533766252</v>
      </c>
      <c r="AE57" s="9">
        <v>0.558442</v>
      </c>
      <c r="AF57" s="9">
        <v>0.519481</v>
      </c>
      <c r="AG57" s="9">
        <v>0.566234</v>
      </c>
      <c r="AH57" s="9">
        <v>0.558442</v>
      </c>
      <c r="AI57" s="9">
        <v>0.571429</v>
      </c>
      <c r="AJ57" s="9">
        <v>0.558442</v>
      </c>
      <c r="AK57" s="9">
        <v>0.558442</v>
      </c>
      <c r="AL57" s="9">
        <v>0.558442</v>
      </c>
      <c r="AM57" s="9">
        <v>0.563636</v>
      </c>
      <c r="AN57" s="9">
        <v>0.558442</v>
      </c>
      <c r="AO57" s="9">
        <v>0.506494</v>
      </c>
      <c r="AP57" s="9">
        <v>0.563636374</v>
      </c>
      <c r="AQ57" s="9">
        <v>0.558442</v>
      </c>
      <c r="AR57" s="9">
        <v>0.590909</v>
      </c>
      <c r="AS57" s="9">
        <v>0.558442</v>
      </c>
      <c r="AT57" s="9">
        <v>0.558442</v>
      </c>
      <c r="AU57" s="9">
        <v>0.558442</v>
      </c>
      <c r="AV57" s="9">
        <v>0.557143</v>
      </c>
      <c r="AW57" s="9">
        <v>0.558442</v>
      </c>
      <c r="AX57" s="9">
        <v>0.558442</v>
      </c>
      <c r="AY57" s="9">
        <v>0.542857</v>
      </c>
      <c r="AZ57" s="9">
        <v>0.558442</v>
      </c>
      <c r="BA57" s="9">
        <v>0.538961</v>
      </c>
      <c r="BB57" s="9">
        <v>0.567532</v>
      </c>
      <c r="BC57" s="9">
        <v>0.558442</v>
      </c>
      <c r="BD57" s="9">
        <v>0.558442</v>
      </c>
      <c r="BE57" s="9">
        <v>0.572727</v>
      </c>
      <c r="BF57" s="9">
        <v>0.558442</v>
      </c>
      <c r="BG57" s="9">
        <v>0.558442</v>
      </c>
      <c r="BH57" s="6"/>
      <c r="BI57" s="6" t="str">
        <f t="shared" si="1"/>
        <v>5V_One_Acc</v>
      </c>
      <c r="BJ57" s="6" t="str">
        <f t="shared" si="2"/>
        <v>5V_One_Acc</v>
      </c>
      <c r="BK57" s="6" t="str">
        <f t="shared" si="3"/>
        <v>5V_Fold_Median</v>
      </c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</row>
    <row r="58" ht="15.75" customHeight="1">
      <c r="A58" s="1" t="s">
        <v>152</v>
      </c>
      <c r="B58" s="17">
        <v>1024.0</v>
      </c>
      <c r="C58" s="9">
        <v>0.813361</v>
      </c>
      <c r="D58" s="9">
        <v>0.822268</v>
      </c>
      <c r="E58" s="9">
        <v>0.822268</v>
      </c>
      <c r="F58" s="9">
        <v>0.81962887</v>
      </c>
      <c r="G58" s="9">
        <v>0.824742258</v>
      </c>
      <c r="H58" s="9">
        <v>0.188866</v>
      </c>
      <c r="I58" s="9">
        <v>0.850639</v>
      </c>
      <c r="J58" s="9">
        <v>0.851134</v>
      </c>
      <c r="K58" s="9">
        <v>0.858969</v>
      </c>
      <c r="L58" s="9">
        <v>0.849814427</v>
      </c>
      <c r="M58" s="9">
        <v>0.856082</v>
      </c>
      <c r="N58" s="9">
        <v>0.854021</v>
      </c>
      <c r="O58" s="9">
        <v>0.854268</v>
      </c>
      <c r="P58" s="9">
        <v>0.856082</v>
      </c>
      <c r="Q58" s="9">
        <v>0.863505</v>
      </c>
      <c r="R58" s="9">
        <v>0.85839175</v>
      </c>
      <c r="S58" s="9">
        <v>0.859381</v>
      </c>
      <c r="T58" s="9">
        <v>0.85732</v>
      </c>
      <c r="U58" s="9">
        <v>0.865567</v>
      </c>
      <c r="V58" s="9">
        <v>0.866804</v>
      </c>
      <c r="W58" s="9">
        <v>0.875052</v>
      </c>
      <c r="X58" s="9">
        <v>0.871835</v>
      </c>
      <c r="Y58" s="9">
        <v>0.875052</v>
      </c>
      <c r="Z58" s="9">
        <v>0.86268</v>
      </c>
      <c r="AA58" s="9">
        <v>0.852206182</v>
      </c>
      <c r="AB58" s="9">
        <v>0.854433</v>
      </c>
      <c r="AC58" s="9">
        <v>0.863505</v>
      </c>
      <c r="AD58" s="9">
        <v>0.854597938</v>
      </c>
      <c r="AE58" s="9">
        <v>0.852784</v>
      </c>
      <c r="AF58" s="9">
        <v>0.861031</v>
      </c>
      <c r="AG58" s="9">
        <v>0.864</v>
      </c>
      <c r="AH58" s="9">
        <v>0.863505</v>
      </c>
      <c r="AI58" s="9">
        <v>0.852371</v>
      </c>
      <c r="AJ58" s="9">
        <v>0.867216</v>
      </c>
      <c r="AK58" s="9">
        <v>0.867629</v>
      </c>
      <c r="AL58" s="9">
        <v>0.870103</v>
      </c>
      <c r="AM58" s="9">
        <v>0.851464</v>
      </c>
      <c r="AN58" s="9">
        <v>0.852784</v>
      </c>
      <c r="AO58" s="9">
        <v>0.863093</v>
      </c>
      <c r="AP58" s="9">
        <v>0.855835044</v>
      </c>
      <c r="AQ58" s="9">
        <v>0.856495</v>
      </c>
      <c r="AR58" s="9">
        <v>0.862268</v>
      </c>
      <c r="AS58" s="9">
        <v>0.851794</v>
      </c>
      <c r="AT58" s="9">
        <v>0.863918</v>
      </c>
      <c r="AU58" s="9">
        <v>0.863918</v>
      </c>
      <c r="AV58" s="9">
        <v>0.86268</v>
      </c>
      <c r="AW58" s="9">
        <v>0.861443</v>
      </c>
      <c r="AX58" s="9">
        <v>0.872577</v>
      </c>
      <c r="AY58" s="9">
        <v>0.858392</v>
      </c>
      <c r="AZ58" s="9">
        <v>0.858969</v>
      </c>
      <c r="BA58" s="9">
        <v>0.819381</v>
      </c>
      <c r="BB58" s="9">
        <v>0.846845</v>
      </c>
      <c r="BC58" s="9">
        <v>0.874227</v>
      </c>
      <c r="BD58" s="9">
        <v>0.890722</v>
      </c>
      <c r="BE58" s="9">
        <v>0.77633</v>
      </c>
      <c r="BF58" s="9">
        <v>0.779794</v>
      </c>
      <c r="BG58" s="9">
        <v>0.814021</v>
      </c>
      <c r="BH58" s="6"/>
      <c r="BI58" s="6" t="str">
        <f t="shared" si="1"/>
        <v>20V_One_Acc</v>
      </c>
      <c r="BJ58" s="6" t="str">
        <f t="shared" si="2"/>
        <v>8V_One_Acc</v>
      </c>
      <c r="BK58" s="6" t="str">
        <f t="shared" si="3"/>
        <v>8V_One_Acc</v>
      </c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</row>
    <row r="59" ht="15.75" customHeight="1">
      <c r="A59" s="1" t="s">
        <v>153</v>
      </c>
      <c r="B59" s="17">
        <v>1024.0</v>
      </c>
      <c r="C59" s="9">
        <v>0.760082</v>
      </c>
      <c r="D59" s="9">
        <v>0.764948</v>
      </c>
      <c r="E59" s="9">
        <v>0.766186</v>
      </c>
      <c r="F59" s="9">
        <v>0.749443305</v>
      </c>
      <c r="G59" s="9">
        <v>0.748865962</v>
      </c>
      <c r="H59" s="9">
        <v>0.172371</v>
      </c>
      <c r="I59" s="9">
        <v>0.788948</v>
      </c>
      <c r="J59" s="9">
        <v>0.789278</v>
      </c>
      <c r="K59" s="9">
        <v>0.794227</v>
      </c>
      <c r="L59" s="9">
        <v>0.79562887</v>
      </c>
      <c r="M59" s="9">
        <v>0.798763</v>
      </c>
      <c r="N59" s="9">
        <v>0.797938</v>
      </c>
      <c r="O59" s="9">
        <v>0.777567</v>
      </c>
      <c r="P59" s="9">
        <v>0.783918</v>
      </c>
      <c r="Q59" s="9">
        <v>0.814433</v>
      </c>
      <c r="R59" s="9">
        <v>0.788041246</v>
      </c>
      <c r="S59" s="9">
        <v>0.796289</v>
      </c>
      <c r="T59" s="9">
        <v>0.803299</v>
      </c>
      <c r="U59" s="9">
        <v>0.795876</v>
      </c>
      <c r="V59" s="9">
        <v>0.793402</v>
      </c>
      <c r="W59" s="9">
        <v>0.814845</v>
      </c>
      <c r="X59" s="9">
        <v>0.809402</v>
      </c>
      <c r="Y59" s="9">
        <v>0.816495</v>
      </c>
      <c r="Z59" s="9">
        <v>0.795876</v>
      </c>
      <c r="AA59" s="9">
        <v>0.788041246</v>
      </c>
      <c r="AB59" s="9">
        <v>0.794639</v>
      </c>
      <c r="AC59" s="9">
        <v>0.785567</v>
      </c>
      <c r="AD59" s="9">
        <v>0.799010313</v>
      </c>
      <c r="AE59" s="9">
        <v>0.802887</v>
      </c>
      <c r="AF59" s="9">
        <v>0.806186</v>
      </c>
      <c r="AG59" s="9">
        <v>0.812041</v>
      </c>
      <c r="AH59" s="9">
        <v>0.803299</v>
      </c>
      <c r="AI59" s="9">
        <v>0.732371</v>
      </c>
      <c r="AJ59" s="9">
        <v>0.820948</v>
      </c>
      <c r="AK59" s="9">
        <v>0.82268</v>
      </c>
      <c r="AL59" s="9">
        <v>0.849897</v>
      </c>
      <c r="AM59" s="9">
        <v>0.786887</v>
      </c>
      <c r="AN59" s="9">
        <v>0.782268</v>
      </c>
      <c r="AO59" s="9">
        <v>0.804948</v>
      </c>
      <c r="AP59" s="9">
        <v>0.78523711</v>
      </c>
      <c r="AQ59" s="9">
        <v>0.782268</v>
      </c>
      <c r="AR59" s="9">
        <v>0.813608</v>
      </c>
      <c r="AS59" s="9">
        <v>0.806433</v>
      </c>
      <c r="AT59" s="9">
        <v>0.812783</v>
      </c>
      <c r="AU59" s="9">
        <v>0.798351</v>
      </c>
      <c r="AV59" s="9">
        <v>0.805361</v>
      </c>
      <c r="AW59" s="9">
        <v>0.807835</v>
      </c>
      <c r="AX59" s="9">
        <v>0.835052</v>
      </c>
      <c r="AY59" s="9">
        <v>0.810557</v>
      </c>
      <c r="AZ59" s="9">
        <v>0.80701</v>
      </c>
      <c r="BA59" s="9">
        <v>0.816082</v>
      </c>
      <c r="BB59" s="9">
        <v>0.819464</v>
      </c>
      <c r="BC59" s="9">
        <v>0.81732</v>
      </c>
      <c r="BD59" s="9">
        <v>0.840825</v>
      </c>
      <c r="BE59" s="9">
        <v>0.714144</v>
      </c>
      <c r="BF59" s="9">
        <v>0.723711</v>
      </c>
      <c r="BG59" s="9">
        <v>0.719175</v>
      </c>
      <c r="BH59" s="6"/>
      <c r="BI59" s="6" t="str">
        <f t="shared" si="1"/>
        <v>10VB_One_Acc</v>
      </c>
      <c r="BJ59" s="6" t="str">
        <f t="shared" si="2"/>
        <v>20V_One_Acc</v>
      </c>
      <c r="BK59" s="6" t="str">
        <f t="shared" si="3"/>
        <v>12VB_One_Acc</v>
      </c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</row>
    <row r="60" ht="15.75" customHeight="1">
      <c r="A60" s="1" t="s">
        <v>154</v>
      </c>
      <c r="B60" s="17">
        <v>84.0</v>
      </c>
      <c r="C60" s="9">
        <v>0.673642</v>
      </c>
      <c r="D60" s="9">
        <v>0.722045</v>
      </c>
      <c r="E60" s="9">
        <v>0.789936</v>
      </c>
      <c r="F60" s="9">
        <v>0.823162937</v>
      </c>
      <c r="G60" s="9">
        <v>0.809105456</v>
      </c>
      <c r="H60" s="9">
        <v>0.539137</v>
      </c>
      <c r="I60" s="9">
        <v>0.810064</v>
      </c>
      <c r="J60" s="9">
        <v>0.826677</v>
      </c>
      <c r="K60" s="9">
        <v>0.841054</v>
      </c>
      <c r="L60" s="9">
        <v>0.75303514</v>
      </c>
      <c r="M60" s="9">
        <v>0.8123</v>
      </c>
      <c r="N60" s="9">
        <v>0.828275</v>
      </c>
      <c r="O60" s="9">
        <v>0.739776</v>
      </c>
      <c r="P60" s="9">
        <v>0.748403</v>
      </c>
      <c r="Q60" s="9">
        <v>0.698083</v>
      </c>
      <c r="R60" s="9">
        <v>0.772683704</v>
      </c>
      <c r="S60" s="9">
        <v>0.780351</v>
      </c>
      <c r="T60" s="9">
        <v>0.770767</v>
      </c>
      <c r="U60" s="9">
        <v>0.755112</v>
      </c>
      <c r="V60" s="9">
        <v>0.82508</v>
      </c>
      <c r="W60" s="9">
        <v>0.833067</v>
      </c>
      <c r="X60" s="9">
        <v>0.74984</v>
      </c>
      <c r="Y60" s="9">
        <v>0.802716</v>
      </c>
      <c r="Z60" s="9">
        <v>0.802716</v>
      </c>
      <c r="AA60" s="9">
        <v>0.710862625</v>
      </c>
      <c r="AB60" s="9">
        <v>0.735623</v>
      </c>
      <c r="AC60" s="9">
        <v>0.759585</v>
      </c>
      <c r="AD60" s="9">
        <v>0.754952073</v>
      </c>
      <c r="AE60" s="9">
        <v>0.783546</v>
      </c>
      <c r="AF60" s="9">
        <v>0.741214</v>
      </c>
      <c r="AG60" s="9">
        <v>0.816933</v>
      </c>
      <c r="AH60" s="9">
        <v>0.820288</v>
      </c>
      <c r="AI60" s="9">
        <v>0.829872</v>
      </c>
      <c r="AJ60" s="9">
        <v>0.82524</v>
      </c>
      <c r="AK60" s="9">
        <v>0.83147</v>
      </c>
      <c r="AL60" s="9">
        <v>0.83147</v>
      </c>
      <c r="AM60" s="9">
        <v>0.697604</v>
      </c>
      <c r="AN60" s="9">
        <v>0.753195</v>
      </c>
      <c r="AO60" s="9">
        <v>0.798722</v>
      </c>
      <c r="AP60" s="9">
        <v>0.710383391</v>
      </c>
      <c r="AQ60" s="9">
        <v>0.739617</v>
      </c>
      <c r="AR60" s="9">
        <v>0.783546</v>
      </c>
      <c r="AS60" s="9">
        <v>0.8123</v>
      </c>
      <c r="AT60" s="9">
        <v>0.82508</v>
      </c>
      <c r="AU60" s="9">
        <v>0.826677</v>
      </c>
      <c r="AV60" s="9">
        <v>0.813738</v>
      </c>
      <c r="AW60" s="9">
        <v>0.81869</v>
      </c>
      <c r="AX60" s="9">
        <v>0.826677</v>
      </c>
      <c r="AY60" s="9">
        <v>0.71278</v>
      </c>
      <c r="AZ60" s="9">
        <v>0.759585</v>
      </c>
      <c r="BA60" s="9">
        <v>0.724441</v>
      </c>
      <c r="BB60" s="9">
        <v>0.789137</v>
      </c>
      <c r="BC60" s="9">
        <v>0.791534</v>
      </c>
      <c r="BD60" s="9">
        <v>0.807508</v>
      </c>
      <c r="BE60" s="9">
        <v>0.733227</v>
      </c>
      <c r="BF60" s="9">
        <v>0.852236</v>
      </c>
      <c r="BG60" s="9">
        <v>0.859425</v>
      </c>
      <c r="BH60" s="6"/>
      <c r="BI60" s="6" t="str">
        <f t="shared" si="1"/>
        <v>De_One_Acc</v>
      </c>
      <c r="BJ60" s="6" t="str">
        <f t="shared" si="2"/>
        <v>De_Fold_Median</v>
      </c>
      <c r="BK60" s="6" t="str">
        <f t="shared" si="3"/>
        <v>5V_One_Acc</v>
      </c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</row>
    <row r="61" ht="15.75" customHeight="1">
      <c r="A61" s="1" t="s">
        <v>155</v>
      </c>
      <c r="B61" s="17">
        <v>570.0</v>
      </c>
      <c r="C61" s="9">
        <v>0.513333</v>
      </c>
      <c r="D61" s="9">
        <v>0.533333</v>
      </c>
      <c r="E61" s="9">
        <v>0.4</v>
      </c>
      <c r="F61" s="9">
        <v>0.406666672</v>
      </c>
      <c r="G61" s="9">
        <v>0.400000006</v>
      </c>
      <c r="H61" s="9">
        <v>0.4</v>
      </c>
      <c r="I61" s="9">
        <v>0.4</v>
      </c>
      <c r="J61" s="9">
        <v>0.4</v>
      </c>
      <c r="K61" s="9">
        <v>0.4</v>
      </c>
      <c r="L61" s="9">
        <v>0.380000007</v>
      </c>
      <c r="M61" s="9">
        <v>0.4</v>
      </c>
      <c r="N61" s="9">
        <v>0.4</v>
      </c>
      <c r="O61" s="9">
        <v>0.486667</v>
      </c>
      <c r="P61" s="9">
        <v>0.466667</v>
      </c>
      <c r="Q61" s="9">
        <v>0.4</v>
      </c>
      <c r="R61" s="9">
        <v>0.400000006</v>
      </c>
      <c r="S61" s="9">
        <v>0.4</v>
      </c>
      <c r="T61" s="9">
        <v>0.4</v>
      </c>
      <c r="U61" s="9">
        <v>0.406667</v>
      </c>
      <c r="V61" s="9">
        <v>0.4</v>
      </c>
      <c r="W61" s="9">
        <v>0.4</v>
      </c>
      <c r="X61" s="9">
        <v>0.38</v>
      </c>
      <c r="Y61" s="9">
        <v>0.4</v>
      </c>
      <c r="Z61" s="9">
        <v>0.4</v>
      </c>
      <c r="AA61" s="9">
        <v>0.400000006</v>
      </c>
      <c r="AB61" s="9">
        <v>0.4</v>
      </c>
      <c r="AC61" s="9">
        <v>0.4</v>
      </c>
      <c r="AD61" s="9">
        <v>0.433333337</v>
      </c>
      <c r="AE61" s="9">
        <v>0.4</v>
      </c>
      <c r="AF61" s="9">
        <v>0.4</v>
      </c>
      <c r="AG61" s="9">
        <v>0.4</v>
      </c>
      <c r="AH61" s="9">
        <v>0.4</v>
      </c>
      <c r="AI61" s="9">
        <v>0.4</v>
      </c>
      <c r="AJ61" s="9">
        <v>0.4</v>
      </c>
      <c r="AK61" s="9">
        <v>0.4</v>
      </c>
      <c r="AL61" s="9">
        <v>0.4</v>
      </c>
      <c r="AM61" s="9">
        <v>0.4</v>
      </c>
      <c r="AN61" s="9">
        <v>0.4</v>
      </c>
      <c r="AO61" s="9">
        <v>0.4</v>
      </c>
      <c r="AP61" s="9">
        <v>0.400000006</v>
      </c>
      <c r="AQ61" s="9">
        <v>0.4</v>
      </c>
      <c r="AR61" s="9">
        <v>0.5</v>
      </c>
      <c r="AS61" s="9">
        <v>0.4</v>
      </c>
      <c r="AT61" s="9">
        <v>0.4</v>
      </c>
      <c r="AU61" s="9">
        <v>0.3</v>
      </c>
      <c r="AV61" s="9">
        <v>0.366667</v>
      </c>
      <c r="AW61" s="9">
        <v>0.4</v>
      </c>
      <c r="AX61" s="9">
        <v>0.4</v>
      </c>
      <c r="AY61" s="9">
        <v>0.44</v>
      </c>
      <c r="AZ61" s="9">
        <v>0.4</v>
      </c>
      <c r="BA61" s="9">
        <v>0.4</v>
      </c>
      <c r="BB61" s="9">
        <v>0.4</v>
      </c>
      <c r="BC61" s="9">
        <v>0.4</v>
      </c>
      <c r="BD61" s="9">
        <v>0.4</v>
      </c>
      <c r="BE61" s="9">
        <v>0.4</v>
      </c>
      <c r="BF61" s="9">
        <v>0.4</v>
      </c>
      <c r="BG61" s="9">
        <v>0.4</v>
      </c>
      <c r="BH61" s="6"/>
      <c r="BI61" s="6" t="str">
        <f t="shared" si="1"/>
        <v>5B_Fold_Median</v>
      </c>
      <c r="BJ61" s="6" t="str">
        <f t="shared" si="2"/>
        <v>5B_Fold_Mean</v>
      </c>
      <c r="BK61" s="6" t="str">
        <f t="shared" si="3"/>
        <v>12BN_One_Acc</v>
      </c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</row>
    <row r="62" ht="15.75" customHeight="1">
      <c r="A62" s="1" t="s">
        <v>156</v>
      </c>
      <c r="B62" s="17">
        <v>427.0</v>
      </c>
      <c r="C62" s="9">
        <v>0.41157</v>
      </c>
      <c r="D62" s="9">
        <v>0.413223</v>
      </c>
      <c r="E62" s="9">
        <v>0.421488</v>
      </c>
      <c r="F62" s="9">
        <v>0.444628102</v>
      </c>
      <c r="G62" s="9">
        <v>0.446280986</v>
      </c>
      <c r="H62" s="9">
        <v>0.181818</v>
      </c>
      <c r="I62" s="9">
        <v>0.455372</v>
      </c>
      <c r="J62" s="9">
        <v>0.450413</v>
      </c>
      <c r="K62" s="9">
        <v>0.450413</v>
      </c>
      <c r="L62" s="9">
        <v>0.41404959</v>
      </c>
      <c r="M62" s="9">
        <v>0.400826</v>
      </c>
      <c r="N62" s="9">
        <v>0.409091</v>
      </c>
      <c r="O62" s="9">
        <v>0.384298</v>
      </c>
      <c r="P62" s="9">
        <v>0.38843</v>
      </c>
      <c r="Q62" s="9">
        <v>0.404959</v>
      </c>
      <c r="R62" s="9">
        <v>0.416528928</v>
      </c>
      <c r="S62" s="9">
        <v>0.413223</v>
      </c>
      <c r="T62" s="9">
        <v>0.404959</v>
      </c>
      <c r="U62" s="9">
        <v>0.435537</v>
      </c>
      <c r="V62" s="9">
        <v>0.446281</v>
      </c>
      <c r="W62" s="9">
        <v>0.46281</v>
      </c>
      <c r="X62" s="9">
        <v>0.430579</v>
      </c>
      <c r="Y62" s="9">
        <v>0.429752</v>
      </c>
      <c r="Z62" s="9">
        <v>0.454545</v>
      </c>
      <c r="AA62" s="9">
        <v>0.459504133</v>
      </c>
      <c r="AB62" s="9">
        <v>0.46281</v>
      </c>
      <c r="AC62" s="9">
        <v>0.495868</v>
      </c>
      <c r="AD62" s="9">
        <v>0.457024795</v>
      </c>
      <c r="AE62" s="9">
        <v>0.458678</v>
      </c>
      <c r="AF62" s="9">
        <v>0.487603</v>
      </c>
      <c r="AG62" s="9">
        <v>0.431405</v>
      </c>
      <c r="AH62" s="9">
        <v>0.417355</v>
      </c>
      <c r="AI62" s="9">
        <v>0.5</v>
      </c>
      <c r="AJ62" s="9">
        <v>0.433884</v>
      </c>
      <c r="AK62" s="9">
        <v>0.429752</v>
      </c>
      <c r="AL62" s="9">
        <v>0.454545</v>
      </c>
      <c r="AM62" s="9">
        <v>0.461983</v>
      </c>
      <c r="AN62" s="9">
        <v>0.454545</v>
      </c>
      <c r="AO62" s="9">
        <v>0.508264</v>
      </c>
      <c r="AP62" s="9">
        <v>0.466115707</v>
      </c>
      <c r="AQ62" s="9">
        <v>0.466942</v>
      </c>
      <c r="AR62" s="9">
        <v>0.5</v>
      </c>
      <c r="AS62" s="9">
        <v>0.506612</v>
      </c>
      <c r="AT62" s="9">
        <v>0.487603</v>
      </c>
      <c r="AU62" s="9">
        <v>0.479339</v>
      </c>
      <c r="AV62" s="9">
        <v>0.480992</v>
      </c>
      <c r="AW62" s="9">
        <v>0.495868</v>
      </c>
      <c r="AX62" s="9">
        <v>0.479339</v>
      </c>
      <c r="AY62" s="9">
        <v>0.458678</v>
      </c>
      <c r="AZ62" s="9">
        <v>0.458678</v>
      </c>
      <c r="BA62" s="9">
        <v>0.479339</v>
      </c>
      <c r="BB62" s="9">
        <v>0.449587</v>
      </c>
      <c r="BC62" s="9">
        <v>0.471074</v>
      </c>
      <c r="BD62" s="9">
        <v>0.495868</v>
      </c>
      <c r="BE62" s="9">
        <v>0.32562</v>
      </c>
      <c r="BF62" s="9">
        <v>0.322314</v>
      </c>
      <c r="BG62" s="9">
        <v>0.347107</v>
      </c>
      <c r="BH62" s="6"/>
      <c r="BI62" s="6" t="str">
        <f t="shared" si="1"/>
        <v>12B_One_Acc</v>
      </c>
      <c r="BJ62" s="6" t="str">
        <f t="shared" si="2"/>
        <v>12V_Fold_Mean</v>
      </c>
      <c r="BK62" s="6" t="str">
        <f t="shared" si="3"/>
        <v>10V_One_Acc</v>
      </c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</row>
    <row r="63" ht="15.75" customHeight="1">
      <c r="A63" s="1" t="s">
        <v>157</v>
      </c>
      <c r="B63" s="17">
        <v>80.0</v>
      </c>
      <c r="C63" s="9">
        <v>0.660606</v>
      </c>
      <c r="D63" s="9">
        <v>0.613054</v>
      </c>
      <c r="E63" s="9">
        <v>0.744755</v>
      </c>
      <c r="F63" s="9">
        <v>0.677855492</v>
      </c>
      <c r="G63" s="9">
        <v>0.692307711</v>
      </c>
      <c r="H63" s="9">
        <v>0.613054</v>
      </c>
      <c r="I63" s="9">
        <v>0.731702</v>
      </c>
      <c r="J63" s="9">
        <v>0.731935</v>
      </c>
      <c r="K63" s="9">
        <v>0.791375</v>
      </c>
      <c r="L63" s="9">
        <v>0.721445227</v>
      </c>
      <c r="M63" s="9">
        <v>0.748252</v>
      </c>
      <c r="N63" s="9">
        <v>0.749417</v>
      </c>
      <c r="O63" s="9">
        <v>0.697902</v>
      </c>
      <c r="P63" s="9">
        <v>0.715618</v>
      </c>
      <c r="Q63" s="9">
        <v>0.731935</v>
      </c>
      <c r="R63" s="9">
        <v>0.697202802</v>
      </c>
      <c r="S63" s="9">
        <v>0.713287</v>
      </c>
      <c r="T63" s="9">
        <v>0.713287</v>
      </c>
      <c r="U63" s="9">
        <v>0.773193</v>
      </c>
      <c r="V63" s="9">
        <v>0.772727</v>
      </c>
      <c r="W63" s="9">
        <v>0.763403</v>
      </c>
      <c r="X63" s="9">
        <v>0.758974</v>
      </c>
      <c r="Y63" s="9">
        <v>0.758741</v>
      </c>
      <c r="Z63" s="9">
        <v>0.758741</v>
      </c>
      <c r="AA63" s="9">
        <v>0.703962719</v>
      </c>
      <c r="AB63" s="9">
        <v>0.722611</v>
      </c>
      <c r="AC63" s="9">
        <v>0.740093</v>
      </c>
      <c r="AD63" s="9">
        <v>0.693473184</v>
      </c>
      <c r="AE63" s="9">
        <v>0.740093</v>
      </c>
      <c r="AF63" s="9">
        <v>0.761072</v>
      </c>
      <c r="AG63" s="9">
        <v>0.762471</v>
      </c>
      <c r="AH63" s="9">
        <v>0.762238</v>
      </c>
      <c r="AI63" s="9">
        <v>0.754079</v>
      </c>
      <c r="AJ63" s="9">
        <v>0.734732</v>
      </c>
      <c r="AK63" s="9">
        <v>0.764569</v>
      </c>
      <c r="AL63" s="9">
        <v>0.772727</v>
      </c>
      <c r="AM63" s="9">
        <v>0.72634</v>
      </c>
      <c r="AN63" s="9">
        <v>0.75641</v>
      </c>
      <c r="AO63" s="9">
        <v>0.750583</v>
      </c>
      <c r="AP63" s="9">
        <v>0.756643355</v>
      </c>
      <c r="AQ63" s="9">
        <v>0.757576</v>
      </c>
      <c r="AR63" s="9">
        <v>0.729604</v>
      </c>
      <c r="AS63" s="9">
        <v>0.782284</v>
      </c>
      <c r="AT63" s="9">
        <v>0.784382</v>
      </c>
      <c r="AU63" s="9">
        <v>0.789044</v>
      </c>
      <c r="AV63" s="9">
        <v>0.784615</v>
      </c>
      <c r="AW63" s="9">
        <v>0.780886</v>
      </c>
      <c r="AX63" s="9">
        <v>0.765734</v>
      </c>
      <c r="AY63" s="9">
        <v>0.741492</v>
      </c>
      <c r="AZ63" s="9">
        <v>0.745921</v>
      </c>
      <c r="BA63" s="9">
        <v>0.75641</v>
      </c>
      <c r="BB63" s="9">
        <v>0.662704</v>
      </c>
      <c r="BC63" s="9">
        <v>0.613054</v>
      </c>
      <c r="BD63" s="9">
        <v>0.763403</v>
      </c>
      <c r="BE63" s="9">
        <v>0.665501</v>
      </c>
      <c r="BF63" s="9">
        <v>0.664336</v>
      </c>
      <c r="BG63" s="9">
        <v>0.666667</v>
      </c>
      <c r="BH63" s="6"/>
      <c r="BI63" s="6" t="str">
        <f t="shared" si="1"/>
        <v>5V_One_Acc</v>
      </c>
      <c r="BJ63" s="6" t="str">
        <f t="shared" si="2"/>
        <v>12V_One_Acc</v>
      </c>
      <c r="BK63" s="6" t="str">
        <f t="shared" si="3"/>
        <v>12VB_Fold_Mean</v>
      </c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</row>
    <row r="64" ht="15.75" customHeight="1">
      <c r="A64" s="1" t="s">
        <v>158</v>
      </c>
      <c r="B64" s="17">
        <v>1024.0</v>
      </c>
      <c r="C64" s="9">
        <v>0.145042</v>
      </c>
      <c r="D64" s="9">
        <v>0.141878</v>
      </c>
      <c r="E64" s="9">
        <v>0.141878</v>
      </c>
      <c r="F64" s="9">
        <v>0.143565401</v>
      </c>
      <c r="G64" s="9">
        <v>0.145569623</v>
      </c>
      <c r="H64" s="9">
        <v>0.068565</v>
      </c>
      <c r="I64" s="9">
        <v>0.154958</v>
      </c>
      <c r="J64" s="9">
        <v>0.1577</v>
      </c>
      <c r="K64" s="9">
        <v>0.160338</v>
      </c>
      <c r="L64" s="9">
        <v>0.153797466</v>
      </c>
      <c r="M64" s="9">
        <v>0.156118</v>
      </c>
      <c r="N64" s="9">
        <v>0.1577</v>
      </c>
      <c r="O64" s="9">
        <v>0.152426</v>
      </c>
      <c r="P64" s="9">
        <v>0.151899</v>
      </c>
      <c r="Q64" s="9">
        <v>0.144515</v>
      </c>
      <c r="R64" s="9">
        <v>0.15179325</v>
      </c>
      <c r="S64" s="9">
        <v>0.149789</v>
      </c>
      <c r="T64" s="9">
        <v>0.159283</v>
      </c>
      <c r="U64" s="9">
        <v>0.143038</v>
      </c>
      <c r="V64" s="9">
        <v>0.152426</v>
      </c>
      <c r="W64" s="9">
        <v>0.165084</v>
      </c>
      <c r="X64" s="9">
        <v>0.151899</v>
      </c>
      <c r="Y64" s="9">
        <v>0.153481</v>
      </c>
      <c r="Z64" s="9">
        <v>0.145042</v>
      </c>
      <c r="AA64" s="9">
        <v>0.147257385</v>
      </c>
      <c r="AB64" s="9">
        <v>0.149789</v>
      </c>
      <c r="AC64" s="9">
        <v>0.144515</v>
      </c>
      <c r="AD64" s="9">
        <v>0.153375527</v>
      </c>
      <c r="AE64" s="9">
        <v>0.152426</v>
      </c>
      <c r="AF64" s="9">
        <v>0.142405</v>
      </c>
      <c r="AG64" s="9">
        <v>0.151582</v>
      </c>
      <c r="AH64" s="9">
        <v>0.149262</v>
      </c>
      <c r="AI64" s="9">
        <v>0.159283</v>
      </c>
      <c r="AJ64" s="9">
        <v>0.150527</v>
      </c>
      <c r="AK64" s="9">
        <v>0.150844</v>
      </c>
      <c r="AL64" s="9">
        <v>0.112869</v>
      </c>
      <c r="AM64" s="9">
        <v>0.165823</v>
      </c>
      <c r="AN64" s="9">
        <v>0.167194</v>
      </c>
      <c r="AO64" s="9">
        <v>0.151899</v>
      </c>
      <c r="AP64" s="9">
        <v>0.155801687</v>
      </c>
      <c r="AQ64" s="9">
        <v>0.156646</v>
      </c>
      <c r="AR64" s="9">
        <v>0.158755</v>
      </c>
      <c r="AS64" s="9">
        <v>0.144198</v>
      </c>
      <c r="AT64" s="9">
        <v>0.149262</v>
      </c>
      <c r="AU64" s="9">
        <v>0.150844</v>
      </c>
      <c r="AV64" s="9">
        <v>0.145464</v>
      </c>
      <c r="AW64" s="9">
        <v>0.149262</v>
      </c>
      <c r="AX64" s="9">
        <v>0.162447</v>
      </c>
      <c r="AY64" s="9">
        <v>0.148207</v>
      </c>
      <c r="AZ64" s="9">
        <v>0.150844</v>
      </c>
      <c r="BA64" s="9">
        <v>0.112869</v>
      </c>
      <c r="BB64" s="9">
        <v>0.127426</v>
      </c>
      <c r="BC64" s="9">
        <v>0.120781</v>
      </c>
      <c r="BD64" s="9">
        <v>0.112869</v>
      </c>
      <c r="BE64" s="9">
        <v>0.112869</v>
      </c>
      <c r="BF64" s="9">
        <v>0.112869</v>
      </c>
      <c r="BG64" s="9">
        <v>0.112869</v>
      </c>
      <c r="BH64" s="6"/>
      <c r="BI64" s="6" t="str">
        <f t="shared" si="1"/>
        <v>12B_Fold_Median</v>
      </c>
      <c r="BJ64" s="6" t="str">
        <f t="shared" si="2"/>
        <v>12B_Fold_Mean</v>
      </c>
      <c r="BK64" s="6" t="str">
        <f t="shared" si="3"/>
        <v>8V_One_Acc</v>
      </c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</row>
    <row r="65" ht="15.75" customHeight="1">
      <c r="A65" s="1" t="s">
        <v>159</v>
      </c>
      <c r="B65" s="17">
        <v>2000.0</v>
      </c>
      <c r="C65" s="9">
        <v>0.032692</v>
      </c>
      <c r="D65" s="9">
        <v>0.028846</v>
      </c>
      <c r="E65" s="9">
        <v>0.125</v>
      </c>
      <c r="F65" s="9">
        <v>0.039423078</v>
      </c>
      <c r="G65" s="9">
        <v>0.033653848</v>
      </c>
      <c r="H65" s="9">
        <v>0.019231</v>
      </c>
      <c r="I65" s="9">
        <v>0.047115</v>
      </c>
      <c r="J65" s="9">
        <v>0.052885</v>
      </c>
      <c r="K65" s="9">
        <v>0.115385</v>
      </c>
      <c r="L65" s="9">
        <v>0.025</v>
      </c>
      <c r="M65" s="9">
        <v>0.024038</v>
      </c>
      <c r="N65" s="9">
        <v>0.081731</v>
      </c>
      <c r="O65" s="9">
        <v>0.032692</v>
      </c>
      <c r="P65" s="9">
        <v>0.019231</v>
      </c>
      <c r="Q65" s="9">
        <v>0.100962</v>
      </c>
      <c r="R65" s="9">
        <v>0.032692308</v>
      </c>
      <c r="S65" s="9">
        <v>0.024038</v>
      </c>
      <c r="T65" s="9">
        <v>0.067308</v>
      </c>
      <c r="U65" s="9">
        <v>0.033654</v>
      </c>
      <c r="V65" s="9">
        <v>0.028846</v>
      </c>
      <c r="W65" s="9">
        <v>0.0625</v>
      </c>
      <c r="X65" s="9">
        <v>0.023077</v>
      </c>
      <c r="Y65" s="9">
        <v>0.019231</v>
      </c>
      <c r="Z65" s="9">
        <v>0.0625</v>
      </c>
      <c r="AA65" s="9">
        <v>0.035576924</v>
      </c>
      <c r="AB65" s="9">
        <v>0.033654</v>
      </c>
      <c r="AC65" s="9">
        <v>0.081731</v>
      </c>
      <c r="AD65" s="9">
        <v>0.032692308</v>
      </c>
      <c r="AE65" s="9">
        <v>0.028846</v>
      </c>
      <c r="AF65" s="9">
        <v>0.072115</v>
      </c>
      <c r="AG65" s="9">
        <v>0.035577</v>
      </c>
      <c r="AH65" s="9">
        <v>0.038462</v>
      </c>
      <c r="AI65" s="9">
        <v>0.096154</v>
      </c>
      <c r="AJ65" s="9">
        <v>0.019231</v>
      </c>
      <c r="AK65" s="9">
        <v>0.014423</v>
      </c>
      <c r="AL65" s="9">
        <v>0.057692</v>
      </c>
      <c r="AM65" s="9">
        <v>0.025</v>
      </c>
      <c r="AN65" s="9">
        <v>0.024038</v>
      </c>
      <c r="AO65" s="9">
        <v>0.072115</v>
      </c>
      <c r="AP65" s="9">
        <v>0.026923077</v>
      </c>
      <c r="AQ65" s="9">
        <v>0.024038</v>
      </c>
      <c r="AR65" s="9">
        <v>0.076923</v>
      </c>
      <c r="AS65" s="9">
        <v>0.028846</v>
      </c>
      <c r="AT65" s="9">
        <v>0.033654</v>
      </c>
      <c r="AU65" s="9">
        <v>0.043269</v>
      </c>
      <c r="AV65" s="9">
        <v>0.033654</v>
      </c>
      <c r="AW65" s="9">
        <v>0.033654</v>
      </c>
      <c r="AX65" s="9">
        <v>0.043269</v>
      </c>
      <c r="AY65" s="9">
        <v>0.024038</v>
      </c>
      <c r="AZ65" s="9">
        <v>0.019231</v>
      </c>
      <c r="BA65" s="9">
        <v>0.076923</v>
      </c>
      <c r="BB65" s="9">
        <v>0.036538</v>
      </c>
      <c r="BC65" s="9">
        <v>0.038462</v>
      </c>
      <c r="BD65" s="9">
        <v>0.057692</v>
      </c>
      <c r="BE65" s="9">
        <v>0.023077</v>
      </c>
      <c r="BF65" s="9">
        <v>0.019231</v>
      </c>
      <c r="BG65" s="9">
        <v>0.038462</v>
      </c>
      <c r="BH65" s="6"/>
      <c r="BI65" s="6" t="str">
        <f t="shared" si="1"/>
        <v>5B_One_Acc</v>
      </c>
      <c r="BJ65" s="6" t="str">
        <f t="shared" si="2"/>
        <v>5V_One_Acc</v>
      </c>
      <c r="BK65" s="6" t="str">
        <f t="shared" si="3"/>
        <v>8B_One_Acc</v>
      </c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</row>
    <row r="66" ht="15.75" customHeight="1">
      <c r="A66" s="1" t="s">
        <v>160</v>
      </c>
      <c r="B66" s="17">
        <v>2000.0</v>
      </c>
      <c r="C66" s="9">
        <v>0.031731</v>
      </c>
      <c r="D66" s="9">
        <v>0.019231</v>
      </c>
      <c r="E66" s="9">
        <v>0.072115</v>
      </c>
      <c r="F66" s="9">
        <v>0.027884616</v>
      </c>
      <c r="G66" s="9">
        <v>0.024038462</v>
      </c>
      <c r="H66" s="9">
        <v>0.019231</v>
      </c>
      <c r="I66" s="9">
        <v>0.035577</v>
      </c>
      <c r="J66" s="9">
        <v>0.033654</v>
      </c>
      <c r="K66" s="9">
        <v>0.149038</v>
      </c>
      <c r="L66" s="9">
        <v>0.039423077</v>
      </c>
      <c r="M66" s="9">
        <v>0.028846</v>
      </c>
      <c r="N66" s="9">
        <v>0.173077</v>
      </c>
      <c r="O66" s="9">
        <v>0.019231</v>
      </c>
      <c r="P66" s="9">
        <v>0.019231</v>
      </c>
      <c r="Q66" s="9">
        <v>0.043269</v>
      </c>
      <c r="R66" s="9">
        <v>0.022115385</v>
      </c>
      <c r="S66" s="9">
        <v>0.019231</v>
      </c>
      <c r="T66" s="9">
        <v>0.072115</v>
      </c>
      <c r="U66" s="9">
        <v>0.025</v>
      </c>
      <c r="V66" s="9">
        <v>0.019231</v>
      </c>
      <c r="W66" s="9">
        <v>0.125</v>
      </c>
      <c r="X66" s="9">
        <v>0.016346</v>
      </c>
      <c r="Y66" s="9">
        <v>0.019231</v>
      </c>
      <c r="Z66" s="9">
        <v>0.043269</v>
      </c>
      <c r="AA66" s="9">
        <v>0.030769232</v>
      </c>
      <c r="AB66" s="9">
        <v>0.028846</v>
      </c>
      <c r="AC66" s="9">
        <v>0.038462</v>
      </c>
      <c r="AD66" s="9">
        <v>0.023076924</v>
      </c>
      <c r="AE66" s="9">
        <v>0.019231</v>
      </c>
      <c r="AF66" s="9">
        <v>0.072115</v>
      </c>
      <c r="AG66" s="9">
        <v>0.027885</v>
      </c>
      <c r="AH66" s="9">
        <v>0.033654</v>
      </c>
      <c r="AI66" s="9">
        <v>0.096154</v>
      </c>
      <c r="AJ66" s="9">
        <v>0.018269</v>
      </c>
      <c r="AK66" s="9">
        <v>0.019231</v>
      </c>
      <c r="AL66" s="9">
        <v>0.019231</v>
      </c>
      <c r="AM66" s="9">
        <v>0.025</v>
      </c>
      <c r="AN66" s="9">
        <v>0.019231</v>
      </c>
      <c r="AO66" s="9">
        <v>0.052885</v>
      </c>
      <c r="AP66" s="9">
        <v>0.022115385</v>
      </c>
      <c r="AQ66" s="9">
        <v>0.024038</v>
      </c>
      <c r="AR66" s="9">
        <v>0.057692</v>
      </c>
      <c r="AS66" s="9">
        <v>0.017308</v>
      </c>
      <c r="AT66" s="9">
        <v>0.019231</v>
      </c>
      <c r="AU66" s="9">
        <v>0.043269</v>
      </c>
      <c r="AV66" s="9">
        <v>0.021154</v>
      </c>
      <c r="AW66" s="9">
        <v>0.019231</v>
      </c>
      <c r="AX66" s="9">
        <v>0.019231</v>
      </c>
      <c r="AY66" s="9">
        <v>0.021154</v>
      </c>
      <c r="AZ66" s="9">
        <v>0.019231</v>
      </c>
      <c r="BA66" s="9">
        <v>0.072115</v>
      </c>
      <c r="BB66" s="9">
        <v>0.021154</v>
      </c>
      <c r="BC66" s="9">
        <v>0.019231</v>
      </c>
      <c r="BD66" s="9">
        <v>0.024038</v>
      </c>
      <c r="BE66" s="9">
        <v>0.018269</v>
      </c>
      <c r="BF66" s="9">
        <v>0.019231</v>
      </c>
      <c r="BG66" s="9">
        <v>0.028846</v>
      </c>
      <c r="BH66" s="6"/>
      <c r="BI66" s="6" t="str">
        <f t="shared" si="1"/>
        <v>5VB_One_Acc</v>
      </c>
      <c r="BJ66" s="6" t="str">
        <f t="shared" si="2"/>
        <v>5V_One_Acc</v>
      </c>
      <c r="BK66" s="6" t="str">
        <f t="shared" si="3"/>
        <v>8V_One_Acc</v>
      </c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</row>
    <row r="67" ht="15.75" customHeight="1">
      <c r="A67" s="1" t="s">
        <v>161</v>
      </c>
      <c r="B67" s="17">
        <v>2000.0</v>
      </c>
      <c r="C67" s="9">
        <v>0.021154</v>
      </c>
      <c r="D67" s="9">
        <v>0.019231</v>
      </c>
      <c r="E67" s="9">
        <v>0.100962</v>
      </c>
      <c r="F67" s="9">
        <v>0.01923077</v>
      </c>
      <c r="G67" s="9">
        <v>0.01923077</v>
      </c>
      <c r="H67" s="9">
        <v>0.019231</v>
      </c>
      <c r="I67" s="9">
        <v>0.021154</v>
      </c>
      <c r="J67" s="9">
        <v>0.019231</v>
      </c>
      <c r="K67" s="9">
        <v>0.067308</v>
      </c>
      <c r="L67" s="9">
        <v>0.023076924</v>
      </c>
      <c r="M67" s="9">
        <v>0.019231</v>
      </c>
      <c r="N67" s="9">
        <v>0.0625</v>
      </c>
      <c r="O67" s="9">
        <v>0.026923</v>
      </c>
      <c r="P67" s="9">
        <v>0.024038</v>
      </c>
      <c r="Q67" s="9">
        <v>0.057692</v>
      </c>
      <c r="R67" s="9">
        <v>0.027884616</v>
      </c>
      <c r="S67" s="9">
        <v>0.028846</v>
      </c>
      <c r="T67" s="9">
        <v>0.028846</v>
      </c>
      <c r="U67" s="9">
        <v>0.027885</v>
      </c>
      <c r="V67" s="9">
        <v>0.028846</v>
      </c>
      <c r="W67" s="9">
        <v>0.067308</v>
      </c>
      <c r="X67" s="9">
        <v>0.023077</v>
      </c>
      <c r="Y67" s="9">
        <v>0.024038</v>
      </c>
      <c r="Z67" s="9">
        <v>0.043269</v>
      </c>
      <c r="AA67" s="9">
        <v>0.018269231</v>
      </c>
      <c r="AB67" s="9">
        <v>0.019231</v>
      </c>
      <c r="AC67" s="9">
        <v>0.038462</v>
      </c>
      <c r="AD67" s="9">
        <v>0.025961539</v>
      </c>
      <c r="AE67" s="9">
        <v>0.024038</v>
      </c>
      <c r="AF67" s="9">
        <v>0.052885</v>
      </c>
      <c r="AG67" s="9">
        <v>0.016346</v>
      </c>
      <c r="AH67" s="9">
        <v>0.019231</v>
      </c>
      <c r="AI67" s="9">
        <v>0.057692</v>
      </c>
      <c r="AJ67" s="9">
        <v>0.027885</v>
      </c>
      <c r="AK67" s="9">
        <v>0.028846</v>
      </c>
      <c r="AL67" s="9">
        <v>0.028846</v>
      </c>
      <c r="AM67" s="9">
        <v>0.023077</v>
      </c>
      <c r="AN67" s="9">
        <v>0.024038</v>
      </c>
      <c r="AO67" s="9">
        <v>0.038462</v>
      </c>
      <c r="AP67" s="9">
        <v>0.025000001</v>
      </c>
      <c r="AQ67" s="9">
        <v>0.019231</v>
      </c>
      <c r="AR67" s="9">
        <v>0.057692</v>
      </c>
      <c r="AS67" s="9">
        <v>0.024038</v>
      </c>
      <c r="AT67" s="9">
        <v>0.024038</v>
      </c>
      <c r="AU67" s="9">
        <v>0.043269</v>
      </c>
      <c r="AV67" s="9">
        <v>0.015385</v>
      </c>
      <c r="AW67" s="9">
        <v>0.019231</v>
      </c>
      <c r="AX67" s="9">
        <v>0.028846</v>
      </c>
      <c r="AY67" s="9">
        <v>0.024038</v>
      </c>
      <c r="AZ67" s="9">
        <v>0.019231</v>
      </c>
      <c r="BA67" s="9">
        <v>0.076923</v>
      </c>
      <c r="BB67" s="9">
        <v>0.019231</v>
      </c>
      <c r="BC67" s="9">
        <v>0.019231</v>
      </c>
      <c r="BD67" s="9">
        <v>0.019231</v>
      </c>
      <c r="BE67" s="9">
        <v>0.018269</v>
      </c>
      <c r="BF67" s="9">
        <v>0.019231</v>
      </c>
      <c r="BG67" s="9">
        <v>0.033654</v>
      </c>
      <c r="BH67" s="6"/>
      <c r="BI67" s="6" t="str">
        <f t="shared" si="1"/>
        <v>5B_One_Acc</v>
      </c>
      <c r="BJ67" s="6" t="str">
        <f t="shared" si="2"/>
        <v>20B_One_Acc</v>
      </c>
      <c r="BK67" s="6" t="str">
        <f t="shared" si="3"/>
        <v>5V_One_Acc</v>
      </c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</row>
    <row r="68" ht="15.75" customHeight="1">
      <c r="A68" s="1" t="s">
        <v>162</v>
      </c>
      <c r="B68" s="17">
        <v>144.0</v>
      </c>
      <c r="C68" s="9">
        <v>0.942857</v>
      </c>
      <c r="D68" s="9">
        <v>0.942857</v>
      </c>
      <c r="E68" s="9">
        <v>0.971429</v>
      </c>
      <c r="F68" s="9">
        <v>0.939047623</v>
      </c>
      <c r="G68" s="9">
        <v>0.942857146</v>
      </c>
      <c r="H68" s="9">
        <v>0.095238</v>
      </c>
      <c r="I68" s="9">
        <v>0.990476</v>
      </c>
      <c r="J68" s="9">
        <v>0.990476</v>
      </c>
      <c r="K68" s="9">
        <v>0.990476</v>
      </c>
      <c r="L68" s="9">
        <v>0.940952384</v>
      </c>
      <c r="M68" s="9">
        <v>0.990476</v>
      </c>
      <c r="N68" s="9">
        <v>0.990476</v>
      </c>
      <c r="O68" s="9">
        <v>0.994286</v>
      </c>
      <c r="P68" s="9">
        <v>0.990476</v>
      </c>
      <c r="Q68" s="9">
        <v>1.0</v>
      </c>
      <c r="R68" s="9">
        <v>0.994285715</v>
      </c>
      <c r="S68" s="9">
        <v>1.0</v>
      </c>
      <c r="T68" s="9">
        <v>1.0</v>
      </c>
      <c r="U68" s="9">
        <v>0.971429</v>
      </c>
      <c r="V68" s="9">
        <v>0.971429</v>
      </c>
      <c r="W68" s="9">
        <v>0.990476</v>
      </c>
      <c r="X68" s="9">
        <v>0.986667</v>
      </c>
      <c r="Y68" s="9">
        <v>0.980952</v>
      </c>
      <c r="Z68" s="9">
        <v>0.971429</v>
      </c>
      <c r="AA68" s="9">
        <v>0.960000002</v>
      </c>
      <c r="AB68" s="9">
        <v>0.990476</v>
      </c>
      <c r="AC68" s="9">
        <v>1.0</v>
      </c>
      <c r="AD68" s="9">
        <v>0.990476191</v>
      </c>
      <c r="AE68" s="9">
        <v>0.990476</v>
      </c>
      <c r="AF68" s="9">
        <v>0.990476</v>
      </c>
      <c r="AG68" s="9">
        <v>0.986667</v>
      </c>
      <c r="AH68" s="9">
        <v>0.990476</v>
      </c>
      <c r="AI68" s="9">
        <v>0.990476</v>
      </c>
      <c r="AJ68" s="9">
        <v>0.948571</v>
      </c>
      <c r="AK68" s="9">
        <v>0.961905</v>
      </c>
      <c r="AL68" s="9">
        <v>0.961905</v>
      </c>
      <c r="AM68" s="9">
        <v>0.954286</v>
      </c>
      <c r="AN68" s="9">
        <v>1.0</v>
      </c>
      <c r="AO68" s="9">
        <v>0.933333</v>
      </c>
      <c r="AP68" s="9">
        <v>0.994285715</v>
      </c>
      <c r="AQ68" s="9">
        <v>1.0</v>
      </c>
      <c r="AR68" s="9">
        <v>1.0</v>
      </c>
      <c r="AS68" s="9">
        <v>0.937143</v>
      </c>
      <c r="AT68" s="9">
        <v>0.980952</v>
      </c>
      <c r="AU68" s="9">
        <v>0.990476</v>
      </c>
      <c r="AV68" s="9">
        <v>0.980952</v>
      </c>
      <c r="AW68" s="9">
        <v>0.980952</v>
      </c>
      <c r="AX68" s="9">
        <v>0.980952</v>
      </c>
      <c r="AY68" s="9">
        <v>0.99619</v>
      </c>
      <c r="AZ68" s="9">
        <v>1.0</v>
      </c>
      <c r="BA68" s="9">
        <v>1.0</v>
      </c>
      <c r="BB68" s="9">
        <v>0.954286</v>
      </c>
      <c r="BC68" s="9">
        <v>0.980952</v>
      </c>
      <c r="BD68" s="9">
        <v>0.990476</v>
      </c>
      <c r="BE68" s="9">
        <v>0.965714</v>
      </c>
      <c r="BF68" s="9">
        <v>0.971429</v>
      </c>
      <c r="BG68" s="9">
        <v>0.971429</v>
      </c>
      <c r="BH68" s="6"/>
      <c r="BI68" s="6" t="str">
        <f t="shared" si="1"/>
        <v>8B_One_Acc</v>
      </c>
      <c r="BJ68" s="6" t="str">
        <f t="shared" si="2"/>
        <v>8B_One_Acc</v>
      </c>
      <c r="BK68" s="6" t="str">
        <f t="shared" si="3"/>
        <v>8B_One_Acc</v>
      </c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</row>
    <row r="69" ht="15.75" customHeight="1">
      <c r="A69" s="1" t="s">
        <v>163</v>
      </c>
      <c r="B69" s="17">
        <v>80.0</v>
      </c>
      <c r="C69" s="9">
        <v>0.846829</v>
      </c>
      <c r="D69" s="9">
        <v>0.848781</v>
      </c>
      <c r="E69" s="9">
        <v>0.834146</v>
      </c>
      <c r="F69" s="9">
        <v>0.836097562</v>
      </c>
      <c r="G69" s="9">
        <v>0.829268277</v>
      </c>
      <c r="H69" s="9">
        <v>0.487805</v>
      </c>
      <c r="I69" s="9">
        <v>0.849756</v>
      </c>
      <c r="J69" s="9">
        <v>0.848781</v>
      </c>
      <c r="K69" s="9">
        <v>0.868293</v>
      </c>
      <c r="L69" s="9">
        <v>0.850731719</v>
      </c>
      <c r="M69" s="9">
        <v>0.848781</v>
      </c>
      <c r="N69" s="9">
        <v>0.839024</v>
      </c>
      <c r="O69" s="9">
        <v>0.834146</v>
      </c>
      <c r="P69" s="9">
        <v>0.843902</v>
      </c>
      <c r="Q69" s="9">
        <v>0.809756</v>
      </c>
      <c r="R69" s="9">
        <v>0.846829271</v>
      </c>
      <c r="S69" s="9">
        <v>0.848781</v>
      </c>
      <c r="T69" s="9">
        <v>0.809756</v>
      </c>
      <c r="U69" s="9">
        <v>0.829268</v>
      </c>
      <c r="V69" s="9">
        <v>0.829268</v>
      </c>
      <c r="W69" s="9">
        <v>0.848781</v>
      </c>
      <c r="X69" s="9">
        <v>0.846829</v>
      </c>
      <c r="Y69" s="9">
        <v>0.848781</v>
      </c>
      <c r="Z69" s="9">
        <v>0.848781</v>
      </c>
      <c r="AA69" s="9">
        <v>0.845853651</v>
      </c>
      <c r="AB69" s="9">
        <v>0.834146</v>
      </c>
      <c r="AC69" s="9">
        <v>0.829268</v>
      </c>
      <c r="AD69" s="9">
        <v>0.84000001</v>
      </c>
      <c r="AE69" s="9">
        <v>0.843902</v>
      </c>
      <c r="AF69" s="9">
        <v>0.82439</v>
      </c>
      <c r="AG69" s="9">
        <v>0.839024</v>
      </c>
      <c r="AH69" s="9">
        <v>0.839024</v>
      </c>
      <c r="AI69" s="9">
        <v>0.843902</v>
      </c>
      <c r="AJ69" s="9">
        <v>0.845854</v>
      </c>
      <c r="AK69" s="9">
        <v>0.848781</v>
      </c>
      <c r="AL69" s="9">
        <v>0.843902</v>
      </c>
      <c r="AM69" s="9">
        <v>0.835122</v>
      </c>
      <c r="AN69" s="9">
        <v>0.829268</v>
      </c>
      <c r="AO69" s="9">
        <v>0.848781</v>
      </c>
      <c r="AP69" s="9">
        <v>0.846829283</v>
      </c>
      <c r="AQ69" s="9">
        <v>0.848781</v>
      </c>
      <c r="AR69" s="9">
        <v>0.82439</v>
      </c>
      <c r="AS69" s="9">
        <v>0.84878</v>
      </c>
      <c r="AT69" s="9">
        <v>0.863415</v>
      </c>
      <c r="AU69" s="9">
        <v>0.834146</v>
      </c>
      <c r="AV69" s="9">
        <v>0.837073</v>
      </c>
      <c r="AW69" s="9">
        <v>0.848781</v>
      </c>
      <c r="AX69" s="9">
        <v>0.848781</v>
      </c>
      <c r="AY69" s="9">
        <v>0.843902</v>
      </c>
      <c r="AZ69" s="9">
        <v>0.843902</v>
      </c>
      <c r="BA69" s="9">
        <v>0.839024</v>
      </c>
      <c r="BB69" s="9">
        <v>0.850732</v>
      </c>
      <c r="BC69" s="9">
        <v>0.848781</v>
      </c>
      <c r="BD69" s="9">
        <v>0.843902</v>
      </c>
      <c r="BE69" s="9">
        <v>0.845854</v>
      </c>
      <c r="BF69" s="9">
        <v>0.843902</v>
      </c>
      <c r="BG69" s="9">
        <v>0.839024</v>
      </c>
      <c r="BH69" s="6"/>
      <c r="BI69" s="6" t="str">
        <f t="shared" si="1"/>
        <v>5V_One_Acc</v>
      </c>
      <c r="BJ69" s="6" t="str">
        <f t="shared" si="2"/>
        <v>12V_Fold_Median</v>
      </c>
      <c r="BK69" s="6" t="str">
        <f t="shared" si="3"/>
        <v>20V_Fold_Mean</v>
      </c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</row>
    <row r="70" ht="15.75" customHeight="1">
      <c r="A70" s="1" t="s">
        <v>164</v>
      </c>
      <c r="B70" s="17">
        <v>80.0</v>
      </c>
      <c r="C70" s="9">
        <v>0.799313</v>
      </c>
      <c r="D70" s="9">
        <v>0.800687</v>
      </c>
      <c r="E70" s="9">
        <v>0.797251</v>
      </c>
      <c r="F70" s="9">
        <v>0.77594502</v>
      </c>
      <c r="G70" s="9">
        <v>0.786941588</v>
      </c>
      <c r="H70" s="9">
        <v>0.683849</v>
      </c>
      <c r="I70" s="9">
        <v>0.815808</v>
      </c>
      <c r="J70" s="9">
        <v>0.814433</v>
      </c>
      <c r="K70" s="9">
        <v>0.862543</v>
      </c>
      <c r="L70" s="9">
        <v>0.82474227</v>
      </c>
      <c r="M70" s="9">
        <v>0.831615</v>
      </c>
      <c r="N70" s="9">
        <v>0.848797</v>
      </c>
      <c r="O70" s="9">
        <v>0.778007</v>
      </c>
      <c r="P70" s="9">
        <v>0.800687</v>
      </c>
      <c r="Q70" s="9">
        <v>0.821306</v>
      </c>
      <c r="R70" s="9">
        <v>0.782130587</v>
      </c>
      <c r="S70" s="9">
        <v>0.800687</v>
      </c>
      <c r="T70" s="9">
        <v>0.814433</v>
      </c>
      <c r="U70" s="9">
        <v>0.828179</v>
      </c>
      <c r="V70" s="9">
        <v>0.828179</v>
      </c>
      <c r="W70" s="9">
        <v>0.828179</v>
      </c>
      <c r="X70" s="9">
        <v>0.821306</v>
      </c>
      <c r="Y70" s="9">
        <v>0.821306</v>
      </c>
      <c r="Z70" s="9">
        <v>0.821306</v>
      </c>
      <c r="AA70" s="9">
        <v>0.811683857</v>
      </c>
      <c r="AB70" s="9">
        <v>0.817869</v>
      </c>
      <c r="AC70" s="9">
        <v>0.793814</v>
      </c>
      <c r="AD70" s="9">
        <v>0.812371147</v>
      </c>
      <c r="AE70" s="9">
        <v>0.810997</v>
      </c>
      <c r="AF70" s="9">
        <v>0.793814</v>
      </c>
      <c r="AG70" s="9">
        <v>0.80756</v>
      </c>
      <c r="AH70" s="9">
        <v>0.835052</v>
      </c>
      <c r="AI70" s="9">
        <v>0.821306</v>
      </c>
      <c r="AJ70" s="9">
        <v>0.827491</v>
      </c>
      <c r="AK70" s="9">
        <v>0.838488</v>
      </c>
      <c r="AL70" s="9">
        <v>0.845361</v>
      </c>
      <c r="AM70" s="9">
        <v>0.812371</v>
      </c>
      <c r="AN70" s="9">
        <v>0.817869</v>
      </c>
      <c r="AO70" s="9">
        <v>0.845361</v>
      </c>
      <c r="AP70" s="9">
        <v>0.778006876</v>
      </c>
      <c r="AQ70" s="9">
        <v>0.797251</v>
      </c>
      <c r="AR70" s="9">
        <v>0.848797</v>
      </c>
      <c r="AS70" s="9">
        <v>0.852921</v>
      </c>
      <c r="AT70" s="9">
        <v>0.852234</v>
      </c>
      <c r="AU70" s="9">
        <v>0.848797</v>
      </c>
      <c r="AV70" s="9">
        <v>0.819931</v>
      </c>
      <c r="AW70" s="9">
        <v>0.852234</v>
      </c>
      <c r="AX70" s="9">
        <v>0.862543</v>
      </c>
      <c r="AY70" s="9">
        <v>0.776632</v>
      </c>
      <c r="AZ70" s="9">
        <v>0.797251</v>
      </c>
      <c r="BA70" s="9">
        <v>0.841924</v>
      </c>
      <c r="BB70" s="9">
        <v>0.819931</v>
      </c>
      <c r="BC70" s="9">
        <v>0.821306</v>
      </c>
      <c r="BD70" s="9">
        <v>0.80756</v>
      </c>
      <c r="BE70" s="9">
        <v>0.72646</v>
      </c>
      <c r="BF70" s="9">
        <v>0.683849</v>
      </c>
      <c r="BG70" s="9">
        <v>0.793814</v>
      </c>
      <c r="BH70" s="6"/>
      <c r="BI70" s="6" t="str">
        <f t="shared" si="1"/>
        <v>5V_One_Acc</v>
      </c>
      <c r="BJ70" s="6" t="str">
        <f t="shared" si="2"/>
        <v>5V_One_Acc</v>
      </c>
      <c r="BK70" s="6" t="str">
        <f t="shared" si="3"/>
        <v>12V_Fold_Mean</v>
      </c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</row>
    <row r="71" ht="15.75" customHeight="1">
      <c r="A71" s="1" t="s">
        <v>165</v>
      </c>
      <c r="B71" s="17">
        <v>80.0</v>
      </c>
      <c r="C71" s="9">
        <v>0.766829</v>
      </c>
      <c r="D71" s="9">
        <v>0.765854</v>
      </c>
      <c r="E71" s="9">
        <v>0.760976</v>
      </c>
      <c r="F71" s="9">
        <v>0.716097558</v>
      </c>
      <c r="G71" s="9">
        <v>0.67804879</v>
      </c>
      <c r="H71" s="9">
        <v>0.35122</v>
      </c>
      <c r="I71" s="9">
        <v>0.746341</v>
      </c>
      <c r="J71" s="9">
        <v>0.77561</v>
      </c>
      <c r="K71" s="9">
        <v>0.795122</v>
      </c>
      <c r="L71" s="9">
        <v>0.779512203</v>
      </c>
      <c r="M71" s="9">
        <v>0.795122</v>
      </c>
      <c r="N71" s="9">
        <v>0.8</v>
      </c>
      <c r="O71" s="9">
        <v>0.760976</v>
      </c>
      <c r="P71" s="9">
        <v>0.756098</v>
      </c>
      <c r="Q71" s="9">
        <v>0.765854</v>
      </c>
      <c r="R71" s="9">
        <v>0.776585352</v>
      </c>
      <c r="S71" s="9">
        <v>0.77561</v>
      </c>
      <c r="T71" s="9">
        <v>0.770732</v>
      </c>
      <c r="U71" s="9">
        <v>0.806829</v>
      </c>
      <c r="V71" s="9">
        <v>0.804878</v>
      </c>
      <c r="W71" s="9">
        <v>0.804878</v>
      </c>
      <c r="X71" s="9">
        <v>0.724878</v>
      </c>
      <c r="Y71" s="9">
        <v>0.678049</v>
      </c>
      <c r="Z71" s="9">
        <v>0.809756</v>
      </c>
      <c r="AA71" s="9">
        <v>0.743414629</v>
      </c>
      <c r="AB71" s="9">
        <v>0.770732</v>
      </c>
      <c r="AC71" s="9">
        <v>0.760976</v>
      </c>
      <c r="AD71" s="9">
        <v>0.698536587</v>
      </c>
      <c r="AE71" s="9">
        <v>0.678049</v>
      </c>
      <c r="AF71" s="9">
        <v>0.765854</v>
      </c>
      <c r="AG71" s="9">
        <v>0.741463</v>
      </c>
      <c r="AH71" s="9">
        <v>0.765854</v>
      </c>
      <c r="AI71" s="9">
        <v>0.765854</v>
      </c>
      <c r="AJ71" s="9">
        <v>0.764878</v>
      </c>
      <c r="AK71" s="9">
        <v>0.780488</v>
      </c>
      <c r="AL71" s="9">
        <v>0.780488</v>
      </c>
      <c r="AM71" s="9">
        <v>0.742439</v>
      </c>
      <c r="AN71" s="9">
        <v>0.765854</v>
      </c>
      <c r="AO71" s="9">
        <v>0.77561</v>
      </c>
      <c r="AP71" s="9">
        <v>0.758048785</v>
      </c>
      <c r="AQ71" s="9">
        <v>0.780488</v>
      </c>
      <c r="AR71" s="9">
        <v>0.770732</v>
      </c>
      <c r="AS71" s="9">
        <v>0.770732</v>
      </c>
      <c r="AT71" s="9">
        <v>0.760976</v>
      </c>
      <c r="AU71" s="9">
        <v>0.785366</v>
      </c>
      <c r="AV71" s="9">
        <v>0.789268</v>
      </c>
      <c r="AW71" s="9">
        <v>0.785366</v>
      </c>
      <c r="AX71" s="9">
        <v>0.678049</v>
      </c>
      <c r="AY71" s="9">
        <v>0.747317</v>
      </c>
      <c r="AZ71" s="9">
        <v>0.756098</v>
      </c>
      <c r="BA71" s="9">
        <v>0.77561</v>
      </c>
      <c r="BB71" s="9">
        <v>0.760976</v>
      </c>
      <c r="BC71" s="9">
        <v>0.790244</v>
      </c>
      <c r="BD71" s="9">
        <v>0.795122</v>
      </c>
      <c r="BE71" s="9">
        <v>0.799024</v>
      </c>
      <c r="BF71" s="9">
        <v>0.795122</v>
      </c>
      <c r="BG71" s="9">
        <v>0.804878</v>
      </c>
      <c r="BH71" s="6"/>
      <c r="BI71" s="6" t="str">
        <f t="shared" si="1"/>
        <v>8VB_One_Acc</v>
      </c>
      <c r="BJ71" s="6" t="str">
        <f t="shared" si="2"/>
        <v>8V_Fold_Mean</v>
      </c>
      <c r="BK71" s="6" t="str">
        <f t="shared" si="3"/>
        <v>8V_Fold_Median</v>
      </c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</row>
    <row r="72" ht="15.75" customHeight="1">
      <c r="A72" s="1" t="s">
        <v>166</v>
      </c>
      <c r="B72" s="17">
        <v>2844.0</v>
      </c>
      <c r="C72" s="9">
        <v>0.512</v>
      </c>
      <c r="D72" s="9">
        <v>0.48</v>
      </c>
      <c r="E72" s="9">
        <v>0.6</v>
      </c>
      <c r="F72" s="9">
        <v>0.444</v>
      </c>
      <c r="G72" s="9">
        <v>0.519999981</v>
      </c>
      <c r="H72" s="9">
        <v>0.12</v>
      </c>
      <c r="I72" s="9">
        <v>0.364</v>
      </c>
      <c r="J72" s="9">
        <v>0.5</v>
      </c>
      <c r="K72" s="9">
        <v>0.6</v>
      </c>
      <c r="L72" s="9">
        <v>0.555999994</v>
      </c>
      <c r="M72" s="9">
        <v>0.58</v>
      </c>
      <c r="N72" s="9">
        <v>0.54</v>
      </c>
      <c r="O72" s="9">
        <v>0.388</v>
      </c>
      <c r="P72" s="9">
        <v>0.48</v>
      </c>
      <c r="Q72" s="9">
        <v>0.64</v>
      </c>
      <c r="R72" s="9">
        <v>0.516000009</v>
      </c>
      <c r="S72" s="9">
        <v>0.54</v>
      </c>
      <c r="T72" s="9">
        <v>0.525333</v>
      </c>
      <c r="U72" s="9">
        <v>0.528</v>
      </c>
      <c r="V72" s="9">
        <v>0.54</v>
      </c>
      <c r="W72" s="9">
        <v>0.56</v>
      </c>
      <c r="X72" s="9">
        <v>0.46</v>
      </c>
      <c r="Y72" s="9">
        <v>0.58</v>
      </c>
      <c r="Z72" s="9">
        <v>0.58</v>
      </c>
      <c r="AA72" s="9">
        <v>0.572000009</v>
      </c>
      <c r="AB72" s="9">
        <v>0.62</v>
      </c>
      <c r="AC72" s="9">
        <v>0.68</v>
      </c>
      <c r="AD72" s="9">
        <v>0.548000002</v>
      </c>
      <c r="AE72" s="9">
        <v>0.54</v>
      </c>
      <c r="AF72" s="9">
        <v>0.6</v>
      </c>
      <c r="AG72" s="9">
        <v>0.596</v>
      </c>
      <c r="AH72" s="9">
        <v>0.6</v>
      </c>
      <c r="AI72" s="9">
        <v>0.66</v>
      </c>
      <c r="AJ72" s="9">
        <v>0.684</v>
      </c>
      <c r="AK72" s="9">
        <v>0.7</v>
      </c>
      <c r="AL72" s="9">
        <v>0.68</v>
      </c>
      <c r="AM72" s="9">
        <v>0.496</v>
      </c>
      <c r="AN72" s="9">
        <v>0.54</v>
      </c>
      <c r="AO72" s="9">
        <v>0.64</v>
      </c>
      <c r="AP72" s="9">
        <v>0.504000008</v>
      </c>
      <c r="AQ72" s="9">
        <v>0.54</v>
      </c>
      <c r="AR72" s="9">
        <v>0.62</v>
      </c>
      <c r="AS72" s="9">
        <v>0.584</v>
      </c>
      <c r="AT72" s="9">
        <v>0.6</v>
      </c>
      <c r="AU72" s="9">
        <v>0.66</v>
      </c>
      <c r="AV72" s="9">
        <v>0.42</v>
      </c>
      <c r="AW72" s="9">
        <v>0.52</v>
      </c>
      <c r="AX72" s="9">
        <v>0.66</v>
      </c>
      <c r="AY72" s="9">
        <v>0.556</v>
      </c>
      <c r="AZ72" s="9">
        <v>0.6</v>
      </c>
      <c r="BA72" s="9">
        <v>0.62</v>
      </c>
      <c r="BB72" s="9">
        <v>0.564</v>
      </c>
      <c r="BC72" s="9">
        <v>0.64</v>
      </c>
      <c r="BD72" s="9">
        <v>0.72</v>
      </c>
      <c r="BE72" s="9">
        <v>0.18</v>
      </c>
      <c r="BF72" s="9">
        <v>0.18</v>
      </c>
      <c r="BG72" s="9">
        <v>0.2</v>
      </c>
      <c r="BH72" s="6"/>
      <c r="BI72" s="6" t="str">
        <f t="shared" si="1"/>
        <v>20V_One_Acc</v>
      </c>
      <c r="BJ72" s="6" t="str">
        <f t="shared" si="2"/>
        <v>10VB_Fold_Median</v>
      </c>
      <c r="BK72" s="6" t="str">
        <f t="shared" si="3"/>
        <v>10VB_Fold_Mean</v>
      </c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</row>
    <row r="73" ht="15.75" customHeight="1">
      <c r="A73" s="1" t="s">
        <v>167</v>
      </c>
      <c r="B73" s="17">
        <v>720.0</v>
      </c>
      <c r="C73" s="9">
        <v>0.556267</v>
      </c>
      <c r="D73" s="9">
        <v>0.554667</v>
      </c>
      <c r="E73" s="9">
        <v>0.576</v>
      </c>
      <c r="F73" s="9">
        <v>0.522133327</v>
      </c>
      <c r="G73" s="9">
        <v>0.527999997</v>
      </c>
      <c r="H73" s="9">
        <v>0.333333</v>
      </c>
      <c r="I73" s="9">
        <v>0.4528</v>
      </c>
      <c r="J73" s="9">
        <v>0.450667</v>
      </c>
      <c r="K73" s="9">
        <v>0.469333</v>
      </c>
      <c r="L73" s="9">
        <v>0.433066666</v>
      </c>
      <c r="M73" s="9">
        <v>0.434667</v>
      </c>
      <c r="N73" s="9">
        <v>0.448</v>
      </c>
      <c r="O73" s="9">
        <v>0.570133</v>
      </c>
      <c r="P73" s="9">
        <v>0.570667</v>
      </c>
      <c r="Q73" s="9">
        <v>0.552</v>
      </c>
      <c r="R73" s="1" t="s">
        <v>85</v>
      </c>
      <c r="S73" s="1" t="s">
        <v>85</v>
      </c>
      <c r="T73" s="9">
        <v>0.7</v>
      </c>
      <c r="U73" s="9">
        <v>0.400533</v>
      </c>
      <c r="V73" s="9">
        <v>0.416</v>
      </c>
      <c r="W73" s="9">
        <v>0.418667</v>
      </c>
      <c r="X73" s="9">
        <v>0.436267</v>
      </c>
      <c r="Y73" s="9">
        <v>0.426667</v>
      </c>
      <c r="Z73" s="9">
        <v>0.448</v>
      </c>
      <c r="AA73" s="9">
        <v>0.577600002</v>
      </c>
      <c r="AB73" s="9">
        <v>0.573333</v>
      </c>
      <c r="AC73" s="9">
        <v>0.554667</v>
      </c>
      <c r="AD73" s="9">
        <v>0.589333332</v>
      </c>
      <c r="AE73" s="9">
        <v>0.589333</v>
      </c>
      <c r="AF73" s="9">
        <v>0.592</v>
      </c>
      <c r="AG73" s="9">
        <v>0.429333</v>
      </c>
      <c r="AH73" s="9">
        <v>0.421333</v>
      </c>
      <c r="AI73" s="9">
        <v>0.48</v>
      </c>
      <c r="AJ73" s="9">
        <v>0.463467</v>
      </c>
      <c r="AK73" s="9">
        <v>0.461333</v>
      </c>
      <c r="AL73" s="9">
        <v>0.453333</v>
      </c>
      <c r="AM73" s="9">
        <v>0.5616</v>
      </c>
      <c r="AN73" s="9">
        <v>0.56</v>
      </c>
      <c r="AO73" s="9">
        <v>0.533333</v>
      </c>
      <c r="AP73" s="9">
        <v>0.545066679</v>
      </c>
      <c r="AQ73" s="9">
        <v>0.538667</v>
      </c>
      <c r="AR73" s="9">
        <v>0.621333</v>
      </c>
      <c r="AS73" s="9">
        <v>0.444267</v>
      </c>
      <c r="AT73" s="9">
        <v>0.445333</v>
      </c>
      <c r="AU73" s="9">
        <v>0.456</v>
      </c>
      <c r="AV73" s="9">
        <v>0.476267</v>
      </c>
      <c r="AW73" s="9">
        <v>0.48</v>
      </c>
      <c r="AX73" s="9">
        <v>0.461333</v>
      </c>
      <c r="AY73" s="9">
        <v>0.520533</v>
      </c>
      <c r="AZ73" s="9">
        <v>0.525333</v>
      </c>
      <c r="BA73" s="9">
        <v>0.538667</v>
      </c>
      <c r="BB73" s="9">
        <v>0.464</v>
      </c>
      <c r="BC73" s="9">
        <v>0.469333</v>
      </c>
      <c r="BD73" s="9">
        <v>0.466667</v>
      </c>
      <c r="BE73" s="9">
        <v>0.389867</v>
      </c>
      <c r="BF73" s="9">
        <v>0.413333</v>
      </c>
      <c r="BG73" s="9">
        <v>0.434667</v>
      </c>
      <c r="BH73" s="6"/>
      <c r="BI73" s="6" t="str">
        <f t="shared" si="1"/>
        <v>8BN_One_Acc</v>
      </c>
      <c r="BJ73" s="6" t="str">
        <f t="shared" si="2"/>
        <v>12BN_One_Acc</v>
      </c>
      <c r="BK73" s="6" t="str">
        <f t="shared" si="3"/>
        <v>10BN_One_Acc</v>
      </c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</row>
    <row r="74" ht="15.75" customHeight="1">
      <c r="A74" s="1" t="s">
        <v>168</v>
      </c>
      <c r="B74" s="17">
        <v>1500.0</v>
      </c>
      <c r="C74" s="9">
        <v>0.811333</v>
      </c>
      <c r="D74" s="9">
        <v>0.8</v>
      </c>
      <c r="E74" s="9">
        <v>0.84</v>
      </c>
      <c r="F74" s="9">
        <v>0.715333331</v>
      </c>
      <c r="G74" s="9">
        <v>0.711666644</v>
      </c>
      <c r="H74" s="9">
        <v>0.35</v>
      </c>
      <c r="I74" s="9">
        <v>0.875</v>
      </c>
      <c r="J74" s="9">
        <v>0.873333</v>
      </c>
      <c r="K74" s="9">
        <v>0.896667</v>
      </c>
      <c r="L74" s="9">
        <v>0.876666665</v>
      </c>
      <c r="M74" s="9">
        <v>0.878333</v>
      </c>
      <c r="N74" s="9">
        <v>0.903333</v>
      </c>
      <c r="O74" s="9">
        <v>0.852333</v>
      </c>
      <c r="P74" s="9">
        <v>0.85</v>
      </c>
      <c r="Q74" s="9">
        <v>0.86</v>
      </c>
      <c r="R74" s="9">
        <v>0.849000001</v>
      </c>
      <c r="S74" s="9">
        <v>0.845</v>
      </c>
      <c r="T74" s="9">
        <v>0.858333</v>
      </c>
      <c r="U74" s="9">
        <v>0.903333</v>
      </c>
      <c r="V74" s="9">
        <v>0.913333</v>
      </c>
      <c r="W74" s="9">
        <v>0.92</v>
      </c>
      <c r="X74" s="9">
        <v>0.902667</v>
      </c>
      <c r="Y74" s="9">
        <v>0.901667</v>
      </c>
      <c r="Z74" s="9">
        <v>0.916667</v>
      </c>
      <c r="AA74" s="9">
        <v>0.842999995</v>
      </c>
      <c r="AB74" s="9">
        <v>0.843333</v>
      </c>
      <c r="AC74" s="9">
        <v>0.87</v>
      </c>
      <c r="AD74" s="9">
        <v>0.834000003</v>
      </c>
      <c r="AE74" s="9">
        <v>0.84</v>
      </c>
      <c r="AF74" s="9">
        <v>0.856667</v>
      </c>
      <c r="AG74" s="9">
        <v>0.899</v>
      </c>
      <c r="AH74" s="9">
        <v>0.896667</v>
      </c>
      <c r="AI74" s="9">
        <v>0.913333</v>
      </c>
      <c r="AJ74" s="9">
        <v>0.905333</v>
      </c>
      <c r="AK74" s="9">
        <v>0.903333</v>
      </c>
      <c r="AL74" s="9">
        <v>0.913333</v>
      </c>
      <c r="AM74" s="9">
        <v>0.841667</v>
      </c>
      <c r="AN74" s="9">
        <v>0.843333</v>
      </c>
      <c r="AO74" s="9">
        <v>0.846667</v>
      </c>
      <c r="AP74" s="9">
        <v>0.843000007</v>
      </c>
      <c r="AQ74" s="9">
        <v>0.85</v>
      </c>
      <c r="AR74" s="9">
        <v>0.856667</v>
      </c>
      <c r="AS74" s="9">
        <v>0.906</v>
      </c>
      <c r="AT74" s="9">
        <v>0.906667</v>
      </c>
      <c r="AU74" s="9">
        <v>0.906667</v>
      </c>
      <c r="AV74" s="9">
        <v>0.909</v>
      </c>
      <c r="AW74" s="9">
        <v>0.911667</v>
      </c>
      <c r="AX74" s="9">
        <v>0.916667</v>
      </c>
      <c r="AY74" s="9">
        <v>0.853333</v>
      </c>
      <c r="AZ74" s="9">
        <v>0.85</v>
      </c>
      <c r="BA74" s="9">
        <v>0.871667</v>
      </c>
      <c r="BB74" s="9">
        <v>0.912333</v>
      </c>
      <c r="BC74" s="9">
        <v>0.916667</v>
      </c>
      <c r="BD74" s="9">
        <v>0.926667</v>
      </c>
      <c r="BE74" s="9">
        <v>0.753333</v>
      </c>
      <c r="BF74" s="9">
        <v>0.841667</v>
      </c>
      <c r="BG74" s="9">
        <v>0.668333</v>
      </c>
      <c r="BH74" s="6"/>
      <c r="BI74" s="6" t="str">
        <f t="shared" si="1"/>
        <v>20V_One_Acc</v>
      </c>
      <c r="BJ74" s="6" t="str">
        <f t="shared" si="2"/>
        <v>8V_One_Acc</v>
      </c>
      <c r="BK74" s="6" t="str">
        <f t="shared" si="3"/>
        <v>8VB_One_Acc</v>
      </c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</row>
    <row r="75" ht="15.75" customHeight="1">
      <c r="A75" s="1" t="s">
        <v>169</v>
      </c>
      <c r="B75" s="17">
        <v>1500.0</v>
      </c>
      <c r="C75" s="9">
        <v>0.404444</v>
      </c>
      <c r="D75" s="9">
        <v>0.382222</v>
      </c>
      <c r="E75" s="9">
        <v>0.442222</v>
      </c>
      <c r="F75" s="9">
        <v>0.382222226</v>
      </c>
      <c r="G75" s="9">
        <v>0.395555556</v>
      </c>
      <c r="H75" s="9">
        <v>0.166667</v>
      </c>
      <c r="I75" s="9">
        <v>0.527111</v>
      </c>
      <c r="J75" s="9">
        <v>0.602222</v>
      </c>
      <c r="K75" s="9">
        <v>0.637778</v>
      </c>
      <c r="L75" s="9">
        <v>0.529777777</v>
      </c>
      <c r="M75" s="9">
        <v>0.582222</v>
      </c>
      <c r="N75" s="9">
        <v>0.515556</v>
      </c>
      <c r="O75" s="9">
        <v>0.428</v>
      </c>
      <c r="P75" s="9">
        <v>0.431111</v>
      </c>
      <c r="Q75" s="9">
        <v>0.466667</v>
      </c>
      <c r="R75" s="9">
        <v>0.362666667</v>
      </c>
      <c r="S75" s="9">
        <v>0.377778</v>
      </c>
      <c r="T75" s="9">
        <v>0.346667</v>
      </c>
      <c r="U75" s="9">
        <v>0.478222</v>
      </c>
      <c r="V75" s="9">
        <v>0.46</v>
      </c>
      <c r="W75" s="9">
        <v>0.355556</v>
      </c>
      <c r="X75" s="9">
        <v>0.438667</v>
      </c>
      <c r="Y75" s="9">
        <v>0.455556</v>
      </c>
      <c r="Z75" s="9">
        <v>0.286667</v>
      </c>
      <c r="AA75" s="9">
        <v>0.421333331</v>
      </c>
      <c r="AB75" s="9">
        <v>0.44</v>
      </c>
      <c r="AC75" s="9">
        <v>0.395556</v>
      </c>
      <c r="AD75" s="9">
        <v>0.380888891</v>
      </c>
      <c r="AE75" s="9">
        <v>0.44</v>
      </c>
      <c r="AF75" s="9">
        <v>0.373333</v>
      </c>
      <c r="AG75" s="9">
        <v>0.492444</v>
      </c>
      <c r="AH75" s="9">
        <v>0.455556</v>
      </c>
      <c r="AI75" s="9">
        <v>0.362222</v>
      </c>
      <c r="AJ75" s="9">
        <v>0.427111</v>
      </c>
      <c r="AK75" s="9">
        <v>0.424444</v>
      </c>
      <c r="AL75" s="9">
        <v>0.442222</v>
      </c>
      <c r="AM75" s="9">
        <v>0.409333</v>
      </c>
      <c r="AN75" s="9">
        <v>0.4</v>
      </c>
      <c r="AO75" s="9">
        <v>0.504444</v>
      </c>
      <c r="AP75" s="9">
        <v>0.387999997</v>
      </c>
      <c r="AQ75" s="9">
        <v>0.391111</v>
      </c>
      <c r="AR75" s="9">
        <v>0.351111</v>
      </c>
      <c r="AS75" s="9">
        <v>0.431556</v>
      </c>
      <c r="AT75" s="9">
        <v>0.357778</v>
      </c>
      <c r="AU75" s="9">
        <v>0.493333</v>
      </c>
      <c r="AV75" s="9">
        <v>0.473778</v>
      </c>
      <c r="AW75" s="9">
        <v>0.462222</v>
      </c>
      <c r="AX75" s="9">
        <v>0.491111</v>
      </c>
      <c r="AY75" s="9">
        <v>0.366667</v>
      </c>
      <c r="AZ75" s="9">
        <v>0.388889</v>
      </c>
      <c r="BA75" s="9">
        <v>0.264444</v>
      </c>
      <c r="BB75" s="9">
        <v>0.341778</v>
      </c>
      <c r="BC75" s="9">
        <v>0.322222</v>
      </c>
      <c r="BD75" s="9">
        <v>0.262222</v>
      </c>
      <c r="BE75" s="9">
        <v>0.452444</v>
      </c>
      <c r="BF75" s="9">
        <v>0.451111</v>
      </c>
      <c r="BG75" s="9">
        <v>0.433333</v>
      </c>
      <c r="BH75" s="6"/>
      <c r="BI75" s="6" t="str">
        <f t="shared" si="1"/>
        <v>5V_One_Acc</v>
      </c>
      <c r="BJ75" s="6" t="str">
        <f t="shared" si="2"/>
        <v>5V_Fold_Median</v>
      </c>
      <c r="BK75" s="6" t="str">
        <f t="shared" si="3"/>
        <v>5VB_Fold_Median</v>
      </c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</row>
    <row r="76" ht="15.75" customHeight="1">
      <c r="A76" s="1" t="s">
        <v>170</v>
      </c>
      <c r="B76" s="17">
        <v>1500.0</v>
      </c>
      <c r="C76" s="9">
        <v>0.709333</v>
      </c>
      <c r="D76" s="9">
        <v>0.704444</v>
      </c>
      <c r="E76" s="9">
        <v>0.737778</v>
      </c>
      <c r="F76" s="9">
        <v>0.676444447</v>
      </c>
      <c r="G76" s="9">
        <v>0.680000007</v>
      </c>
      <c r="H76" s="9">
        <v>0.2</v>
      </c>
      <c r="I76" s="9">
        <v>0.828</v>
      </c>
      <c r="J76" s="9">
        <v>0.833333</v>
      </c>
      <c r="K76" s="9">
        <v>0.846667</v>
      </c>
      <c r="L76" s="9">
        <v>0.794222224</v>
      </c>
      <c r="M76" s="9">
        <v>0.817778</v>
      </c>
      <c r="N76" s="9">
        <v>0.833333</v>
      </c>
      <c r="O76" s="9">
        <v>0.748889</v>
      </c>
      <c r="P76" s="9">
        <v>0.753333</v>
      </c>
      <c r="Q76" s="9">
        <v>0.793333</v>
      </c>
      <c r="R76" s="9">
        <v>0.757333314</v>
      </c>
      <c r="S76" s="9">
        <v>0.757778</v>
      </c>
      <c r="T76" s="9">
        <v>0.757778</v>
      </c>
      <c r="U76" s="9">
        <v>0.816889</v>
      </c>
      <c r="V76" s="9">
        <v>0.82</v>
      </c>
      <c r="W76" s="9">
        <v>0.822222</v>
      </c>
      <c r="X76" s="9">
        <v>0.831556</v>
      </c>
      <c r="Y76" s="9">
        <v>0.831111</v>
      </c>
      <c r="Z76" s="9">
        <v>0.815556</v>
      </c>
      <c r="AA76" s="9">
        <v>0.740444458</v>
      </c>
      <c r="AB76" s="9">
        <v>0.762222</v>
      </c>
      <c r="AC76" s="9">
        <v>0.773333</v>
      </c>
      <c r="AD76" s="9">
        <v>0.705333328</v>
      </c>
      <c r="AE76" s="9">
        <v>0.74</v>
      </c>
      <c r="AF76" s="9">
        <v>0.771111</v>
      </c>
      <c r="AG76" s="9">
        <v>0.826667</v>
      </c>
      <c r="AH76" s="9">
        <v>0.824444</v>
      </c>
      <c r="AI76" s="9">
        <v>0.851111</v>
      </c>
      <c r="AJ76" s="9">
        <v>0.830222</v>
      </c>
      <c r="AK76" s="9">
        <v>0.824444</v>
      </c>
      <c r="AL76" s="9">
        <v>0.784444</v>
      </c>
      <c r="AM76" s="9">
        <v>0.661778</v>
      </c>
      <c r="AN76" s="9">
        <v>0.74</v>
      </c>
      <c r="AO76" s="9">
        <v>0.755556</v>
      </c>
      <c r="AP76" s="9">
        <v>0.757333338</v>
      </c>
      <c r="AQ76" s="9">
        <v>0.76</v>
      </c>
      <c r="AR76" s="9">
        <v>0.684444</v>
      </c>
      <c r="AS76" s="9">
        <v>0.782222</v>
      </c>
      <c r="AT76" s="9">
        <v>0.813333</v>
      </c>
      <c r="AU76" s="9">
        <v>0.855556</v>
      </c>
      <c r="AV76" s="9">
        <v>0.816444</v>
      </c>
      <c r="AW76" s="9">
        <v>0.844444</v>
      </c>
      <c r="AX76" s="9">
        <v>0.831111</v>
      </c>
      <c r="AY76" s="9">
        <v>0.724444</v>
      </c>
      <c r="AZ76" s="9">
        <v>0.724444</v>
      </c>
      <c r="BA76" s="9">
        <v>0.735556</v>
      </c>
      <c r="BB76" s="9">
        <v>0.804</v>
      </c>
      <c r="BC76" s="9">
        <v>0.831111</v>
      </c>
      <c r="BD76" s="9">
        <v>0.824444</v>
      </c>
      <c r="BE76" s="9">
        <v>0.777333</v>
      </c>
      <c r="BF76" s="9">
        <v>0.784444</v>
      </c>
      <c r="BG76" s="9">
        <v>0.773333</v>
      </c>
      <c r="BH76" s="6"/>
      <c r="BI76" s="6" t="str">
        <f t="shared" si="1"/>
        <v>12V_One_Acc</v>
      </c>
      <c r="BJ76" s="6" t="str">
        <f t="shared" si="2"/>
        <v>10V_One_Acc</v>
      </c>
      <c r="BK76" s="6" t="str">
        <f t="shared" si="3"/>
        <v>5V_One_Acc</v>
      </c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</row>
    <row r="77" ht="15.75" customHeight="1">
      <c r="A77" s="1" t="s">
        <v>171</v>
      </c>
      <c r="B77" s="17">
        <v>500.0</v>
      </c>
      <c r="C77" s="9">
        <v>0.498889</v>
      </c>
      <c r="D77" s="9">
        <v>0.5</v>
      </c>
      <c r="E77" s="9">
        <v>0.505556</v>
      </c>
      <c r="F77" s="9">
        <v>0.506666672</v>
      </c>
      <c r="G77" s="9">
        <v>0.5</v>
      </c>
      <c r="H77" s="9">
        <v>0.5</v>
      </c>
      <c r="I77" s="9">
        <v>0.515556</v>
      </c>
      <c r="J77" s="9">
        <v>0.5</v>
      </c>
      <c r="K77" s="9">
        <v>0.511111</v>
      </c>
      <c r="L77" s="9">
        <v>0.510000002</v>
      </c>
      <c r="M77" s="9">
        <v>0.5</v>
      </c>
      <c r="N77" s="9">
        <v>0.5</v>
      </c>
      <c r="O77" s="9">
        <v>0.504444</v>
      </c>
      <c r="P77" s="9">
        <v>0.5</v>
      </c>
      <c r="Q77" s="9">
        <v>0.533333</v>
      </c>
      <c r="R77" s="9">
        <v>0.536666667</v>
      </c>
      <c r="S77" s="9">
        <v>0.538889</v>
      </c>
      <c r="T77" s="9">
        <v>0.544444</v>
      </c>
      <c r="U77" s="9">
        <v>0.511111</v>
      </c>
      <c r="V77" s="9">
        <v>0.505556</v>
      </c>
      <c r="W77" s="9">
        <v>0.522222</v>
      </c>
      <c r="X77" s="9">
        <v>0.51</v>
      </c>
      <c r="Y77" s="9">
        <v>0.5</v>
      </c>
      <c r="Z77" s="9">
        <v>0.5</v>
      </c>
      <c r="AA77" s="9">
        <v>0.507777774</v>
      </c>
      <c r="AB77" s="9">
        <v>0.5</v>
      </c>
      <c r="AC77" s="9">
        <v>0.494444</v>
      </c>
      <c r="AD77" s="9">
        <v>0.510000002</v>
      </c>
      <c r="AE77" s="9">
        <v>0.5</v>
      </c>
      <c r="AF77" s="9">
        <v>0.577778</v>
      </c>
      <c r="AG77" s="9">
        <v>0.505556</v>
      </c>
      <c r="AH77" s="9">
        <v>0.5</v>
      </c>
      <c r="AI77" s="9">
        <v>0.511111</v>
      </c>
      <c r="AJ77" s="9">
        <v>0.49</v>
      </c>
      <c r="AK77" s="9">
        <v>0.5</v>
      </c>
      <c r="AL77" s="9">
        <v>0.527778</v>
      </c>
      <c r="AM77" s="9">
        <v>0.505556</v>
      </c>
      <c r="AN77" s="9">
        <v>0.5</v>
      </c>
      <c r="AO77" s="9">
        <v>0.5</v>
      </c>
      <c r="AP77" s="9">
        <v>0.508888894</v>
      </c>
      <c r="AQ77" s="9">
        <v>0.5</v>
      </c>
      <c r="AR77" s="9">
        <v>0.5</v>
      </c>
      <c r="AS77" s="9">
        <v>0.485556</v>
      </c>
      <c r="AT77" s="9">
        <v>0.483333</v>
      </c>
      <c r="AU77" s="9">
        <v>0.466667</v>
      </c>
      <c r="AV77" s="9">
        <v>0.491111</v>
      </c>
      <c r="AW77" s="9">
        <v>0.5</v>
      </c>
      <c r="AX77" s="9">
        <v>0.477778</v>
      </c>
      <c r="AY77" s="9">
        <v>0.513333</v>
      </c>
      <c r="AZ77" s="9">
        <v>0.5</v>
      </c>
      <c r="BA77" s="9">
        <v>0.544444</v>
      </c>
      <c r="BB77" s="9">
        <v>0.516667</v>
      </c>
      <c r="BC77" s="9">
        <v>0.516667</v>
      </c>
      <c r="BD77" s="9">
        <v>0.5</v>
      </c>
      <c r="BE77" s="9">
        <v>0.496667</v>
      </c>
      <c r="BF77" s="9">
        <v>0.5</v>
      </c>
      <c r="BG77" s="9">
        <v>0.477778</v>
      </c>
      <c r="BH77" s="6"/>
      <c r="BI77" s="6" t="str">
        <f t="shared" si="1"/>
        <v>10BN_One_Acc</v>
      </c>
      <c r="BJ77" s="6" t="str">
        <f t="shared" si="2"/>
        <v>8BN_One_Acc</v>
      </c>
      <c r="BK77" s="6" t="str">
        <f t="shared" si="3"/>
        <v>8BN_One_Acc</v>
      </c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</row>
    <row r="78" ht="15.75" customHeight="1">
      <c r="A78" s="1" t="s">
        <v>172</v>
      </c>
      <c r="B78" s="17">
        <v>512.0</v>
      </c>
      <c r="C78" s="9">
        <v>0.357</v>
      </c>
      <c r="D78" s="9">
        <v>0.37</v>
      </c>
      <c r="E78" s="9">
        <v>0.165</v>
      </c>
      <c r="F78" s="9">
        <v>0.268666664</v>
      </c>
      <c r="G78" s="9">
        <v>0.280000001</v>
      </c>
      <c r="H78" s="9">
        <v>0.016667</v>
      </c>
      <c r="I78" s="9">
        <v>0.457667</v>
      </c>
      <c r="J78" s="9">
        <v>0.468333</v>
      </c>
      <c r="K78" s="9">
        <v>0.405</v>
      </c>
      <c r="L78" s="9">
        <v>0.293999997</v>
      </c>
      <c r="M78" s="9">
        <v>0.308333</v>
      </c>
      <c r="N78" s="9">
        <v>0.26</v>
      </c>
      <c r="O78" s="9">
        <v>0.403</v>
      </c>
      <c r="P78" s="9">
        <v>0.455</v>
      </c>
      <c r="Q78" s="9">
        <v>0.4</v>
      </c>
      <c r="R78" s="9">
        <v>0.451333332</v>
      </c>
      <c r="S78" s="9">
        <v>0.416667</v>
      </c>
      <c r="T78" s="9">
        <v>0.35</v>
      </c>
      <c r="U78" s="9">
        <v>0.376667</v>
      </c>
      <c r="V78" s="9">
        <v>0.35</v>
      </c>
      <c r="W78" s="9">
        <v>0.47</v>
      </c>
      <c r="X78" s="9">
        <v>0.304333</v>
      </c>
      <c r="Y78" s="9">
        <v>0.273333</v>
      </c>
      <c r="Z78" s="9">
        <v>0.326667</v>
      </c>
      <c r="AA78" s="9">
        <v>0.380666667</v>
      </c>
      <c r="AB78" s="9">
        <v>0.38</v>
      </c>
      <c r="AC78" s="9">
        <v>0.618333</v>
      </c>
      <c r="AD78" s="9">
        <v>0.390999997</v>
      </c>
      <c r="AE78" s="9">
        <v>0.371667</v>
      </c>
      <c r="AF78" s="9">
        <v>0.62</v>
      </c>
      <c r="AG78" s="9">
        <v>0.351667</v>
      </c>
      <c r="AH78" s="9">
        <v>0.346667</v>
      </c>
      <c r="AI78" s="9">
        <v>0.236667</v>
      </c>
      <c r="AJ78" s="9">
        <v>0.331667</v>
      </c>
      <c r="AK78" s="9">
        <v>0.328333</v>
      </c>
      <c r="AL78" s="9">
        <v>0.465</v>
      </c>
      <c r="AM78" s="9">
        <v>0.384333</v>
      </c>
      <c r="AN78" s="9">
        <v>0.336667</v>
      </c>
      <c r="AO78" s="9">
        <v>0.395</v>
      </c>
      <c r="AP78" s="9">
        <v>0.437333333</v>
      </c>
      <c r="AQ78" s="9">
        <v>0.456667</v>
      </c>
      <c r="AR78" s="9">
        <v>0.411667</v>
      </c>
      <c r="AS78" s="9">
        <v>0.312667</v>
      </c>
      <c r="AT78" s="9">
        <v>0.356667</v>
      </c>
      <c r="AU78" s="9">
        <v>0.38</v>
      </c>
      <c r="AV78" s="9">
        <v>0.433667</v>
      </c>
      <c r="AW78" s="9">
        <v>0.416667</v>
      </c>
      <c r="AX78" s="9">
        <v>0.463333</v>
      </c>
      <c r="AY78" s="9">
        <v>0.478667</v>
      </c>
      <c r="AZ78" s="9">
        <v>0.466667</v>
      </c>
      <c r="BA78" s="9">
        <v>0.41</v>
      </c>
      <c r="BB78" s="9">
        <v>0.334667</v>
      </c>
      <c r="BC78" s="9">
        <v>0.46</v>
      </c>
      <c r="BD78" s="9">
        <v>0.381667</v>
      </c>
      <c r="BE78" s="9">
        <v>0.270667</v>
      </c>
      <c r="BF78" s="9">
        <v>0.285</v>
      </c>
      <c r="BG78" s="9">
        <v>0.31</v>
      </c>
      <c r="BH78" s="6"/>
      <c r="BI78" s="6" t="str">
        <f t="shared" si="1"/>
        <v>10BN_One_Acc</v>
      </c>
      <c r="BJ78" s="6" t="str">
        <f t="shared" si="2"/>
        <v>10B_One_Acc</v>
      </c>
      <c r="BK78" s="6" t="str">
        <f t="shared" si="3"/>
        <v>20B_Fold_Mean</v>
      </c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</row>
    <row r="79" ht="15.75" customHeight="1">
      <c r="A79" s="1" t="s">
        <v>173</v>
      </c>
      <c r="B79" s="17">
        <v>720.0</v>
      </c>
      <c r="C79" s="9">
        <v>0.569067</v>
      </c>
      <c r="D79" s="9">
        <v>0.602667</v>
      </c>
      <c r="E79" s="9">
        <v>0.629333</v>
      </c>
      <c r="F79" s="9">
        <v>0.436800003</v>
      </c>
      <c r="G79" s="9">
        <v>0.437333345</v>
      </c>
      <c r="H79" s="9">
        <v>0.333333</v>
      </c>
      <c r="I79" s="9">
        <v>0.786667</v>
      </c>
      <c r="J79" s="9">
        <v>0.786667</v>
      </c>
      <c r="K79" s="9">
        <v>0.752</v>
      </c>
      <c r="L79" s="9">
        <v>0.771733344</v>
      </c>
      <c r="M79" s="9">
        <v>0.773333</v>
      </c>
      <c r="N79" s="9">
        <v>0.754667</v>
      </c>
      <c r="O79" s="9">
        <v>0.621333</v>
      </c>
      <c r="P79" s="9">
        <v>0.653333</v>
      </c>
      <c r="Q79" s="9">
        <v>0.52</v>
      </c>
      <c r="R79" s="9">
        <v>0.565866667</v>
      </c>
      <c r="S79" s="9">
        <v>0.565333</v>
      </c>
      <c r="T79" s="9">
        <v>0.442667</v>
      </c>
      <c r="U79" s="9">
        <v>0.818667</v>
      </c>
      <c r="V79" s="9">
        <v>0.818667</v>
      </c>
      <c r="W79" s="9">
        <v>0.805333</v>
      </c>
      <c r="X79" s="9">
        <v>0.794133</v>
      </c>
      <c r="Y79" s="9">
        <v>0.792</v>
      </c>
      <c r="Z79" s="9">
        <v>0.797333</v>
      </c>
      <c r="AA79" s="9">
        <v>0.588266665</v>
      </c>
      <c r="AB79" s="9">
        <v>0.634667</v>
      </c>
      <c r="AC79" s="9">
        <v>0.624</v>
      </c>
      <c r="AD79" s="9">
        <v>0.614933336</v>
      </c>
      <c r="AE79" s="9">
        <v>0.645333</v>
      </c>
      <c r="AF79" s="9">
        <v>0.64</v>
      </c>
      <c r="AG79" s="9">
        <v>0.798933</v>
      </c>
      <c r="AH79" s="9">
        <v>0.805333</v>
      </c>
      <c r="AI79" s="9">
        <v>0.792</v>
      </c>
      <c r="AJ79" s="9">
        <v>0.802667</v>
      </c>
      <c r="AK79" s="9">
        <v>0.802667</v>
      </c>
      <c r="AL79" s="9">
        <v>0.789333</v>
      </c>
      <c r="AM79" s="9">
        <v>0.589333</v>
      </c>
      <c r="AN79" s="9">
        <v>0.602667</v>
      </c>
      <c r="AO79" s="9">
        <v>0.616</v>
      </c>
      <c r="AP79" s="9">
        <v>0.581333333</v>
      </c>
      <c r="AQ79" s="9">
        <v>0.618667</v>
      </c>
      <c r="AR79" s="9">
        <v>0.632</v>
      </c>
      <c r="AS79" s="9">
        <v>0.7936</v>
      </c>
      <c r="AT79" s="9">
        <v>0.792</v>
      </c>
      <c r="AU79" s="9">
        <v>0.781333</v>
      </c>
      <c r="AV79" s="9">
        <v>0.787733</v>
      </c>
      <c r="AW79" s="9">
        <v>0.784</v>
      </c>
      <c r="AX79" s="9">
        <v>0.768</v>
      </c>
      <c r="AY79" s="9">
        <v>0.4336</v>
      </c>
      <c r="AZ79" s="9">
        <v>0.413333</v>
      </c>
      <c r="BA79" s="9">
        <v>0.664</v>
      </c>
      <c r="BB79" s="9">
        <v>0.772267</v>
      </c>
      <c r="BC79" s="9">
        <v>0.773333</v>
      </c>
      <c r="BD79" s="9">
        <v>0.786667</v>
      </c>
      <c r="BE79" s="9">
        <v>0.5376</v>
      </c>
      <c r="BF79" s="9">
        <v>0.528</v>
      </c>
      <c r="BG79" s="9">
        <v>0.52</v>
      </c>
      <c r="BH79" s="6"/>
      <c r="BI79" s="6" t="str">
        <f t="shared" si="1"/>
        <v>8V_Fold_Mean</v>
      </c>
      <c r="BJ79" s="6" t="str">
        <f t="shared" si="2"/>
        <v>8V_Fold_Mean</v>
      </c>
      <c r="BK79" s="6" t="str">
        <f t="shared" si="3"/>
        <v>8V_One_Acc</v>
      </c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</row>
    <row r="80" ht="15.75" customHeight="1">
      <c r="A80" s="1" t="s">
        <v>174</v>
      </c>
      <c r="B80" s="17">
        <v>15.0</v>
      </c>
      <c r="C80" s="9">
        <v>0.953333</v>
      </c>
      <c r="D80" s="9">
        <v>0.953333</v>
      </c>
      <c r="E80" s="9">
        <v>0.96</v>
      </c>
      <c r="F80" s="9">
        <v>0.963999999</v>
      </c>
      <c r="G80" s="9">
        <v>0.959999979</v>
      </c>
      <c r="H80" s="9">
        <v>0.34</v>
      </c>
      <c r="I80" s="9">
        <v>0.902667</v>
      </c>
      <c r="J80" s="9">
        <v>0.906667</v>
      </c>
      <c r="K80" s="9">
        <v>0.906667</v>
      </c>
      <c r="L80" s="9">
        <v>0.930666673</v>
      </c>
      <c r="M80" s="9">
        <v>0.933333</v>
      </c>
      <c r="N80" s="9">
        <v>0.946667</v>
      </c>
      <c r="O80" s="9">
        <v>0.928</v>
      </c>
      <c r="P80" s="9">
        <v>0.926667</v>
      </c>
      <c r="Q80" s="9">
        <v>0.926667</v>
      </c>
      <c r="R80" s="9">
        <v>0.925333321</v>
      </c>
      <c r="S80" s="9">
        <v>0.94</v>
      </c>
      <c r="T80" s="9">
        <v>0.933333</v>
      </c>
      <c r="U80" s="9">
        <v>0.338667</v>
      </c>
      <c r="V80" s="9">
        <v>0.333333</v>
      </c>
      <c r="W80" s="9">
        <v>0.34</v>
      </c>
      <c r="X80" s="9">
        <v>0.930667</v>
      </c>
      <c r="Y80" s="9">
        <v>0.92</v>
      </c>
      <c r="Z80" s="9">
        <v>0.946667</v>
      </c>
      <c r="AA80" s="9">
        <v>0.918666673</v>
      </c>
      <c r="AB80" s="9">
        <v>0.92</v>
      </c>
      <c r="AC80" s="9">
        <v>0.92</v>
      </c>
      <c r="AD80" s="9">
        <v>0.917333353</v>
      </c>
      <c r="AE80" s="9">
        <v>0.913333</v>
      </c>
      <c r="AF80" s="9">
        <v>0.94</v>
      </c>
      <c r="AG80" s="9">
        <v>0.344</v>
      </c>
      <c r="AH80" s="9">
        <v>0.333333</v>
      </c>
      <c r="AI80" s="9">
        <v>0.42</v>
      </c>
      <c r="AJ80" s="9">
        <v>0.92</v>
      </c>
      <c r="AK80" s="9">
        <v>0.92</v>
      </c>
      <c r="AL80" s="9">
        <v>0.966667</v>
      </c>
      <c r="AM80" s="9">
        <v>0.872</v>
      </c>
      <c r="AN80" s="9">
        <v>0.926667</v>
      </c>
      <c r="AO80" s="9">
        <v>0.933333</v>
      </c>
      <c r="AP80" s="9">
        <v>0.920000017</v>
      </c>
      <c r="AQ80" s="9">
        <v>0.92</v>
      </c>
      <c r="AR80" s="9">
        <v>0.933333</v>
      </c>
      <c r="AS80" s="9">
        <v>0.358667</v>
      </c>
      <c r="AT80" s="9">
        <v>0.333333</v>
      </c>
      <c r="AU80" s="9">
        <v>0.373333</v>
      </c>
      <c r="AV80" s="9">
        <v>0.933333</v>
      </c>
      <c r="AW80" s="9">
        <v>0.94</v>
      </c>
      <c r="AX80" s="9">
        <v>0.94</v>
      </c>
      <c r="AY80" s="9">
        <v>0.712</v>
      </c>
      <c r="AZ80" s="9">
        <v>0.726667</v>
      </c>
      <c r="BA80" s="9">
        <v>0.706667</v>
      </c>
      <c r="BB80" s="9">
        <v>0.808</v>
      </c>
      <c r="BC80" s="9">
        <v>0.813333</v>
      </c>
      <c r="BD80" s="9">
        <v>0.826667</v>
      </c>
      <c r="BE80" s="9">
        <v>0.892</v>
      </c>
      <c r="BF80" s="9">
        <v>0.9</v>
      </c>
      <c r="BG80" s="9">
        <v>0.92</v>
      </c>
      <c r="BH80" s="6"/>
      <c r="BI80" s="6" t="str">
        <f t="shared" si="1"/>
        <v>10VB_One_Acc</v>
      </c>
      <c r="BJ80" s="6" t="str">
        <f t="shared" si="2"/>
        <v>5BN_Fold_Mean</v>
      </c>
      <c r="BK80" s="6" t="str">
        <f t="shared" si="3"/>
        <v>5B_One_Acc</v>
      </c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</row>
    <row r="81" ht="15.75" customHeight="1">
      <c r="A81" s="1" t="s">
        <v>175</v>
      </c>
      <c r="B81" s="17">
        <v>70.0</v>
      </c>
      <c r="C81" s="9">
        <v>0.499834</v>
      </c>
      <c r="D81" s="9">
        <v>0.494176</v>
      </c>
      <c r="E81" s="9">
        <v>0.557404</v>
      </c>
      <c r="F81" s="9">
        <v>0.550748742</v>
      </c>
      <c r="G81" s="9">
        <v>0.555740416</v>
      </c>
      <c r="H81" s="9">
        <v>0.570715</v>
      </c>
      <c r="I81" s="9">
        <v>0.49218</v>
      </c>
      <c r="J81" s="9">
        <v>0.429285</v>
      </c>
      <c r="K81" s="9">
        <v>0.607321</v>
      </c>
      <c r="L81" s="9">
        <v>0.501497495</v>
      </c>
      <c r="M81" s="9">
        <v>0.429285</v>
      </c>
      <c r="N81" s="9">
        <v>0.627288</v>
      </c>
      <c r="O81" s="9">
        <v>0.520799</v>
      </c>
      <c r="P81" s="9">
        <v>0.464226</v>
      </c>
      <c r="Q81" s="9">
        <v>0.673877</v>
      </c>
      <c r="R81" s="9">
        <v>0.555740428</v>
      </c>
      <c r="S81" s="9">
        <v>0.570715</v>
      </c>
      <c r="T81" s="9">
        <v>0.65391</v>
      </c>
      <c r="U81" s="9">
        <v>0.485524</v>
      </c>
      <c r="V81" s="9">
        <v>0.429285</v>
      </c>
      <c r="W81" s="9">
        <v>0.524126</v>
      </c>
      <c r="X81" s="9">
        <v>0.479867</v>
      </c>
      <c r="Y81" s="9">
        <v>0.487521</v>
      </c>
      <c r="Z81" s="9">
        <v>0.550749</v>
      </c>
      <c r="AA81" s="9">
        <v>0.490515798</v>
      </c>
      <c r="AB81" s="9">
        <v>0.454243</v>
      </c>
      <c r="AC81" s="9">
        <v>0.580699</v>
      </c>
      <c r="AD81" s="9">
        <v>0.467886853</v>
      </c>
      <c r="AE81" s="9">
        <v>0.442596</v>
      </c>
      <c r="AF81" s="9">
        <v>0.552413</v>
      </c>
      <c r="AG81" s="9">
        <v>0.500499</v>
      </c>
      <c r="AH81" s="9">
        <v>0.429285</v>
      </c>
      <c r="AI81" s="9">
        <v>0.552413</v>
      </c>
      <c r="AJ81" s="9">
        <v>0.479201</v>
      </c>
      <c r="AK81" s="9">
        <v>0.462562</v>
      </c>
      <c r="AL81" s="9">
        <v>0.580699</v>
      </c>
      <c r="AM81" s="9">
        <v>0.466556</v>
      </c>
      <c r="AN81" s="9">
        <v>0.487521</v>
      </c>
      <c r="AO81" s="9">
        <v>0.603993</v>
      </c>
      <c r="AP81" s="9">
        <v>0.508485842</v>
      </c>
      <c r="AQ81" s="9">
        <v>0.459235</v>
      </c>
      <c r="AR81" s="9">
        <v>0.499168</v>
      </c>
      <c r="AS81" s="9">
        <v>0.609983</v>
      </c>
      <c r="AT81" s="9">
        <v>0.638935</v>
      </c>
      <c r="AU81" s="9">
        <v>0.630616</v>
      </c>
      <c r="AV81" s="9">
        <v>0.531448</v>
      </c>
      <c r="AW81" s="9">
        <v>0.497504</v>
      </c>
      <c r="AX81" s="9">
        <v>0.677205</v>
      </c>
      <c r="AY81" s="9">
        <v>0.506822</v>
      </c>
      <c r="AZ81" s="9">
        <v>0.459235</v>
      </c>
      <c r="BA81" s="9">
        <v>0.49584</v>
      </c>
      <c r="BB81" s="9">
        <v>0.5401</v>
      </c>
      <c r="BC81" s="9">
        <v>0.434276</v>
      </c>
      <c r="BD81" s="9">
        <v>0.667221</v>
      </c>
      <c r="BE81" s="9">
        <v>0.673544</v>
      </c>
      <c r="BF81" s="9">
        <v>0.727121</v>
      </c>
      <c r="BG81" s="9">
        <v>0.742096</v>
      </c>
      <c r="BH81" s="6"/>
      <c r="BI81" s="6" t="str">
        <f t="shared" si="1"/>
        <v>De_One_Acc</v>
      </c>
      <c r="BJ81" s="6" t="str">
        <f t="shared" si="2"/>
        <v>De_Fold_Median</v>
      </c>
      <c r="BK81" s="6" t="str">
        <f t="shared" si="3"/>
        <v>12VB_One_Acc</v>
      </c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</row>
    <row r="82" ht="15.75" customHeight="1">
      <c r="A82" s="1" t="s">
        <v>176</v>
      </c>
      <c r="B82" s="17">
        <v>65.0</v>
      </c>
      <c r="C82" s="9">
        <v>0.709969</v>
      </c>
      <c r="D82" s="9">
        <v>0.735572</v>
      </c>
      <c r="E82" s="9">
        <v>0.743966</v>
      </c>
      <c r="F82" s="9">
        <v>0.724029398</v>
      </c>
      <c r="G82" s="9">
        <v>0.731374621</v>
      </c>
      <c r="H82" s="9">
        <v>0.616999</v>
      </c>
      <c r="I82" s="9">
        <v>0.745016</v>
      </c>
      <c r="J82" s="9">
        <v>0.758657</v>
      </c>
      <c r="K82" s="9">
        <v>0.766002</v>
      </c>
      <c r="L82" s="9">
        <v>0.732214069</v>
      </c>
      <c r="M82" s="9">
        <v>0.759706</v>
      </c>
      <c r="N82" s="9">
        <v>0.767051</v>
      </c>
      <c r="O82" s="9">
        <v>0.779853</v>
      </c>
      <c r="P82" s="9">
        <v>0.777545</v>
      </c>
      <c r="Q82" s="9">
        <v>0.796432</v>
      </c>
      <c r="R82" s="9">
        <v>0.729485834</v>
      </c>
      <c r="S82" s="9">
        <v>0.774397</v>
      </c>
      <c r="T82" s="9">
        <v>0.797482</v>
      </c>
      <c r="U82" s="9">
        <v>0.770619</v>
      </c>
      <c r="V82" s="9">
        <v>0.76915</v>
      </c>
      <c r="W82" s="9">
        <v>0.779643</v>
      </c>
      <c r="X82" s="9">
        <v>0.768101</v>
      </c>
      <c r="Y82" s="9">
        <v>0.770199</v>
      </c>
      <c r="Z82" s="9">
        <v>0.782791</v>
      </c>
      <c r="AA82" s="9">
        <v>0.754249728</v>
      </c>
      <c r="AB82" s="9">
        <v>0.764953</v>
      </c>
      <c r="AC82" s="9">
        <v>0.779643</v>
      </c>
      <c r="AD82" s="9">
        <v>0.770409226</v>
      </c>
      <c r="AE82" s="9">
        <v>0.767051</v>
      </c>
      <c r="AF82" s="9">
        <v>0.776495</v>
      </c>
      <c r="AG82" s="9">
        <v>0.729906</v>
      </c>
      <c r="AH82" s="9">
        <v>0.755509</v>
      </c>
      <c r="AI82" s="9">
        <v>0.755509</v>
      </c>
      <c r="AJ82" s="9">
        <v>0.757398</v>
      </c>
      <c r="AK82" s="9">
        <v>0.758657</v>
      </c>
      <c r="AL82" s="9">
        <v>0.743966</v>
      </c>
      <c r="AM82" s="9">
        <v>0.763903</v>
      </c>
      <c r="AN82" s="9">
        <v>0.786988</v>
      </c>
      <c r="AO82" s="9">
        <v>0.796432</v>
      </c>
      <c r="AP82" s="9">
        <v>0.757397687</v>
      </c>
      <c r="AQ82" s="9">
        <v>0.781742</v>
      </c>
      <c r="AR82" s="9">
        <v>0.795383</v>
      </c>
      <c r="AS82" s="9">
        <v>0.785939</v>
      </c>
      <c r="AT82" s="9">
        <v>0.786988</v>
      </c>
      <c r="AU82" s="9">
        <v>0.795383</v>
      </c>
      <c r="AV82" s="9">
        <v>0.770829</v>
      </c>
      <c r="AW82" s="9">
        <v>0.792235</v>
      </c>
      <c r="AX82" s="9">
        <v>0.798531</v>
      </c>
      <c r="AY82" s="9">
        <v>0.733893</v>
      </c>
      <c r="AZ82" s="9">
        <v>0.767051</v>
      </c>
      <c r="BA82" s="9">
        <v>0.78489</v>
      </c>
      <c r="BB82" s="9">
        <v>0.780693</v>
      </c>
      <c r="BC82" s="9">
        <v>0.780693</v>
      </c>
      <c r="BD82" s="9">
        <v>0.803778</v>
      </c>
      <c r="BE82" s="9">
        <v>0.806086</v>
      </c>
      <c r="BF82" s="9">
        <v>0.81532</v>
      </c>
      <c r="BG82" s="9">
        <v>0.820567</v>
      </c>
      <c r="BH82" s="6"/>
      <c r="BI82" s="6" t="str">
        <f t="shared" si="1"/>
        <v>De_One_Acc</v>
      </c>
      <c r="BJ82" s="6" t="str">
        <f t="shared" si="2"/>
        <v>De_Fold_Median</v>
      </c>
      <c r="BK82" s="6" t="str">
        <f t="shared" si="3"/>
        <v>De_Fold_Mean</v>
      </c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</row>
    <row r="83" ht="15.75" customHeight="1">
      <c r="A83" s="1" t="s">
        <v>177</v>
      </c>
      <c r="B83" s="17">
        <v>1024.0</v>
      </c>
      <c r="C83" s="9">
        <v>0.91389</v>
      </c>
      <c r="D83" s="9">
        <v>0.918893</v>
      </c>
      <c r="E83" s="9">
        <v>0.927635</v>
      </c>
      <c r="F83" s="9">
        <v>0.916610014</v>
      </c>
      <c r="G83" s="9">
        <v>0.919014096</v>
      </c>
      <c r="H83" s="9">
        <v>0.577222</v>
      </c>
      <c r="I83" s="9">
        <v>0.928849</v>
      </c>
      <c r="J83" s="9">
        <v>0.930063</v>
      </c>
      <c r="K83" s="9">
        <v>0.930792</v>
      </c>
      <c r="L83" s="9">
        <v>0.922948039</v>
      </c>
      <c r="M83" s="9">
        <v>0.923992</v>
      </c>
      <c r="N83" s="9">
        <v>0.932127</v>
      </c>
      <c r="O83" s="9">
        <v>0.930452</v>
      </c>
      <c r="P83" s="9">
        <v>0.929335</v>
      </c>
      <c r="Q83" s="9">
        <v>0.93407</v>
      </c>
      <c r="R83" s="9">
        <v>0.929043221</v>
      </c>
      <c r="S83" s="9">
        <v>0.927635</v>
      </c>
      <c r="T83" s="9">
        <v>0.934677</v>
      </c>
      <c r="U83" s="9">
        <v>0.927999</v>
      </c>
      <c r="V83" s="9">
        <v>0.927635</v>
      </c>
      <c r="W83" s="9">
        <v>0.934556</v>
      </c>
      <c r="X83" s="9">
        <v>0.925571</v>
      </c>
      <c r="Y83" s="9">
        <v>0.92812</v>
      </c>
      <c r="Z83" s="9">
        <v>0.937227</v>
      </c>
      <c r="AA83" s="9">
        <v>0.923336565</v>
      </c>
      <c r="AB83" s="9">
        <v>0.922292</v>
      </c>
      <c r="AC83" s="9">
        <v>0.934556</v>
      </c>
      <c r="AD83" s="9">
        <v>0.923530841</v>
      </c>
      <c r="AE83" s="9">
        <v>0.924964</v>
      </c>
      <c r="AF83" s="9">
        <v>0.930792</v>
      </c>
      <c r="AG83" s="9">
        <v>0.932661</v>
      </c>
      <c r="AH83" s="9">
        <v>0.932734</v>
      </c>
      <c r="AI83" s="9">
        <v>0.937834</v>
      </c>
      <c r="AJ83" s="9">
        <v>0.931374</v>
      </c>
      <c r="AK83" s="9">
        <v>0.932491</v>
      </c>
      <c r="AL83" s="9">
        <v>0.939412</v>
      </c>
      <c r="AM83" s="9">
        <v>0.931909</v>
      </c>
      <c r="AN83" s="9">
        <v>0.931642</v>
      </c>
      <c r="AO83" s="9">
        <v>0.941234</v>
      </c>
      <c r="AP83" s="9">
        <v>0.927440512</v>
      </c>
      <c r="AQ83" s="9">
        <v>0.926906</v>
      </c>
      <c r="AR83" s="9">
        <v>0.93577</v>
      </c>
      <c r="AS83" s="9">
        <v>0.935551</v>
      </c>
      <c r="AT83" s="9">
        <v>0.936863</v>
      </c>
      <c r="AU83" s="9">
        <v>0.95034</v>
      </c>
      <c r="AV83" s="9">
        <v>0.940554</v>
      </c>
      <c r="AW83" s="9">
        <v>0.940748</v>
      </c>
      <c r="AX83" s="9">
        <v>0.953254</v>
      </c>
      <c r="AY83" s="9">
        <v>0.933366</v>
      </c>
      <c r="AZ83" s="9">
        <v>0.93407</v>
      </c>
      <c r="BA83" s="9">
        <v>0.940869</v>
      </c>
      <c r="BB83" s="9">
        <v>0.945556</v>
      </c>
      <c r="BC83" s="9">
        <v>0.946576</v>
      </c>
      <c r="BD83" s="9">
        <v>0.954104</v>
      </c>
      <c r="BE83" s="9">
        <v>0.894706</v>
      </c>
      <c r="BF83" s="9">
        <v>0.894245</v>
      </c>
      <c r="BG83" s="9">
        <v>0.921442</v>
      </c>
      <c r="BH83" s="6"/>
      <c r="BI83" s="6" t="str">
        <f t="shared" si="1"/>
        <v>20V_One_Acc</v>
      </c>
      <c r="BJ83" s="6" t="str">
        <f t="shared" si="2"/>
        <v>12VB_One_Acc</v>
      </c>
      <c r="BK83" s="6" t="str">
        <f t="shared" si="3"/>
        <v>12V_One_Acc</v>
      </c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</row>
    <row r="84" ht="15.75" customHeight="1">
      <c r="A84" s="1" t="s">
        <v>178</v>
      </c>
      <c r="B84" s="17">
        <v>235.0</v>
      </c>
      <c r="C84" s="9">
        <v>0.896757</v>
      </c>
      <c r="D84" s="9">
        <v>0.9</v>
      </c>
      <c r="E84" s="9">
        <v>0.908108</v>
      </c>
      <c r="F84" s="9">
        <v>0.888108099</v>
      </c>
      <c r="G84" s="9">
        <v>0.891891897</v>
      </c>
      <c r="H84" s="9">
        <v>0.643243</v>
      </c>
      <c r="I84" s="9">
        <v>0.906486</v>
      </c>
      <c r="J84" s="9">
        <v>0.908108</v>
      </c>
      <c r="K84" s="9">
        <v>0.910811</v>
      </c>
      <c r="L84" s="9">
        <v>0.902162158</v>
      </c>
      <c r="M84" s="9">
        <v>0.905405</v>
      </c>
      <c r="N84" s="9">
        <v>0.913514</v>
      </c>
      <c r="O84" s="9">
        <v>0.896757</v>
      </c>
      <c r="P84" s="9">
        <v>0.894595</v>
      </c>
      <c r="Q84" s="9">
        <v>0.92973</v>
      </c>
      <c r="R84" s="9">
        <v>0.900540555</v>
      </c>
      <c r="S84" s="9">
        <v>0.897297</v>
      </c>
      <c r="T84" s="9">
        <v>0.910811</v>
      </c>
      <c r="U84" s="9">
        <v>0.888649</v>
      </c>
      <c r="V84" s="9">
        <v>0.886486</v>
      </c>
      <c r="W84" s="9">
        <v>0.897297</v>
      </c>
      <c r="X84" s="9">
        <v>0.903243</v>
      </c>
      <c r="Y84" s="9">
        <v>0.905405</v>
      </c>
      <c r="Z84" s="9">
        <v>0.910811</v>
      </c>
      <c r="AA84" s="9">
        <v>0.906486499</v>
      </c>
      <c r="AB84" s="9">
        <v>0.910811</v>
      </c>
      <c r="AC84" s="9">
        <v>0.92973</v>
      </c>
      <c r="AD84" s="9">
        <v>0.908108115</v>
      </c>
      <c r="AE84" s="9">
        <v>0.908108</v>
      </c>
      <c r="AF84" s="9">
        <v>0.924324</v>
      </c>
      <c r="AG84" s="9">
        <v>0.907027</v>
      </c>
      <c r="AH84" s="9">
        <v>0.910811</v>
      </c>
      <c r="AI84" s="9">
        <v>0.918919</v>
      </c>
      <c r="AJ84" s="9">
        <v>0.911892</v>
      </c>
      <c r="AK84" s="9">
        <v>0.918919</v>
      </c>
      <c r="AL84" s="9">
        <v>0.918919</v>
      </c>
      <c r="AM84" s="9">
        <v>0.909189</v>
      </c>
      <c r="AN84" s="9">
        <v>0.913514</v>
      </c>
      <c r="AO84" s="9">
        <v>0.940541</v>
      </c>
      <c r="AP84" s="9">
        <v>0.910270286</v>
      </c>
      <c r="AQ84" s="9">
        <v>0.910811</v>
      </c>
      <c r="AR84" s="9">
        <v>0.927027</v>
      </c>
      <c r="AS84" s="9">
        <v>0.931351</v>
      </c>
      <c r="AT84" s="9">
        <v>0.92973</v>
      </c>
      <c r="AU84" s="9">
        <v>0.937838</v>
      </c>
      <c r="AV84" s="9">
        <v>0.933513</v>
      </c>
      <c r="AW84" s="9">
        <v>0.932432</v>
      </c>
      <c r="AX84" s="9">
        <v>0.951351</v>
      </c>
      <c r="AY84" s="9">
        <v>0.916757</v>
      </c>
      <c r="AZ84" s="9">
        <v>0.921622</v>
      </c>
      <c r="BA84" s="9">
        <v>0.935135</v>
      </c>
      <c r="BB84" s="9">
        <v>0.924324</v>
      </c>
      <c r="BC84" s="9">
        <v>0.924324</v>
      </c>
      <c r="BD84" s="9">
        <v>0.943243</v>
      </c>
      <c r="BE84" s="9">
        <v>0.944865</v>
      </c>
      <c r="BF84" s="9">
        <v>0.945946</v>
      </c>
      <c r="BG84" s="9">
        <v>0.954054</v>
      </c>
      <c r="BH84" s="6"/>
      <c r="BI84" s="6" t="str">
        <f t="shared" si="1"/>
        <v>De_One_Acc</v>
      </c>
      <c r="BJ84" s="6" t="str">
        <f t="shared" si="2"/>
        <v>12VB_One_Acc</v>
      </c>
      <c r="BK84" s="6" t="str">
        <f t="shared" si="3"/>
        <v>De_Fold_Median</v>
      </c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</row>
    <row r="85" ht="15.75" customHeight="1">
      <c r="A85" s="1" t="s">
        <v>179</v>
      </c>
      <c r="B85" s="17">
        <v>128.0</v>
      </c>
      <c r="C85" s="9">
        <v>0.68736</v>
      </c>
      <c r="D85" s="9">
        <v>0.6848</v>
      </c>
      <c r="E85" s="9">
        <v>0.7408</v>
      </c>
      <c r="F85" s="9">
        <v>0.63168</v>
      </c>
      <c r="G85" s="9">
        <v>0.673600018</v>
      </c>
      <c r="H85" s="9">
        <v>0.0528</v>
      </c>
      <c r="I85" s="9">
        <v>0.70464</v>
      </c>
      <c r="J85" s="9">
        <v>0.696</v>
      </c>
      <c r="K85" s="9">
        <v>0.7808</v>
      </c>
      <c r="L85" s="9">
        <v>0.646400023</v>
      </c>
      <c r="M85" s="9">
        <v>0.6208</v>
      </c>
      <c r="N85" s="9">
        <v>0.5424</v>
      </c>
      <c r="O85" s="9">
        <v>0.74016</v>
      </c>
      <c r="P85" s="9">
        <v>0.7824</v>
      </c>
      <c r="Q85" s="9">
        <v>0.7216</v>
      </c>
      <c r="R85" s="9">
        <v>0.703999984</v>
      </c>
      <c r="S85" s="9">
        <v>0.7488</v>
      </c>
      <c r="T85" s="9">
        <v>0.7856</v>
      </c>
      <c r="U85" s="9">
        <v>0.77888</v>
      </c>
      <c r="V85" s="9">
        <v>0.768</v>
      </c>
      <c r="W85" s="9">
        <v>0.8352</v>
      </c>
      <c r="X85" s="9">
        <v>0.65472</v>
      </c>
      <c r="Y85" s="9">
        <v>0.6256</v>
      </c>
      <c r="Z85" s="9">
        <v>0.592</v>
      </c>
      <c r="AA85" s="9">
        <v>0.760320008</v>
      </c>
      <c r="AB85" s="9">
        <v>0.808</v>
      </c>
      <c r="AC85" s="9">
        <v>0.7504</v>
      </c>
      <c r="AD85" s="9">
        <v>0.74368</v>
      </c>
      <c r="AE85" s="9">
        <v>0.7728</v>
      </c>
      <c r="AF85" s="9">
        <v>0.7984</v>
      </c>
      <c r="AG85" s="9">
        <v>0.74816</v>
      </c>
      <c r="AH85" s="9">
        <v>0.7488</v>
      </c>
      <c r="AI85" s="9">
        <v>0.7568</v>
      </c>
      <c r="AJ85" s="9">
        <v>0.5936</v>
      </c>
      <c r="AK85" s="9">
        <v>0.68</v>
      </c>
      <c r="AL85" s="9">
        <v>0.8288</v>
      </c>
      <c r="AM85" s="9">
        <v>0.76832</v>
      </c>
      <c r="AN85" s="9">
        <v>0.7648</v>
      </c>
      <c r="AO85" s="9">
        <v>0.8144</v>
      </c>
      <c r="AP85" s="9">
        <v>0.79072001</v>
      </c>
      <c r="AQ85" s="9">
        <v>0.7904</v>
      </c>
      <c r="AR85" s="9">
        <v>0.7872</v>
      </c>
      <c r="AS85" s="9">
        <v>0.6928</v>
      </c>
      <c r="AT85" s="9">
        <v>0.704</v>
      </c>
      <c r="AU85" s="9">
        <v>0.8272</v>
      </c>
      <c r="AV85" s="9">
        <v>0.78048</v>
      </c>
      <c r="AW85" s="9">
        <v>0.7776</v>
      </c>
      <c r="AX85" s="9">
        <v>0.5824</v>
      </c>
      <c r="AY85" s="9">
        <v>0.72128</v>
      </c>
      <c r="AZ85" s="9">
        <v>0.7536</v>
      </c>
      <c r="BA85" s="9">
        <v>0.8016</v>
      </c>
      <c r="BB85" s="9">
        <v>0.5568</v>
      </c>
      <c r="BC85" s="9">
        <v>0.6752</v>
      </c>
      <c r="BD85" s="9">
        <v>0.5024</v>
      </c>
      <c r="BE85" s="9">
        <v>0.576</v>
      </c>
      <c r="BF85" s="9">
        <v>0.6064</v>
      </c>
      <c r="BG85" s="9">
        <v>0.5456</v>
      </c>
      <c r="BH85" s="6"/>
      <c r="BI85" s="6" t="str">
        <f t="shared" si="1"/>
        <v>8V_One_Acc</v>
      </c>
      <c r="BJ85" s="6" t="str">
        <f t="shared" si="2"/>
        <v>10VB_One_Acc</v>
      </c>
      <c r="BK85" s="6" t="str">
        <f t="shared" si="3"/>
        <v>12V_One_Acc</v>
      </c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</row>
    <row r="86" ht="15.75" customHeight="1">
      <c r="A86" s="1" t="s">
        <v>180</v>
      </c>
      <c r="B86" s="17">
        <v>398.0</v>
      </c>
      <c r="C86" s="9">
        <v>0.737688</v>
      </c>
      <c r="D86" s="9">
        <v>0.744724</v>
      </c>
      <c r="E86" s="9">
        <v>0.738693</v>
      </c>
      <c r="F86" s="9">
        <v>0.668542731</v>
      </c>
      <c r="G86" s="9">
        <v>0.703517616</v>
      </c>
      <c r="H86" s="9">
        <v>0.173869</v>
      </c>
      <c r="I86" s="9">
        <v>0.74392</v>
      </c>
      <c r="J86" s="9">
        <v>0.767839</v>
      </c>
      <c r="K86" s="9">
        <v>0.747739</v>
      </c>
      <c r="L86" s="9">
        <v>0.757587945</v>
      </c>
      <c r="M86" s="9">
        <v>0.78794</v>
      </c>
      <c r="N86" s="9">
        <v>0.78995</v>
      </c>
      <c r="O86" s="9">
        <v>0.709548</v>
      </c>
      <c r="P86" s="9">
        <v>0.745729</v>
      </c>
      <c r="Q86" s="9">
        <v>0.735678</v>
      </c>
      <c r="R86" s="9">
        <v>0.740100491</v>
      </c>
      <c r="S86" s="9">
        <v>0.742714</v>
      </c>
      <c r="T86" s="9">
        <v>0.809045</v>
      </c>
      <c r="U86" s="9">
        <v>0.770854</v>
      </c>
      <c r="V86" s="9">
        <v>0.78191</v>
      </c>
      <c r="W86" s="9">
        <v>0.777889</v>
      </c>
      <c r="X86" s="9">
        <v>0.72402</v>
      </c>
      <c r="Y86" s="9">
        <v>0.722613</v>
      </c>
      <c r="Z86" s="9">
        <v>0.838191</v>
      </c>
      <c r="AA86" s="9">
        <v>0.75296483</v>
      </c>
      <c r="AB86" s="9">
        <v>0.747739</v>
      </c>
      <c r="AC86" s="9">
        <v>0.750754</v>
      </c>
      <c r="AD86" s="9">
        <v>0.733065331</v>
      </c>
      <c r="AE86" s="9">
        <v>0.728643</v>
      </c>
      <c r="AF86" s="9">
        <v>0.715578</v>
      </c>
      <c r="AG86" s="9">
        <v>0.75397</v>
      </c>
      <c r="AH86" s="9">
        <v>0.736683</v>
      </c>
      <c r="AI86" s="9">
        <v>0.729648</v>
      </c>
      <c r="AJ86" s="9">
        <v>0.782714</v>
      </c>
      <c r="AK86" s="9">
        <v>0.777889</v>
      </c>
      <c r="AL86" s="9">
        <v>0.776884</v>
      </c>
      <c r="AM86" s="9">
        <v>0.647035</v>
      </c>
      <c r="AN86" s="9">
        <v>0.686432</v>
      </c>
      <c r="AO86" s="9">
        <v>0.743719</v>
      </c>
      <c r="AP86" s="9">
        <v>0.728442204</v>
      </c>
      <c r="AQ86" s="9">
        <v>0.712563</v>
      </c>
      <c r="AR86" s="9">
        <v>0.768844</v>
      </c>
      <c r="AS86" s="9">
        <v>0.756181</v>
      </c>
      <c r="AT86" s="9">
        <v>0.750754</v>
      </c>
      <c r="AU86" s="9">
        <v>0.780905</v>
      </c>
      <c r="AV86" s="9">
        <v>0.694271</v>
      </c>
      <c r="AW86" s="9">
        <v>0.722613</v>
      </c>
      <c r="AX86" s="9">
        <v>0.81407</v>
      </c>
      <c r="AY86" s="9">
        <v>0.604623</v>
      </c>
      <c r="AZ86" s="9">
        <v>0.619096</v>
      </c>
      <c r="BA86" s="9">
        <v>0.61206</v>
      </c>
      <c r="BB86" s="9">
        <v>0.700704</v>
      </c>
      <c r="BC86" s="9">
        <v>0.695477</v>
      </c>
      <c r="BD86" s="9">
        <v>0.78191</v>
      </c>
      <c r="BE86" s="9">
        <v>0.650251</v>
      </c>
      <c r="BF86" s="9">
        <v>0.662312</v>
      </c>
      <c r="BG86" s="9">
        <v>0.716583</v>
      </c>
      <c r="BH86" s="6"/>
      <c r="BI86" s="6" t="str">
        <f t="shared" si="1"/>
        <v>8VB_One_Acc</v>
      </c>
      <c r="BJ86" s="6" t="str">
        <f t="shared" si="2"/>
        <v>12VB_One_Acc</v>
      </c>
      <c r="BK86" s="6" t="str">
        <f t="shared" si="3"/>
        <v>8BN_One_Acc</v>
      </c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</row>
    <row r="87" ht="15.75" customHeight="1">
      <c r="A87" s="1" t="s">
        <v>181</v>
      </c>
      <c r="B87" s="17">
        <v>60.0</v>
      </c>
      <c r="C87" s="9">
        <v>0.962667</v>
      </c>
      <c r="D87" s="9">
        <v>0.963333</v>
      </c>
      <c r="E87" s="9">
        <v>0.963333</v>
      </c>
      <c r="F87" s="9">
        <v>0.95799998</v>
      </c>
      <c r="G87" s="9">
        <v>0.956666648</v>
      </c>
      <c r="H87" s="9">
        <v>0.166667</v>
      </c>
      <c r="I87" s="9">
        <v>0.936</v>
      </c>
      <c r="J87" s="9">
        <v>0.94</v>
      </c>
      <c r="K87" s="9">
        <v>0.94</v>
      </c>
      <c r="L87" s="9">
        <v>0.934666669</v>
      </c>
      <c r="M87" s="9">
        <v>0.933333</v>
      </c>
      <c r="N87" s="9">
        <v>0.943333</v>
      </c>
      <c r="O87" s="9">
        <v>0.956667</v>
      </c>
      <c r="P87" s="9">
        <v>0.956667</v>
      </c>
      <c r="Q87" s="9">
        <v>0.963333</v>
      </c>
      <c r="R87" s="9">
        <v>0.952666652</v>
      </c>
      <c r="S87" s="9">
        <v>0.953333</v>
      </c>
      <c r="T87" s="9">
        <v>0.96</v>
      </c>
      <c r="U87" s="9">
        <v>0.926667</v>
      </c>
      <c r="V87" s="9">
        <v>0.923333</v>
      </c>
      <c r="W87" s="9">
        <v>0.933333</v>
      </c>
      <c r="X87" s="9">
        <v>0.926</v>
      </c>
      <c r="Y87" s="9">
        <v>0.923333</v>
      </c>
      <c r="Z87" s="9">
        <v>0.93</v>
      </c>
      <c r="AA87" s="9">
        <v>0.95466665</v>
      </c>
      <c r="AB87" s="9">
        <v>0.953333</v>
      </c>
      <c r="AC87" s="9">
        <v>0.946667</v>
      </c>
      <c r="AD87" s="9">
        <v>0.953333318</v>
      </c>
      <c r="AE87" s="9">
        <v>0.953333</v>
      </c>
      <c r="AF87" s="9">
        <v>0.96</v>
      </c>
      <c r="AG87" s="9">
        <v>0.950667</v>
      </c>
      <c r="AH87" s="9">
        <v>0.95</v>
      </c>
      <c r="AI87" s="9">
        <v>0.963333</v>
      </c>
      <c r="AJ87" s="9">
        <v>0.916667</v>
      </c>
      <c r="AK87" s="9">
        <v>0.95</v>
      </c>
      <c r="AL87" s="9">
        <v>0.953333</v>
      </c>
      <c r="AM87" s="9">
        <v>0.976667</v>
      </c>
      <c r="AN87" s="9">
        <v>0.976667</v>
      </c>
      <c r="AO87" s="9">
        <v>0.983333</v>
      </c>
      <c r="AP87" s="9">
        <v>0.974000013</v>
      </c>
      <c r="AQ87" s="9">
        <v>0.976667</v>
      </c>
      <c r="AR87" s="9">
        <v>0.983333</v>
      </c>
      <c r="AS87" s="9">
        <v>0.950667</v>
      </c>
      <c r="AT87" s="9">
        <v>0.95</v>
      </c>
      <c r="AU87" s="9">
        <v>0.946667</v>
      </c>
      <c r="AV87" s="9">
        <v>0.912667</v>
      </c>
      <c r="AW87" s="9">
        <v>0.95</v>
      </c>
      <c r="AX87" s="9">
        <v>0.956667</v>
      </c>
      <c r="AY87" s="9">
        <v>0.991333</v>
      </c>
      <c r="AZ87" s="9">
        <v>0.99</v>
      </c>
      <c r="BA87" s="9">
        <v>0.993333</v>
      </c>
      <c r="BB87" s="9">
        <v>0.946667</v>
      </c>
      <c r="BC87" s="9">
        <v>0.953333</v>
      </c>
      <c r="BD87" s="9">
        <v>0.96</v>
      </c>
      <c r="BE87" s="9">
        <v>0.852</v>
      </c>
      <c r="BF87" s="9">
        <v>0.85</v>
      </c>
      <c r="BG87" s="9">
        <v>0.853333</v>
      </c>
      <c r="BH87" s="6"/>
      <c r="BI87" s="6" t="str">
        <f t="shared" si="1"/>
        <v>20B_One_Acc</v>
      </c>
      <c r="BJ87" s="6" t="str">
        <f t="shared" si="2"/>
        <v>20B_Fold_Mean</v>
      </c>
      <c r="BK87" s="6" t="str">
        <f t="shared" si="3"/>
        <v>20B_Fold_Median</v>
      </c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</row>
    <row r="88" ht="15.75" customHeight="1">
      <c r="A88" s="1" t="s">
        <v>182</v>
      </c>
      <c r="B88" s="17">
        <v>277.0</v>
      </c>
      <c r="C88" s="9">
        <v>0.596491</v>
      </c>
      <c r="D88" s="9">
        <v>0.526316</v>
      </c>
      <c r="E88" s="9">
        <v>0.758772</v>
      </c>
      <c r="F88" s="9">
        <v>0.61842106</v>
      </c>
      <c r="G88" s="9">
        <v>0.649122834</v>
      </c>
      <c r="H88" s="9">
        <v>0.04386</v>
      </c>
      <c r="I88" s="9">
        <v>0.607018</v>
      </c>
      <c r="J88" s="9">
        <v>0.644737</v>
      </c>
      <c r="K88" s="9">
        <v>0.719298</v>
      </c>
      <c r="L88" s="9">
        <v>0.65350877</v>
      </c>
      <c r="M88" s="9">
        <v>0.723684</v>
      </c>
      <c r="N88" s="9">
        <v>0.723684</v>
      </c>
      <c r="O88" s="9">
        <v>0.611404</v>
      </c>
      <c r="P88" s="9">
        <v>0.596491</v>
      </c>
      <c r="Q88" s="9">
        <v>0.671053</v>
      </c>
      <c r="R88" s="9">
        <v>0.574561405</v>
      </c>
      <c r="S88" s="9">
        <v>0.54386</v>
      </c>
      <c r="T88" s="9">
        <v>0.666667</v>
      </c>
      <c r="U88" s="9">
        <v>0.707018</v>
      </c>
      <c r="V88" s="9">
        <v>0.732456</v>
      </c>
      <c r="W88" s="9">
        <v>0.72807</v>
      </c>
      <c r="X88" s="9">
        <v>0.664912</v>
      </c>
      <c r="Y88" s="9">
        <v>0.697368</v>
      </c>
      <c r="Z88" s="9">
        <v>0.75</v>
      </c>
      <c r="AA88" s="9">
        <v>0.542105263</v>
      </c>
      <c r="AB88" s="9">
        <v>0.526316</v>
      </c>
      <c r="AC88" s="9">
        <v>0.692982</v>
      </c>
      <c r="AD88" s="9">
        <v>0.585087729</v>
      </c>
      <c r="AE88" s="9">
        <v>0.640351</v>
      </c>
      <c r="AF88" s="9">
        <v>0.692982</v>
      </c>
      <c r="AG88" s="9">
        <v>0.64386</v>
      </c>
      <c r="AH88" s="9">
        <v>0.723684</v>
      </c>
      <c r="AI88" s="9">
        <v>0.714912</v>
      </c>
      <c r="AJ88" s="9">
        <v>0.731579</v>
      </c>
      <c r="AK88" s="9">
        <v>0.745614</v>
      </c>
      <c r="AL88" s="9">
        <v>0.732456</v>
      </c>
      <c r="AM88" s="9">
        <v>0.551754</v>
      </c>
      <c r="AN88" s="9">
        <v>0.548246</v>
      </c>
      <c r="AO88" s="9">
        <v>0.666667</v>
      </c>
      <c r="AP88" s="9">
        <v>0.596491235</v>
      </c>
      <c r="AQ88" s="9">
        <v>0.618421</v>
      </c>
      <c r="AR88" s="9">
        <v>0.684211</v>
      </c>
      <c r="AS88" s="9">
        <v>0.729825</v>
      </c>
      <c r="AT88" s="9">
        <v>0.72807</v>
      </c>
      <c r="AU88" s="9">
        <v>0.714912</v>
      </c>
      <c r="AV88" s="9">
        <v>0.613158</v>
      </c>
      <c r="AW88" s="9">
        <v>0.649123</v>
      </c>
      <c r="AX88" s="9">
        <v>0.70614</v>
      </c>
      <c r="AY88" s="9">
        <v>0.582456</v>
      </c>
      <c r="AZ88" s="9">
        <v>0.565789</v>
      </c>
      <c r="BA88" s="9">
        <v>0.671053</v>
      </c>
      <c r="BB88" s="9">
        <v>0.57193</v>
      </c>
      <c r="BC88" s="9">
        <v>0.548246</v>
      </c>
      <c r="BD88" s="9">
        <v>0.679825</v>
      </c>
      <c r="BE88" s="9">
        <v>0.461404</v>
      </c>
      <c r="BF88" s="9">
        <v>0.469298</v>
      </c>
      <c r="BG88" s="9">
        <v>0.583333</v>
      </c>
      <c r="BH88" s="6"/>
      <c r="BI88" s="6" t="str">
        <f t="shared" si="1"/>
        <v>5B_One_Acc</v>
      </c>
      <c r="BJ88" s="6" t="str">
        <f t="shared" si="2"/>
        <v>8VB_One_Acc</v>
      </c>
      <c r="BK88" s="6" t="str">
        <f t="shared" si="3"/>
        <v>10VB_Fold_Median</v>
      </c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</row>
    <row r="89" ht="15.75" customHeight="1">
      <c r="A89" s="1" t="s">
        <v>183</v>
      </c>
      <c r="B89" s="17">
        <v>343.0</v>
      </c>
      <c r="C89" s="9">
        <v>0.830769</v>
      </c>
      <c r="D89" s="9">
        <v>0.830769</v>
      </c>
      <c r="E89" s="9">
        <v>0.823077</v>
      </c>
      <c r="F89" s="9">
        <v>0.796923077</v>
      </c>
      <c r="G89" s="9">
        <v>0.784615397</v>
      </c>
      <c r="H89" s="9">
        <v>0.169231</v>
      </c>
      <c r="I89" s="9">
        <v>0.675385</v>
      </c>
      <c r="J89" s="9">
        <v>0.730769</v>
      </c>
      <c r="K89" s="9">
        <v>0.784615</v>
      </c>
      <c r="L89" s="9">
        <v>0.813846147</v>
      </c>
      <c r="M89" s="9">
        <v>0.846154</v>
      </c>
      <c r="N89" s="9">
        <v>0.784615</v>
      </c>
      <c r="O89" s="9">
        <v>0.787692</v>
      </c>
      <c r="P89" s="9">
        <v>0.8</v>
      </c>
      <c r="Q89" s="9">
        <v>0.792308</v>
      </c>
      <c r="R89" s="9">
        <v>0.749230766</v>
      </c>
      <c r="S89" s="9">
        <v>0.730769</v>
      </c>
      <c r="T89" s="9">
        <v>0.830769</v>
      </c>
      <c r="U89" s="9">
        <v>0.789231</v>
      </c>
      <c r="V89" s="9">
        <v>0.8</v>
      </c>
      <c r="W89" s="9">
        <v>0.838462</v>
      </c>
      <c r="X89" s="9">
        <v>0.663077</v>
      </c>
      <c r="Y89" s="9">
        <v>0.723077</v>
      </c>
      <c r="Z89" s="9">
        <v>0.838462</v>
      </c>
      <c r="AA89" s="9">
        <v>0.660000014</v>
      </c>
      <c r="AB89" s="9">
        <v>0.769231</v>
      </c>
      <c r="AC89" s="9">
        <v>0.838462</v>
      </c>
      <c r="AD89" s="9">
        <v>0.798461533</v>
      </c>
      <c r="AE89" s="9">
        <v>0.8</v>
      </c>
      <c r="AF89" s="9">
        <v>0.830769</v>
      </c>
      <c r="AG89" s="9">
        <v>0.787692</v>
      </c>
      <c r="AH89" s="9">
        <v>0.823077</v>
      </c>
      <c r="AI89" s="9">
        <v>0.746154</v>
      </c>
      <c r="AJ89" s="9">
        <v>0.64</v>
      </c>
      <c r="AK89" s="9">
        <v>0.784615</v>
      </c>
      <c r="AL89" s="9">
        <v>0.792308</v>
      </c>
      <c r="AM89" s="9">
        <v>0.796923</v>
      </c>
      <c r="AN89" s="9">
        <v>0.815385</v>
      </c>
      <c r="AO89" s="9">
        <v>0.838462</v>
      </c>
      <c r="AP89" s="9">
        <v>0.778461528</v>
      </c>
      <c r="AQ89" s="9">
        <v>0.776923</v>
      </c>
      <c r="AR89" s="9">
        <v>0.823077</v>
      </c>
      <c r="AS89" s="9">
        <v>0.624615</v>
      </c>
      <c r="AT89" s="9">
        <v>0.730769</v>
      </c>
      <c r="AU89" s="9">
        <v>0.715385</v>
      </c>
      <c r="AV89" s="9">
        <v>0.706154</v>
      </c>
      <c r="AW89" s="9">
        <v>0.707692</v>
      </c>
      <c r="AX89" s="9">
        <v>0.784615</v>
      </c>
      <c r="AY89" s="9">
        <v>0.750769</v>
      </c>
      <c r="AZ89" s="9">
        <v>0.769231</v>
      </c>
      <c r="BA89" s="9">
        <v>0.784615</v>
      </c>
      <c r="BB89" s="9">
        <v>0.724615</v>
      </c>
      <c r="BC89" s="9">
        <v>0.761538</v>
      </c>
      <c r="BD89" s="9">
        <v>0.776923</v>
      </c>
      <c r="BE89" s="9">
        <v>0.512308</v>
      </c>
      <c r="BF89" s="9">
        <v>0.507692</v>
      </c>
      <c r="BG89" s="9">
        <v>0.676923</v>
      </c>
      <c r="BH89" s="6"/>
      <c r="BI89" s="6" t="str">
        <f t="shared" si="1"/>
        <v>5VB_Fold_Median</v>
      </c>
      <c r="BJ89" s="6" t="str">
        <f t="shared" si="2"/>
        <v>8V_One_Acc</v>
      </c>
      <c r="BK89" s="6" t="str">
        <f t="shared" si="3"/>
        <v>8V_One_Acc</v>
      </c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</row>
    <row r="90" ht="15.75" customHeight="1">
      <c r="A90" s="1" t="s">
        <v>184</v>
      </c>
      <c r="B90" s="17">
        <v>275.0</v>
      </c>
      <c r="C90" s="9">
        <v>1.0</v>
      </c>
      <c r="D90" s="9">
        <v>1.0</v>
      </c>
      <c r="E90" s="9">
        <v>1.0</v>
      </c>
      <c r="F90" s="9">
        <v>0.822000003</v>
      </c>
      <c r="G90" s="9">
        <v>0.819999993</v>
      </c>
      <c r="H90" s="9">
        <v>0.25</v>
      </c>
      <c r="I90" s="9">
        <v>0.992</v>
      </c>
      <c r="J90" s="9">
        <v>0.99</v>
      </c>
      <c r="K90" s="9">
        <v>0.99</v>
      </c>
      <c r="L90" s="9">
        <v>0.982000005</v>
      </c>
      <c r="M90" s="9">
        <v>0.98</v>
      </c>
      <c r="N90" s="9">
        <v>0.99</v>
      </c>
      <c r="O90" s="9">
        <v>1.0</v>
      </c>
      <c r="P90" s="9">
        <v>1.0</v>
      </c>
      <c r="Q90" s="9">
        <v>1.0</v>
      </c>
      <c r="R90" s="9">
        <v>1.0</v>
      </c>
      <c r="S90" s="9">
        <v>1.0</v>
      </c>
      <c r="T90" s="9">
        <v>1.0</v>
      </c>
      <c r="U90" s="9">
        <v>0.966</v>
      </c>
      <c r="V90" s="9">
        <v>0.97</v>
      </c>
      <c r="W90" s="9">
        <v>0.97</v>
      </c>
      <c r="X90" s="9">
        <v>0.962</v>
      </c>
      <c r="Y90" s="9">
        <v>0.96</v>
      </c>
      <c r="Z90" s="9">
        <v>0.97</v>
      </c>
      <c r="AA90" s="9">
        <v>1.0</v>
      </c>
      <c r="AB90" s="9">
        <v>1.0</v>
      </c>
      <c r="AC90" s="9">
        <v>1.0</v>
      </c>
      <c r="AD90" s="9">
        <v>1.0</v>
      </c>
      <c r="AE90" s="9">
        <v>1.0</v>
      </c>
      <c r="AF90" s="9">
        <v>1.0</v>
      </c>
      <c r="AG90" s="9">
        <v>0.988</v>
      </c>
      <c r="AH90" s="9">
        <v>0.99</v>
      </c>
      <c r="AI90" s="9">
        <v>0.99</v>
      </c>
      <c r="AJ90" s="9">
        <v>0.988</v>
      </c>
      <c r="AK90" s="9">
        <v>0.99</v>
      </c>
      <c r="AL90" s="9">
        <v>0.99</v>
      </c>
      <c r="AM90" s="9">
        <v>1.0</v>
      </c>
      <c r="AN90" s="9">
        <v>1.0</v>
      </c>
      <c r="AO90" s="9">
        <v>1.0</v>
      </c>
      <c r="AP90" s="9">
        <v>1.0</v>
      </c>
      <c r="AQ90" s="9">
        <v>1.0</v>
      </c>
      <c r="AR90" s="9">
        <v>1.0</v>
      </c>
      <c r="AS90" s="9">
        <v>0.99</v>
      </c>
      <c r="AT90" s="9">
        <v>0.99</v>
      </c>
      <c r="AU90" s="9">
        <v>0.99</v>
      </c>
      <c r="AV90" s="9">
        <v>0.992</v>
      </c>
      <c r="AW90" s="9">
        <v>0.99</v>
      </c>
      <c r="AX90" s="9">
        <v>0.99</v>
      </c>
      <c r="AY90" s="9">
        <v>1.0</v>
      </c>
      <c r="AZ90" s="9">
        <v>1.0</v>
      </c>
      <c r="BA90" s="9">
        <v>1.0</v>
      </c>
      <c r="BB90" s="9">
        <v>1.0</v>
      </c>
      <c r="BC90" s="9">
        <v>1.0</v>
      </c>
      <c r="BD90" s="9">
        <v>1.0</v>
      </c>
      <c r="BE90" s="9">
        <v>0.546</v>
      </c>
      <c r="BF90" s="9">
        <v>0.54</v>
      </c>
      <c r="BG90" s="9">
        <v>0.47</v>
      </c>
      <c r="BH90" s="6"/>
      <c r="BI90" s="6" t="str">
        <f t="shared" si="1"/>
        <v>5B_Fold_Mean</v>
      </c>
      <c r="BJ90" s="6" t="str">
        <f t="shared" si="2"/>
        <v>5B_Fold_Mean</v>
      </c>
      <c r="BK90" s="6" t="str">
        <f t="shared" si="3"/>
        <v>5B_Fold_Mean</v>
      </c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</row>
    <row r="91" ht="15.75" customHeight="1">
      <c r="A91" s="1" t="s">
        <v>185</v>
      </c>
      <c r="B91" s="17">
        <v>82.0</v>
      </c>
      <c r="C91" s="9">
        <v>0.683231</v>
      </c>
      <c r="D91" s="9">
        <v>0.693591</v>
      </c>
      <c r="E91" s="9">
        <v>0.772608</v>
      </c>
      <c r="F91" s="9">
        <v>0.756979799</v>
      </c>
      <c r="G91" s="9">
        <v>0.755926251</v>
      </c>
      <c r="H91" s="9">
        <v>0.499561</v>
      </c>
      <c r="I91" s="9">
        <v>0.840035</v>
      </c>
      <c r="J91" s="9">
        <v>0.849868</v>
      </c>
      <c r="K91" s="9">
        <v>0.872695</v>
      </c>
      <c r="L91" s="9">
        <v>0.841088665</v>
      </c>
      <c r="M91" s="9">
        <v>0.838455</v>
      </c>
      <c r="N91" s="9">
        <v>0.854258</v>
      </c>
      <c r="O91" s="9">
        <v>0.651449</v>
      </c>
      <c r="P91" s="9">
        <v>0.673398</v>
      </c>
      <c r="Q91" s="9">
        <v>0.725198</v>
      </c>
      <c r="R91" s="9">
        <v>0.662159801</v>
      </c>
      <c r="S91" s="9">
        <v>0.652327</v>
      </c>
      <c r="T91" s="9">
        <v>0.720808</v>
      </c>
      <c r="U91" s="9">
        <v>0.747673</v>
      </c>
      <c r="V91" s="9">
        <v>0.806848</v>
      </c>
      <c r="W91" s="9">
        <v>0.837577</v>
      </c>
      <c r="X91" s="9">
        <v>0.813521</v>
      </c>
      <c r="Y91" s="9">
        <v>0.824407</v>
      </c>
      <c r="Z91" s="9">
        <v>0.845478</v>
      </c>
      <c r="AA91" s="9">
        <v>0.685162413</v>
      </c>
      <c r="AB91" s="9">
        <v>0.727831</v>
      </c>
      <c r="AC91" s="9">
        <v>0.71993</v>
      </c>
      <c r="AD91" s="9">
        <v>0.708165061</v>
      </c>
      <c r="AE91" s="9">
        <v>0.713784</v>
      </c>
      <c r="AF91" s="9">
        <v>0.757682</v>
      </c>
      <c r="AG91" s="9">
        <v>0.866374</v>
      </c>
      <c r="AH91" s="9">
        <v>0.877085</v>
      </c>
      <c r="AI91" s="9">
        <v>0.906058</v>
      </c>
      <c r="AJ91" s="9">
        <v>0.850746</v>
      </c>
      <c r="AK91" s="9">
        <v>0.85777</v>
      </c>
      <c r="AL91" s="9">
        <v>0.864794</v>
      </c>
      <c r="AM91" s="9">
        <v>0.688323</v>
      </c>
      <c r="AN91" s="9">
        <v>0.727831</v>
      </c>
      <c r="AO91" s="9">
        <v>0.737489</v>
      </c>
      <c r="AP91" s="9">
        <v>0.680948198</v>
      </c>
      <c r="AQ91" s="9">
        <v>0.690957</v>
      </c>
      <c r="AR91" s="9">
        <v>0.745391</v>
      </c>
      <c r="AS91" s="9">
        <v>0.716769</v>
      </c>
      <c r="AT91" s="9">
        <v>0.777875</v>
      </c>
      <c r="AU91" s="9">
        <v>0.833187</v>
      </c>
      <c r="AV91" s="9">
        <v>0.750132</v>
      </c>
      <c r="AW91" s="9">
        <v>0.768218</v>
      </c>
      <c r="AX91" s="9">
        <v>0.835821</v>
      </c>
      <c r="AY91" s="9">
        <v>0.697981</v>
      </c>
      <c r="AZ91" s="9">
        <v>0.732221</v>
      </c>
      <c r="BA91" s="9">
        <v>0.714662</v>
      </c>
      <c r="BB91" s="9">
        <v>0.739069</v>
      </c>
      <c r="BC91" s="9">
        <v>0.753292</v>
      </c>
      <c r="BD91" s="9">
        <v>0.774363</v>
      </c>
      <c r="BE91" s="9">
        <v>0.547147</v>
      </c>
      <c r="BF91" s="9">
        <v>0.556629</v>
      </c>
      <c r="BG91" s="9">
        <v>0.62072</v>
      </c>
      <c r="BH91" s="6"/>
      <c r="BI91" s="6" t="str">
        <f t="shared" si="1"/>
        <v>10V_One_Acc</v>
      </c>
      <c r="BJ91" s="6" t="str">
        <f t="shared" si="2"/>
        <v>10V_Fold_Median</v>
      </c>
      <c r="BK91" s="6" t="str">
        <f t="shared" si="3"/>
        <v>5V_One_Acc</v>
      </c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</row>
    <row r="92" ht="15.75" customHeight="1">
      <c r="A92" s="1" t="s">
        <v>186</v>
      </c>
      <c r="B92" s="17">
        <v>128.0</v>
      </c>
      <c r="C92" s="9">
        <v>0.51365</v>
      </c>
      <c r="D92" s="9">
        <v>0.5255</v>
      </c>
      <c r="E92" s="9">
        <v>0.4965</v>
      </c>
      <c r="F92" s="9">
        <v>0.484000003</v>
      </c>
      <c r="G92" s="9">
        <v>0.472250015</v>
      </c>
      <c r="H92" s="9">
        <v>0.25875</v>
      </c>
      <c r="I92" s="9">
        <v>0.5244</v>
      </c>
      <c r="J92" s="9">
        <v>0.55275</v>
      </c>
      <c r="K92" s="9">
        <v>0.62775</v>
      </c>
      <c r="L92" s="9">
        <v>0.541199994</v>
      </c>
      <c r="M92" s="9">
        <v>0.528</v>
      </c>
      <c r="N92" s="9">
        <v>0.602</v>
      </c>
      <c r="O92" s="9">
        <v>0.4876</v>
      </c>
      <c r="P92" s="9">
        <v>0.46825</v>
      </c>
      <c r="Q92" s="9">
        <v>0.5255</v>
      </c>
      <c r="R92" s="9">
        <v>0.460349995</v>
      </c>
      <c r="S92" s="9">
        <v>0.46875</v>
      </c>
      <c r="T92" s="9">
        <v>0.53</v>
      </c>
      <c r="U92" s="9">
        <v>0.5181</v>
      </c>
      <c r="V92" s="9">
        <v>0.60325</v>
      </c>
      <c r="W92" s="9">
        <v>0.39375</v>
      </c>
      <c r="X92" s="9">
        <v>0.48035</v>
      </c>
      <c r="Y92" s="9">
        <v>0.446</v>
      </c>
      <c r="Z92" s="9">
        <v>0.48875</v>
      </c>
      <c r="AA92" s="9">
        <v>0.481649995</v>
      </c>
      <c r="AB92" s="9">
        <v>0.4815</v>
      </c>
      <c r="AC92" s="9">
        <v>0.53875</v>
      </c>
      <c r="AD92" s="9">
        <v>0.496200001</v>
      </c>
      <c r="AE92" s="9">
        <v>0.49775</v>
      </c>
      <c r="AF92" s="9">
        <v>0.55</v>
      </c>
      <c r="AG92" s="9">
        <v>0.33525</v>
      </c>
      <c r="AH92" s="9">
        <v>0.2855</v>
      </c>
      <c r="AI92" s="9">
        <v>0.324</v>
      </c>
      <c r="AJ92" s="9">
        <v>0.3456</v>
      </c>
      <c r="AK92" s="9">
        <v>0.269</v>
      </c>
      <c r="AL92" s="9">
        <v>0.25875</v>
      </c>
      <c r="AM92" s="9">
        <v>0.4077</v>
      </c>
      <c r="AN92" s="9">
        <v>0.39425</v>
      </c>
      <c r="AO92" s="9">
        <v>0.43075</v>
      </c>
      <c r="AP92" s="9">
        <v>0.489149994</v>
      </c>
      <c r="AQ92" s="9">
        <v>0.4975</v>
      </c>
      <c r="AR92" s="9">
        <v>0.50025</v>
      </c>
      <c r="AS92" s="9">
        <v>0.40525</v>
      </c>
      <c r="AT92" s="9">
        <v>0.4195</v>
      </c>
      <c r="AU92" s="9">
        <v>0.407</v>
      </c>
      <c r="AV92" s="9">
        <v>0.3229</v>
      </c>
      <c r="AW92" s="9">
        <v>0.27725</v>
      </c>
      <c r="AX92" s="9">
        <v>0.4795</v>
      </c>
      <c r="AY92" s="9">
        <v>0.4355</v>
      </c>
      <c r="AZ92" s="9">
        <v>0.4315</v>
      </c>
      <c r="BA92" s="9">
        <v>0.53325</v>
      </c>
      <c r="BB92" s="9">
        <v>0.31495</v>
      </c>
      <c r="BC92" s="9">
        <v>0.263</v>
      </c>
      <c r="BD92" s="9">
        <v>0.25875</v>
      </c>
      <c r="BE92" s="9">
        <v>0.7824</v>
      </c>
      <c r="BF92" s="9">
        <v>0.78675</v>
      </c>
      <c r="BG92" s="9">
        <v>0.83475</v>
      </c>
      <c r="BH92" s="6"/>
      <c r="BI92" s="6" t="str">
        <f t="shared" si="1"/>
        <v>De_One_Acc</v>
      </c>
      <c r="BJ92" s="6" t="str">
        <f t="shared" si="2"/>
        <v>De_Fold_Median</v>
      </c>
      <c r="BK92" s="6" t="str">
        <f t="shared" si="3"/>
        <v>De_Fold_Mean</v>
      </c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</row>
    <row r="93" ht="15.75" customHeight="1">
      <c r="A93" s="1" t="s">
        <v>187</v>
      </c>
      <c r="B93" s="17">
        <v>150.0</v>
      </c>
      <c r="C93" s="9">
        <v>0.833333</v>
      </c>
      <c r="D93" s="9">
        <v>0.854167</v>
      </c>
      <c r="E93" s="9">
        <v>0.868056</v>
      </c>
      <c r="F93" s="9">
        <v>0.820833325</v>
      </c>
      <c r="G93" s="9">
        <v>0.819444418</v>
      </c>
      <c r="H93" s="9">
        <v>0.333333</v>
      </c>
      <c r="I93" s="9">
        <v>0.781944</v>
      </c>
      <c r="J93" s="9">
        <v>0.777778</v>
      </c>
      <c r="K93" s="9">
        <v>0.805556</v>
      </c>
      <c r="L93" s="9">
        <v>0.788888896</v>
      </c>
      <c r="M93" s="9">
        <v>0.791667</v>
      </c>
      <c r="N93" s="9">
        <v>0.826389</v>
      </c>
      <c r="O93" s="9">
        <v>0.884722</v>
      </c>
      <c r="P93" s="9">
        <v>0.881944</v>
      </c>
      <c r="Q93" s="9">
        <v>0.881944</v>
      </c>
      <c r="R93" s="9">
        <v>0.852777767</v>
      </c>
      <c r="S93" s="9">
        <v>0.861111</v>
      </c>
      <c r="T93" s="9">
        <v>0.861111</v>
      </c>
      <c r="U93" s="9">
        <v>0.888889</v>
      </c>
      <c r="V93" s="9">
        <v>0.902778</v>
      </c>
      <c r="W93" s="9">
        <v>0.930556</v>
      </c>
      <c r="X93" s="9">
        <v>0.934722</v>
      </c>
      <c r="Y93" s="9">
        <v>0.9375</v>
      </c>
      <c r="Z93" s="9">
        <v>0.965278</v>
      </c>
      <c r="AA93" s="9">
        <v>0.865277779</v>
      </c>
      <c r="AB93" s="9">
        <v>0.881944</v>
      </c>
      <c r="AC93" s="9">
        <v>0.881944</v>
      </c>
      <c r="AD93" s="9">
        <v>0.829166675</v>
      </c>
      <c r="AE93" s="9">
        <v>0.854167</v>
      </c>
      <c r="AF93" s="9">
        <v>0.881944</v>
      </c>
      <c r="AG93" s="9">
        <v>0.8625</v>
      </c>
      <c r="AH93" s="9">
        <v>0.868056</v>
      </c>
      <c r="AI93" s="9">
        <v>0.861111</v>
      </c>
      <c r="AJ93" s="9">
        <v>0.883333</v>
      </c>
      <c r="AK93" s="9">
        <v>0.881944</v>
      </c>
      <c r="AL93" s="9">
        <v>0.881944</v>
      </c>
      <c r="AM93" s="9">
        <v>0.848611</v>
      </c>
      <c r="AN93" s="9">
        <v>0.854167</v>
      </c>
      <c r="AO93" s="9">
        <v>0.875</v>
      </c>
      <c r="AP93" s="9">
        <v>0.815277779</v>
      </c>
      <c r="AQ93" s="9">
        <v>0.833333</v>
      </c>
      <c r="AR93" s="9">
        <v>0.875</v>
      </c>
      <c r="AS93" s="9">
        <v>0.848611</v>
      </c>
      <c r="AT93" s="9">
        <v>0.861111</v>
      </c>
      <c r="AU93" s="9">
        <v>0.826389</v>
      </c>
      <c r="AV93" s="9">
        <v>0.8625</v>
      </c>
      <c r="AW93" s="9">
        <v>0.861111</v>
      </c>
      <c r="AX93" s="9">
        <v>0.902778</v>
      </c>
      <c r="AY93" s="9">
        <v>0.8625</v>
      </c>
      <c r="AZ93" s="9">
        <v>0.888889</v>
      </c>
      <c r="BA93" s="9">
        <v>0.895833</v>
      </c>
      <c r="BB93" s="9">
        <v>0.859722</v>
      </c>
      <c r="BC93" s="9">
        <v>0.868056</v>
      </c>
      <c r="BD93" s="9">
        <v>0.909722</v>
      </c>
      <c r="BE93" s="9">
        <v>0.648611</v>
      </c>
      <c r="BF93" s="9">
        <v>0.631944</v>
      </c>
      <c r="BG93" s="9">
        <v>0.729167</v>
      </c>
      <c r="BH93" s="6"/>
      <c r="BI93" s="6" t="str">
        <f t="shared" si="1"/>
        <v>8VB_One_Acc</v>
      </c>
      <c r="BJ93" s="6" t="str">
        <f t="shared" si="2"/>
        <v>8VB_Fold_Median</v>
      </c>
      <c r="BK93" s="6" t="str">
        <f t="shared" si="3"/>
        <v>8VB_Fold_Mean</v>
      </c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</row>
    <row r="94" ht="15.75" customHeight="1">
      <c r="A94" s="1" t="s">
        <v>188</v>
      </c>
      <c r="B94" s="17">
        <v>945.0</v>
      </c>
      <c r="C94" s="9">
        <v>0.75014</v>
      </c>
      <c r="D94" s="9">
        <v>0.765773</v>
      </c>
      <c r="E94" s="9">
        <v>0.729202</v>
      </c>
      <c r="F94" s="9">
        <v>0.738525963</v>
      </c>
      <c r="G94" s="9">
        <v>0.746231139</v>
      </c>
      <c r="H94" s="9">
        <v>0.120882</v>
      </c>
      <c r="I94" s="9">
        <v>0.648353</v>
      </c>
      <c r="J94" s="9">
        <v>0.660804</v>
      </c>
      <c r="K94" s="9">
        <v>0.605807</v>
      </c>
      <c r="L94" s="9">
        <v>0.624343944</v>
      </c>
      <c r="M94" s="9">
        <v>0.617253</v>
      </c>
      <c r="N94" s="9">
        <v>0.800112</v>
      </c>
      <c r="O94" s="9">
        <v>0.854551</v>
      </c>
      <c r="P94" s="9">
        <v>0.855388</v>
      </c>
      <c r="Q94" s="9">
        <v>0.861809</v>
      </c>
      <c r="R94" s="9">
        <v>0.822836411</v>
      </c>
      <c r="S94" s="9">
        <v>0.840592</v>
      </c>
      <c r="T94" s="9">
        <v>0.711893</v>
      </c>
      <c r="U94" s="9">
        <v>0.743272</v>
      </c>
      <c r="V94" s="9">
        <v>0.824958</v>
      </c>
      <c r="W94" s="9">
        <v>0.729481</v>
      </c>
      <c r="X94" s="9">
        <v>0.61541</v>
      </c>
      <c r="Y94" s="9">
        <v>0.563652</v>
      </c>
      <c r="Z94" s="9">
        <v>0.646845</v>
      </c>
      <c r="AA94" s="9">
        <v>0.895365727</v>
      </c>
      <c r="AB94" s="9">
        <v>0.896706</v>
      </c>
      <c r="AC94" s="9">
        <v>0.886656</v>
      </c>
      <c r="AD94" s="9">
        <v>0.886934674</v>
      </c>
      <c r="AE94" s="9">
        <v>0.890564</v>
      </c>
      <c r="AF94" s="9">
        <v>0.896985</v>
      </c>
      <c r="AG94" s="9">
        <v>0.768565</v>
      </c>
      <c r="AH94" s="9">
        <v>0.829704</v>
      </c>
      <c r="AI94" s="9">
        <v>0.721664</v>
      </c>
      <c r="AJ94" s="9">
        <v>0.801843</v>
      </c>
      <c r="AK94" s="9">
        <v>0.828587</v>
      </c>
      <c r="AL94" s="9">
        <v>0.884701</v>
      </c>
      <c r="AM94" s="9">
        <v>0.882412</v>
      </c>
      <c r="AN94" s="9">
        <v>0.887214</v>
      </c>
      <c r="AO94" s="9">
        <v>0.882468</v>
      </c>
      <c r="AP94" s="9">
        <v>0.886543834</v>
      </c>
      <c r="AQ94" s="9">
        <v>0.886097</v>
      </c>
      <c r="AR94" s="9">
        <v>0.852596</v>
      </c>
      <c r="AS94" s="9">
        <v>0.720491</v>
      </c>
      <c r="AT94" s="9">
        <v>0.675042</v>
      </c>
      <c r="AU94" s="9">
        <v>0.80402</v>
      </c>
      <c r="AV94" s="9">
        <v>0.704411</v>
      </c>
      <c r="AW94" s="9">
        <v>0.740089</v>
      </c>
      <c r="AX94" s="9">
        <v>0.78392</v>
      </c>
      <c r="AY94" s="9">
        <v>0.886544</v>
      </c>
      <c r="AZ94" s="9">
        <v>0.888331</v>
      </c>
      <c r="BA94" s="9">
        <v>0.898939</v>
      </c>
      <c r="BB94" s="9">
        <v>0.839419</v>
      </c>
      <c r="BC94" s="9">
        <v>0.879955</v>
      </c>
      <c r="BD94" s="9">
        <v>0.911223</v>
      </c>
      <c r="BE94" s="9">
        <v>0.908934</v>
      </c>
      <c r="BF94" s="9">
        <v>0.907594</v>
      </c>
      <c r="BG94" s="9">
        <v>0.916806</v>
      </c>
      <c r="BH94" s="6"/>
      <c r="BI94" s="6" t="str">
        <f t="shared" si="1"/>
        <v>De_One_Acc</v>
      </c>
      <c r="BJ94" s="6" t="str">
        <f t="shared" si="2"/>
        <v>20V_One_Acc</v>
      </c>
      <c r="BK94" s="6" t="str">
        <f t="shared" si="3"/>
        <v>De_Fold_Mean</v>
      </c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</row>
    <row r="95" ht="15.75" customHeight="1">
      <c r="A95" s="1" t="s">
        <v>189</v>
      </c>
      <c r="B95" s="17">
        <v>152.0</v>
      </c>
      <c r="C95" s="9">
        <v>0.892116</v>
      </c>
      <c r="D95" s="9">
        <v>0.892116</v>
      </c>
      <c r="E95" s="9">
        <v>0.892116</v>
      </c>
      <c r="F95" s="9">
        <v>0.892115533</v>
      </c>
      <c r="G95" s="9">
        <v>0.892115533</v>
      </c>
      <c r="H95" s="9">
        <v>0.892116</v>
      </c>
      <c r="I95" s="9">
        <v>0.892116</v>
      </c>
      <c r="J95" s="9">
        <v>0.892116</v>
      </c>
      <c r="K95" s="9">
        <v>0.892116</v>
      </c>
      <c r="L95" s="9">
        <v>0.892115533</v>
      </c>
      <c r="M95" s="9">
        <v>0.892116</v>
      </c>
      <c r="N95" s="9">
        <v>0.892116</v>
      </c>
      <c r="O95" s="9">
        <v>0.892116</v>
      </c>
      <c r="P95" s="9">
        <v>0.892116</v>
      </c>
      <c r="Q95" s="9">
        <v>0.892116</v>
      </c>
      <c r="R95" s="9">
        <v>0.892115533</v>
      </c>
      <c r="S95" s="9">
        <v>0.892116</v>
      </c>
      <c r="T95" s="9">
        <v>0.892116</v>
      </c>
      <c r="U95" s="9">
        <v>0.892116</v>
      </c>
      <c r="V95" s="9">
        <v>0.892116</v>
      </c>
      <c r="W95" s="9">
        <v>0.892116</v>
      </c>
      <c r="X95" s="9">
        <v>0.892116</v>
      </c>
      <c r="Y95" s="9">
        <v>0.892116</v>
      </c>
      <c r="Z95" s="9">
        <v>0.892116</v>
      </c>
      <c r="AA95" s="9">
        <v>0.892115533</v>
      </c>
      <c r="AB95" s="9">
        <v>0.892116</v>
      </c>
      <c r="AC95" s="9">
        <v>0.892116</v>
      </c>
      <c r="AD95" s="9">
        <v>0.892115533</v>
      </c>
      <c r="AE95" s="9">
        <v>0.892116</v>
      </c>
      <c r="AF95" s="9">
        <v>0.892116</v>
      </c>
      <c r="AG95" s="9">
        <v>0.892116</v>
      </c>
      <c r="AH95" s="9">
        <v>0.892116</v>
      </c>
      <c r="AI95" s="9">
        <v>0.892116</v>
      </c>
      <c r="AJ95" s="9">
        <v>0.892116</v>
      </c>
      <c r="AK95" s="9">
        <v>0.892116</v>
      </c>
      <c r="AL95" s="9">
        <v>0.892116</v>
      </c>
      <c r="AM95" s="9">
        <v>0.892116</v>
      </c>
      <c r="AN95" s="9">
        <v>0.892116</v>
      </c>
      <c r="AO95" s="9">
        <v>0.892116</v>
      </c>
      <c r="AP95" s="9">
        <v>0.892115533</v>
      </c>
      <c r="AQ95" s="9">
        <v>0.892116</v>
      </c>
      <c r="AR95" s="9">
        <v>0.892116</v>
      </c>
      <c r="AS95" s="9">
        <v>0.892116</v>
      </c>
      <c r="AT95" s="9">
        <v>0.892116</v>
      </c>
      <c r="AU95" s="9">
        <v>0.892116</v>
      </c>
      <c r="AV95" s="9">
        <v>0.892116</v>
      </c>
      <c r="AW95" s="9">
        <v>0.892116</v>
      </c>
      <c r="AX95" s="9">
        <v>0.892116</v>
      </c>
      <c r="AY95" s="9">
        <v>0.892116</v>
      </c>
      <c r="AZ95" s="9">
        <v>0.892116</v>
      </c>
      <c r="BA95" s="9">
        <v>0.892116</v>
      </c>
      <c r="BB95" s="9">
        <v>0.892116</v>
      </c>
      <c r="BC95" s="9">
        <v>0.892116</v>
      </c>
      <c r="BD95" s="9">
        <v>0.892116</v>
      </c>
      <c r="BE95" s="9">
        <v>0.892116</v>
      </c>
      <c r="BF95" s="9">
        <v>0.892116</v>
      </c>
      <c r="BG95" s="9">
        <v>0.892116</v>
      </c>
      <c r="BH95" s="6"/>
      <c r="BI95" s="6" t="str">
        <f t="shared" si="1"/>
        <v>5B_Fold_Mean</v>
      </c>
      <c r="BJ95" s="6" t="str">
        <f t="shared" si="2"/>
        <v>5B_Fold_Mean</v>
      </c>
      <c r="BK95" s="6" t="str">
        <f t="shared" si="3"/>
        <v>5B_Fold_Mean</v>
      </c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</row>
    <row r="96" ht="15.75" customHeight="1">
      <c r="A96" s="1" t="s">
        <v>190</v>
      </c>
      <c r="B96" s="17">
        <v>234.0</v>
      </c>
      <c r="C96" s="9">
        <v>0.637037</v>
      </c>
      <c r="D96" s="9">
        <v>0.611111</v>
      </c>
      <c r="E96" s="9">
        <v>0.5</v>
      </c>
      <c r="F96" s="9">
        <v>0.503703701</v>
      </c>
      <c r="G96" s="9">
        <v>0.5</v>
      </c>
      <c r="H96" s="9">
        <v>0.5</v>
      </c>
      <c r="I96" s="9">
        <v>0.5</v>
      </c>
      <c r="J96" s="9">
        <v>0.5</v>
      </c>
      <c r="K96" s="9">
        <v>0.5</v>
      </c>
      <c r="L96" s="9">
        <v>0.5</v>
      </c>
      <c r="M96" s="9">
        <v>0.5</v>
      </c>
      <c r="N96" s="9">
        <v>0.5</v>
      </c>
      <c r="O96" s="9">
        <v>0.533333</v>
      </c>
      <c r="P96" s="9">
        <v>0.5</v>
      </c>
      <c r="Q96" s="9">
        <v>0.5</v>
      </c>
      <c r="R96" s="9">
        <v>0.522222221</v>
      </c>
      <c r="S96" s="9">
        <v>0.5</v>
      </c>
      <c r="T96" s="9">
        <v>0.444444</v>
      </c>
      <c r="U96" s="9">
        <v>0.5</v>
      </c>
      <c r="V96" s="9">
        <v>0.5</v>
      </c>
      <c r="W96" s="9">
        <v>0.5</v>
      </c>
      <c r="X96" s="9">
        <v>0.540741</v>
      </c>
      <c r="Y96" s="9">
        <v>0.5</v>
      </c>
      <c r="Z96" s="9">
        <v>0.5</v>
      </c>
      <c r="AA96" s="9">
        <v>0.537037039</v>
      </c>
      <c r="AB96" s="9">
        <v>0.5</v>
      </c>
      <c r="AC96" s="9">
        <v>0.5</v>
      </c>
      <c r="AD96" s="9">
        <v>0.570370364</v>
      </c>
      <c r="AE96" s="9">
        <v>0.5</v>
      </c>
      <c r="AF96" s="9">
        <v>0.5</v>
      </c>
      <c r="AG96" s="9">
        <v>0.507407</v>
      </c>
      <c r="AH96" s="9">
        <v>0.5</v>
      </c>
      <c r="AI96" s="9">
        <v>0.5</v>
      </c>
      <c r="AJ96" s="9">
        <v>0.5</v>
      </c>
      <c r="AK96" s="9">
        <v>0.5</v>
      </c>
      <c r="AL96" s="9">
        <v>0.5</v>
      </c>
      <c r="AM96" s="9">
        <v>0.496296</v>
      </c>
      <c r="AN96" s="9">
        <v>0.5</v>
      </c>
      <c r="AO96" s="9">
        <v>0.5</v>
      </c>
      <c r="AP96" s="9">
        <v>0.477777779</v>
      </c>
      <c r="AQ96" s="9">
        <v>0.5</v>
      </c>
      <c r="AR96" s="9">
        <v>0.5</v>
      </c>
      <c r="AS96" s="9">
        <v>0.474074</v>
      </c>
      <c r="AT96" s="9">
        <v>0.5</v>
      </c>
      <c r="AU96" s="9">
        <v>0.592593</v>
      </c>
      <c r="AV96" s="9">
        <v>0.5</v>
      </c>
      <c r="AW96" s="9">
        <v>0.5</v>
      </c>
      <c r="AX96" s="9">
        <v>0.5</v>
      </c>
      <c r="AY96" s="9">
        <v>0.511111</v>
      </c>
      <c r="AZ96" s="9">
        <v>0.5</v>
      </c>
      <c r="BA96" s="9">
        <v>0.5</v>
      </c>
      <c r="BB96" s="9">
        <v>0.5</v>
      </c>
      <c r="BC96" s="9">
        <v>0.5</v>
      </c>
      <c r="BD96" s="9">
        <v>0.5</v>
      </c>
      <c r="BE96" s="9">
        <v>0.5</v>
      </c>
      <c r="BF96" s="9">
        <v>0.5</v>
      </c>
      <c r="BG96" s="9">
        <v>0.5</v>
      </c>
      <c r="BH96" s="6"/>
      <c r="BI96" s="6" t="str">
        <f t="shared" si="1"/>
        <v>5B_Fold_Mean</v>
      </c>
      <c r="BJ96" s="6" t="str">
        <f t="shared" si="2"/>
        <v>5B_Fold_Median</v>
      </c>
      <c r="BK96" s="6" t="str">
        <f t="shared" si="3"/>
        <v>12V_One_Acc</v>
      </c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</row>
    <row r="97" ht="15.75" customHeight="1">
      <c r="A97" s="1" t="s">
        <v>191</v>
      </c>
      <c r="B97" s="17">
        <v>270.0</v>
      </c>
      <c r="C97" s="9">
        <v>0.400627</v>
      </c>
      <c r="D97" s="9">
        <v>0.399687</v>
      </c>
      <c r="E97" s="9">
        <v>0.423197</v>
      </c>
      <c r="F97" s="9">
        <v>0.421003127</v>
      </c>
      <c r="G97" s="9">
        <v>0.4106583</v>
      </c>
      <c r="H97" s="9">
        <v>0.219436</v>
      </c>
      <c r="I97" s="9">
        <v>0.382759</v>
      </c>
      <c r="J97" s="9">
        <v>0.393417</v>
      </c>
      <c r="K97" s="9">
        <v>0.402821</v>
      </c>
      <c r="L97" s="9">
        <v>0.384952974</v>
      </c>
      <c r="M97" s="9">
        <v>0.382445</v>
      </c>
      <c r="N97" s="9">
        <v>0.401254</v>
      </c>
      <c r="O97" s="9">
        <v>0.434796</v>
      </c>
      <c r="P97" s="9">
        <v>0.420063</v>
      </c>
      <c r="Q97" s="9">
        <v>0.478056</v>
      </c>
      <c r="R97" s="9">
        <v>0.433228844</v>
      </c>
      <c r="S97" s="9">
        <v>0.4279</v>
      </c>
      <c r="T97" s="9">
        <v>0.473354</v>
      </c>
      <c r="U97" s="9">
        <v>0.394671</v>
      </c>
      <c r="V97" s="9">
        <v>0.407524</v>
      </c>
      <c r="W97" s="9">
        <v>0.368339</v>
      </c>
      <c r="X97" s="9">
        <v>0.387774</v>
      </c>
      <c r="Y97" s="9">
        <v>0.394984</v>
      </c>
      <c r="Z97" s="9">
        <v>0.46395</v>
      </c>
      <c r="AA97" s="9">
        <v>0.43573668</v>
      </c>
      <c r="AB97" s="9">
        <v>0.437304</v>
      </c>
      <c r="AC97" s="9">
        <v>0.420063</v>
      </c>
      <c r="AD97" s="9">
        <v>0.431661439</v>
      </c>
      <c r="AE97" s="9">
        <v>0.437304</v>
      </c>
      <c r="AF97" s="9">
        <v>0.474922</v>
      </c>
      <c r="AG97" s="9">
        <v>0.374295</v>
      </c>
      <c r="AH97" s="9">
        <v>0.358934</v>
      </c>
      <c r="AI97" s="9">
        <v>0.432602</v>
      </c>
      <c r="AJ97" s="9">
        <v>0.387774</v>
      </c>
      <c r="AK97" s="9">
        <v>0.42163</v>
      </c>
      <c r="AL97" s="9">
        <v>0.426332</v>
      </c>
      <c r="AM97" s="9">
        <v>0.426019</v>
      </c>
      <c r="AN97" s="9">
        <v>0.420063</v>
      </c>
      <c r="AO97" s="9">
        <v>0.470219</v>
      </c>
      <c r="AP97" s="9">
        <v>0.441379303</v>
      </c>
      <c r="AQ97" s="9">
        <v>0.452978</v>
      </c>
      <c r="AR97" s="9">
        <v>0.487461</v>
      </c>
      <c r="AS97" s="9">
        <v>0.391223</v>
      </c>
      <c r="AT97" s="9">
        <v>0.380878</v>
      </c>
      <c r="AU97" s="9">
        <v>0.380878</v>
      </c>
      <c r="AV97" s="9">
        <v>0.401881</v>
      </c>
      <c r="AW97" s="9">
        <v>0.407524</v>
      </c>
      <c r="AX97" s="9">
        <v>0.409091</v>
      </c>
      <c r="AY97" s="9">
        <v>0.422884</v>
      </c>
      <c r="AZ97" s="9">
        <v>0.410658</v>
      </c>
      <c r="BA97" s="9">
        <v>0.393417</v>
      </c>
      <c r="BB97" s="9">
        <v>0.384639</v>
      </c>
      <c r="BC97" s="9">
        <v>0.407524</v>
      </c>
      <c r="BD97" s="9">
        <v>0.442006</v>
      </c>
      <c r="BE97" s="9">
        <v>0.389969</v>
      </c>
      <c r="BF97" s="9">
        <v>0.396552</v>
      </c>
      <c r="BG97" s="9">
        <v>0.420063</v>
      </c>
      <c r="BH97" s="6"/>
      <c r="BI97" s="6" t="str">
        <f t="shared" si="1"/>
        <v>12BN_One_Acc</v>
      </c>
      <c r="BJ97" s="6" t="str">
        <f t="shared" si="2"/>
        <v>8B_One_Acc</v>
      </c>
      <c r="BK97" s="6" t="str">
        <f t="shared" si="3"/>
        <v>10BN_One_Acc</v>
      </c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</row>
    <row r="98" ht="15.75" customHeight="1">
      <c r="A98" s="1" t="s">
        <v>192</v>
      </c>
      <c r="B98" s="17">
        <v>900.0</v>
      </c>
      <c r="C98" s="9">
        <v>0.493506</v>
      </c>
      <c r="D98" s="9">
        <v>0.506494</v>
      </c>
      <c r="E98" s="9">
        <v>0.493506</v>
      </c>
      <c r="F98" s="9">
        <v>0.472727263</v>
      </c>
      <c r="G98" s="9">
        <v>0.467532456</v>
      </c>
      <c r="H98" s="9">
        <v>0.428571</v>
      </c>
      <c r="I98" s="9">
        <v>0.483117</v>
      </c>
      <c r="J98" s="9">
        <v>0.480519</v>
      </c>
      <c r="K98" s="9">
        <v>0.545455</v>
      </c>
      <c r="L98" s="9">
        <v>0.477922088</v>
      </c>
      <c r="M98" s="9">
        <v>0.454545</v>
      </c>
      <c r="N98" s="9">
        <v>0.506494</v>
      </c>
      <c r="O98" s="9">
        <v>0.464935</v>
      </c>
      <c r="P98" s="9">
        <v>0.493506</v>
      </c>
      <c r="Q98" s="9">
        <v>0.454545</v>
      </c>
      <c r="R98" s="9">
        <v>0.483116889</v>
      </c>
      <c r="S98" s="9">
        <v>0.519481</v>
      </c>
      <c r="T98" s="9">
        <v>0.519481</v>
      </c>
      <c r="U98" s="9">
        <v>0.496104</v>
      </c>
      <c r="V98" s="9">
        <v>0.519481</v>
      </c>
      <c r="W98" s="9">
        <v>0.480519</v>
      </c>
      <c r="X98" s="9">
        <v>0.47013</v>
      </c>
      <c r="Y98" s="9">
        <v>0.454545</v>
      </c>
      <c r="Z98" s="9">
        <v>0.441558</v>
      </c>
      <c r="AA98" s="9">
        <v>0.477922076</v>
      </c>
      <c r="AB98" s="9">
        <v>0.480519</v>
      </c>
      <c r="AC98" s="9">
        <v>0.467532</v>
      </c>
      <c r="AD98" s="9">
        <v>0.490909088</v>
      </c>
      <c r="AE98" s="9">
        <v>0.480519</v>
      </c>
      <c r="AF98" s="9">
        <v>0.454545</v>
      </c>
      <c r="AG98" s="9">
        <v>0.490909</v>
      </c>
      <c r="AH98" s="9">
        <v>0.493506</v>
      </c>
      <c r="AI98" s="9">
        <v>0.493506</v>
      </c>
      <c r="AJ98" s="9">
        <v>0.451948</v>
      </c>
      <c r="AK98" s="9">
        <v>0.454545</v>
      </c>
      <c r="AL98" s="9">
        <v>0.402597</v>
      </c>
      <c r="AM98" s="9">
        <v>0.496104</v>
      </c>
      <c r="AN98" s="9">
        <v>0.519481</v>
      </c>
      <c r="AO98" s="9">
        <v>0.61039</v>
      </c>
      <c r="AP98" s="9">
        <v>0.516883123</v>
      </c>
      <c r="AQ98" s="9">
        <v>0.519481</v>
      </c>
      <c r="AR98" s="9">
        <v>0.584416</v>
      </c>
      <c r="AS98" s="9">
        <v>0.480519</v>
      </c>
      <c r="AT98" s="9">
        <v>0.480519</v>
      </c>
      <c r="AU98" s="9">
        <v>0.506494</v>
      </c>
      <c r="AV98" s="9">
        <v>0.464935</v>
      </c>
      <c r="AW98" s="9">
        <v>0.467532</v>
      </c>
      <c r="AX98" s="9">
        <v>0.428571</v>
      </c>
      <c r="AY98" s="9">
        <v>0.498701</v>
      </c>
      <c r="AZ98" s="9">
        <v>0.493506</v>
      </c>
      <c r="BA98" s="9">
        <v>0.506494</v>
      </c>
      <c r="BB98" s="9">
        <v>0.472727</v>
      </c>
      <c r="BC98" s="9">
        <v>0.480519</v>
      </c>
      <c r="BD98" s="9">
        <v>0.584416</v>
      </c>
      <c r="BE98" s="9">
        <v>0.428571</v>
      </c>
      <c r="BF98" s="9">
        <v>0.428571</v>
      </c>
      <c r="BG98" s="9">
        <v>0.428571</v>
      </c>
      <c r="BH98" s="6"/>
      <c r="BI98" s="6" t="str">
        <f t="shared" si="1"/>
        <v>12B_One_Acc</v>
      </c>
      <c r="BJ98" s="6" t="str">
        <f t="shared" si="2"/>
        <v>12BN_One_Acc</v>
      </c>
      <c r="BK98" s="6" t="str">
        <f t="shared" si="3"/>
        <v>12BN_One_Acc</v>
      </c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</row>
    <row r="99" ht="15.75" customHeight="1">
      <c r="A99" s="1" t="s">
        <v>193</v>
      </c>
      <c r="B99" s="17">
        <v>900.0</v>
      </c>
      <c r="C99" s="9">
        <v>0.592208</v>
      </c>
      <c r="D99" s="9">
        <v>0.61039</v>
      </c>
      <c r="E99" s="9">
        <v>0.61039</v>
      </c>
      <c r="F99" s="9">
        <v>0.594805193</v>
      </c>
      <c r="G99" s="9">
        <v>0.61038959</v>
      </c>
      <c r="H99" s="9">
        <v>0.584416</v>
      </c>
      <c r="I99" s="9">
        <v>0.558442</v>
      </c>
      <c r="J99" s="9">
        <v>0.571429</v>
      </c>
      <c r="K99" s="9">
        <v>0.558442</v>
      </c>
      <c r="L99" s="9">
        <v>0.584415591</v>
      </c>
      <c r="M99" s="9">
        <v>0.571429</v>
      </c>
      <c r="N99" s="9">
        <v>0.597403</v>
      </c>
      <c r="O99" s="9">
        <v>0.58961</v>
      </c>
      <c r="P99" s="9">
        <v>0.597403</v>
      </c>
      <c r="Q99" s="9">
        <v>0.597403</v>
      </c>
      <c r="R99" s="9">
        <v>0.597402596</v>
      </c>
      <c r="S99" s="9">
        <v>0.597403</v>
      </c>
      <c r="T99" s="9">
        <v>0.571429</v>
      </c>
      <c r="U99" s="9">
        <v>0.558442</v>
      </c>
      <c r="V99" s="9">
        <v>0.558442</v>
      </c>
      <c r="W99" s="9">
        <v>0.571429</v>
      </c>
      <c r="X99" s="9">
        <v>0.561039</v>
      </c>
      <c r="Y99" s="9">
        <v>0.558442</v>
      </c>
      <c r="Z99" s="9">
        <v>0.571429</v>
      </c>
      <c r="AA99" s="9">
        <v>0.610389602</v>
      </c>
      <c r="AB99" s="9">
        <v>0.623377</v>
      </c>
      <c r="AC99" s="9">
        <v>0.649351</v>
      </c>
      <c r="AD99" s="9">
        <v>0.605194807</v>
      </c>
      <c r="AE99" s="9">
        <v>0.584416</v>
      </c>
      <c r="AF99" s="9">
        <v>0.649351</v>
      </c>
      <c r="AG99" s="9">
        <v>0.568831</v>
      </c>
      <c r="AH99" s="9">
        <v>0.558442</v>
      </c>
      <c r="AI99" s="9">
        <v>0.532468</v>
      </c>
      <c r="AJ99" s="9">
        <v>0.545455</v>
      </c>
      <c r="AK99" s="9">
        <v>0.545455</v>
      </c>
      <c r="AL99" s="9">
        <v>0.597403</v>
      </c>
      <c r="AM99" s="9">
        <v>0.623377</v>
      </c>
      <c r="AN99" s="9">
        <v>0.636364</v>
      </c>
      <c r="AO99" s="9">
        <v>0.688312</v>
      </c>
      <c r="AP99" s="9">
        <v>0.625974011</v>
      </c>
      <c r="AQ99" s="9">
        <v>0.623377</v>
      </c>
      <c r="AR99" s="9">
        <v>0.662338</v>
      </c>
      <c r="AS99" s="9">
        <v>0.605195</v>
      </c>
      <c r="AT99" s="9">
        <v>0.61039</v>
      </c>
      <c r="AU99" s="9">
        <v>0.623377</v>
      </c>
      <c r="AV99" s="9">
        <v>0.612987</v>
      </c>
      <c r="AW99" s="9">
        <v>0.597403</v>
      </c>
      <c r="AX99" s="9">
        <v>0.584416</v>
      </c>
      <c r="AY99" s="9">
        <v>0.587013</v>
      </c>
      <c r="AZ99" s="9">
        <v>0.597403</v>
      </c>
      <c r="BA99" s="9">
        <v>0.61039</v>
      </c>
      <c r="BB99" s="9">
        <v>0.620779</v>
      </c>
      <c r="BC99" s="9">
        <v>0.623377</v>
      </c>
      <c r="BD99" s="9">
        <v>0.649351</v>
      </c>
      <c r="BE99" s="9">
        <v>0.571429</v>
      </c>
      <c r="BF99" s="9">
        <v>0.571429</v>
      </c>
      <c r="BG99" s="9">
        <v>0.571429</v>
      </c>
      <c r="BH99" s="6"/>
      <c r="BI99" s="6" t="str">
        <f t="shared" si="1"/>
        <v>12B_One_Acc</v>
      </c>
      <c r="BJ99" s="6" t="str">
        <f t="shared" si="2"/>
        <v>12BN_One_Acc</v>
      </c>
      <c r="BK99" s="6" t="str">
        <f t="shared" si="3"/>
        <v>10B_One_Acc</v>
      </c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</row>
    <row r="100" ht="15.75" customHeight="1">
      <c r="A100" s="1" t="s">
        <v>194</v>
      </c>
      <c r="B100" s="17">
        <v>426.0</v>
      </c>
      <c r="C100" s="9">
        <v>0.699467</v>
      </c>
      <c r="D100" s="9">
        <v>0.704</v>
      </c>
      <c r="E100" s="9">
        <v>0.709667</v>
      </c>
      <c r="F100" s="9">
        <v>0.698200011</v>
      </c>
      <c r="G100" s="9">
        <v>0.702000022</v>
      </c>
      <c r="H100" s="9">
        <v>0.535667</v>
      </c>
      <c r="I100" s="9">
        <v>0.7544</v>
      </c>
      <c r="J100" s="9">
        <v>0.752</v>
      </c>
      <c r="K100" s="9">
        <v>0.781667</v>
      </c>
      <c r="L100" s="9">
        <v>0.753133333</v>
      </c>
      <c r="M100" s="9">
        <v>0.753667</v>
      </c>
      <c r="N100" s="9">
        <v>0.767</v>
      </c>
      <c r="O100" s="9">
        <v>0.705933</v>
      </c>
      <c r="P100" s="9">
        <v>0.705667</v>
      </c>
      <c r="Q100" s="9">
        <v>0.751</v>
      </c>
      <c r="R100" s="9">
        <v>0.729999995</v>
      </c>
      <c r="S100" s="9">
        <v>0.732</v>
      </c>
      <c r="T100" s="9">
        <v>0.746333</v>
      </c>
      <c r="U100" s="9">
        <v>0.744333</v>
      </c>
      <c r="V100" s="9">
        <v>0.748333</v>
      </c>
      <c r="W100" s="9">
        <v>0.797667</v>
      </c>
      <c r="X100" s="9">
        <v>0.740267</v>
      </c>
      <c r="Y100" s="9">
        <v>0.753</v>
      </c>
      <c r="Z100" s="9">
        <v>0.773667</v>
      </c>
      <c r="AA100" s="9">
        <v>0.749066663</v>
      </c>
      <c r="AB100" s="9">
        <v>0.749667</v>
      </c>
      <c r="AC100" s="9">
        <v>0.763</v>
      </c>
      <c r="AD100" s="9">
        <v>0.7454</v>
      </c>
      <c r="AE100" s="9">
        <v>0.745667</v>
      </c>
      <c r="AF100" s="9">
        <v>0.768</v>
      </c>
      <c r="AG100" s="9">
        <v>0.769533</v>
      </c>
      <c r="AH100" s="9">
        <v>0.763333</v>
      </c>
      <c r="AI100" s="9">
        <v>0.802667</v>
      </c>
      <c r="AJ100" s="9">
        <v>0.780933</v>
      </c>
      <c r="AK100" s="9">
        <v>0.779</v>
      </c>
      <c r="AL100" s="9">
        <v>0.81</v>
      </c>
      <c r="AM100" s="9">
        <v>0.751933</v>
      </c>
      <c r="AN100" s="9">
        <v>0.756</v>
      </c>
      <c r="AO100" s="9">
        <v>0.778333</v>
      </c>
      <c r="AP100" s="9">
        <v>0.756666672</v>
      </c>
      <c r="AQ100" s="9">
        <v>0.755</v>
      </c>
      <c r="AR100" s="9">
        <v>0.775</v>
      </c>
      <c r="AS100" s="9">
        <v>0.759667</v>
      </c>
      <c r="AT100" s="9">
        <v>0.762333</v>
      </c>
      <c r="AU100" s="9">
        <v>0.799333</v>
      </c>
      <c r="AV100" s="9">
        <v>0.775133</v>
      </c>
      <c r="AW100" s="9">
        <v>0.773667</v>
      </c>
      <c r="AX100" s="9">
        <v>0.802333</v>
      </c>
      <c r="AY100" s="9">
        <v>0.767333</v>
      </c>
      <c r="AZ100" s="9">
        <v>0.764</v>
      </c>
      <c r="BA100" s="9">
        <v>0.796333</v>
      </c>
      <c r="BB100" s="9">
        <v>0.780733</v>
      </c>
      <c r="BC100" s="9">
        <v>0.780667</v>
      </c>
      <c r="BD100" s="9">
        <v>0.805333</v>
      </c>
      <c r="BE100" s="9">
        <v>0.5972</v>
      </c>
      <c r="BF100" s="9">
        <v>0.599</v>
      </c>
      <c r="BG100" s="9">
        <v>0.650333</v>
      </c>
      <c r="BH100" s="6"/>
      <c r="BI100" s="6" t="str">
        <f t="shared" si="1"/>
        <v>10VB_One_Acc</v>
      </c>
      <c r="BJ100" s="6" t="str">
        <f t="shared" si="2"/>
        <v>20V_One_Acc</v>
      </c>
      <c r="BK100" s="6" t="str">
        <f t="shared" si="3"/>
        <v>10V_One_Acc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</row>
    <row r="101" ht="15.75" customHeight="1">
      <c r="A101" s="15"/>
      <c r="B101" s="15"/>
      <c r="I101" s="1"/>
      <c r="J101" s="1"/>
      <c r="K101" s="1"/>
      <c r="O101" s="1"/>
      <c r="P101" s="1"/>
      <c r="Q101" s="1"/>
      <c r="R101" s="1"/>
      <c r="S101" s="1"/>
      <c r="T101" s="1"/>
      <c r="W101" s="1"/>
      <c r="AA101" s="1"/>
      <c r="AB101" s="1"/>
      <c r="AC101" s="1"/>
      <c r="AD101" s="1"/>
      <c r="AE101" s="1"/>
      <c r="AG101" s="1"/>
      <c r="AH101" s="1"/>
      <c r="AI101" s="1"/>
      <c r="AM101" s="1"/>
      <c r="AN101" s="1"/>
      <c r="AO101" s="1"/>
      <c r="AP101" s="1"/>
      <c r="AQ101" s="1"/>
      <c r="AR101" s="1"/>
      <c r="AU101" s="1"/>
      <c r="AY101" s="1"/>
      <c r="AZ101" s="1"/>
      <c r="BA101" s="1"/>
      <c r="BB101" s="1"/>
      <c r="BC101" s="1"/>
    </row>
    <row r="102" ht="15.75" customHeight="1">
      <c r="A102" s="15"/>
      <c r="B102" s="15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ht="15.75" customHeight="1">
      <c r="A103" s="15"/>
      <c r="B103" s="15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ht="15.75" customHeight="1">
      <c r="A104" s="15"/>
      <c r="B104" s="1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ht="15.75" customHeight="1">
      <c r="A105" s="15"/>
      <c r="B105" s="1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ht="15.75" customHeight="1">
      <c r="A106" s="15"/>
      <c r="B106" s="1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ht="15.75" customHeight="1"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ht="15.75" customHeight="1"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ht="15.75" customHeight="1"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ht="15.75" customHeight="1"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ht="15.75" customHeight="1"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ht="15.75" customHeight="1"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ht="15.75" customHeight="1"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ht="15.75" customHeight="1"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ht="15.75" customHeight="1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ht="15.75" customHeight="1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ht="15.75" customHeight="1"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ht="15.75" customHeight="1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ht="15.75" customHeight="1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ht="15.75" customHeight="1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ht="15.75" customHeight="1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ht="15.75" customHeight="1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ht="15.75" customHeight="1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ht="15.75" customHeight="1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ht="15.75" customHeight="1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ht="15.75" customHeight="1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ht="15.75" customHeight="1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ht="15.75" customHeight="1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ht="15.75" customHeight="1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ht="15.75" customHeight="1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ht="15.75" customHeight="1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ht="15.75" customHeight="1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ht="15.75" customHeight="1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ht="15.75" customHeight="1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ht="15.75" customHeight="1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ht="15.75" customHeight="1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ht="15.75" customHeight="1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ht="15.75" customHeight="1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ht="15.75" customHeight="1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ht="15.75" customHeight="1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ht="15.75" customHeight="1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ht="15.75" customHeight="1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ht="15.75" customHeight="1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ht="15.75" customHeight="1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ht="15.75" customHeight="1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ht="15.75" customHeight="1"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ht="15.75" customHeight="1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ht="15.75" customHeight="1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ht="15.75" customHeight="1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ht="15.75" customHeight="1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ht="15.75" customHeight="1"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ht="15.75" customHeight="1"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ht="15.75" customHeight="1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ht="15.75" customHeight="1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ht="15.75" customHeight="1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ht="15.75" customHeight="1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ht="15.75" customHeight="1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ht="15.75" customHeight="1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ht="15.75" customHeight="1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ht="15.75" customHeight="1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ht="15.75" customHeight="1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ht="15.75" customHeight="1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ht="15.75" customHeight="1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ht="15.75" customHeight="1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ht="15.75" customHeight="1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ht="15.75" customHeight="1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ht="15.75" customHeight="1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ht="15.75" customHeight="1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ht="15.75" customHeight="1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ht="15.75" customHeight="1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ht="15.75" customHeight="1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ht="15.75" customHeight="1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ht="15.75" customHeight="1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ht="15.75" customHeight="1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ht="15.75" customHeight="1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ht="15.75" customHeight="1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ht="15.75" customHeight="1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ht="15.75" customHeight="1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ht="15.75" customHeight="1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ht="15.75" customHeight="1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ht="15.75" customHeight="1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ht="15.75" customHeight="1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ht="15.75" customHeight="1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ht="15.75" customHeight="1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ht="15.75" customHeight="1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ht="15.75" customHeight="1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ht="15.75" customHeight="1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ht="15.75" customHeight="1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ht="15.75" customHeight="1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ht="15.75" customHeight="1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ht="15.75" customHeight="1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ht="15.75" customHeight="1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ht="15.75" customHeight="1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ht="15.75" customHeight="1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ht="15.75" customHeight="1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ht="15.75" customHeight="1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ht="15.75" customHeight="1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ht="15.75" customHeight="1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ht="15.75" customHeight="1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ht="15.75" customHeight="1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ht="15.75" customHeight="1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ht="15.75" customHeight="1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ht="15.75" customHeight="1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ht="15.75" customHeight="1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ht="15.75" customHeight="1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ht="15.75" customHeight="1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ht="15.75" customHeight="1"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ht="15.75" customHeight="1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ht="15.75" customHeight="1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ht="15.75" customHeight="1"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ht="15.75" customHeight="1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ht="15.75" customHeight="1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ht="15.75" customHeight="1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ht="15.75" customHeight="1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ht="15.75" customHeight="1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ht="15.75" customHeight="1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ht="15.75" customHeight="1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ht="15.75" customHeight="1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ht="15.75" customHeight="1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ht="15.75" customHeight="1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ht="15.75" customHeight="1"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ht="15.75" customHeight="1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ht="15.75" customHeight="1"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ht="15.75" customHeight="1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ht="15.75" customHeight="1"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ht="15.75" customHeight="1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ht="15.75" customHeight="1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ht="15.75" customHeight="1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ht="15.75" customHeight="1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ht="15.75" customHeight="1"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ht="15.75" customHeight="1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ht="15.75" customHeight="1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ht="15.75" customHeight="1"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ht="15.75" customHeight="1"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ht="15.75" customHeight="1"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ht="15.75" customHeight="1"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ht="15.75" customHeight="1"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ht="15.75" customHeight="1"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ht="15.75" customHeight="1"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ht="15.75" customHeight="1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ht="15.75" customHeight="1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ht="15.75" customHeight="1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ht="15.75" customHeight="1"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ht="15.75" customHeight="1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ht="15.75" customHeight="1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ht="15.75" customHeight="1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ht="15.75" customHeight="1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ht="15.75" customHeight="1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ht="15.75" customHeight="1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ht="15.75" customHeight="1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ht="15.75" customHeight="1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ht="15.75" customHeight="1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ht="15.75" customHeight="1"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ht="15.75" customHeight="1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ht="15.75" customHeight="1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ht="15.75" customHeight="1"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ht="15.75" customHeight="1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ht="15.75" customHeight="1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ht="15.75" customHeight="1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ht="15.75" customHeight="1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ht="15.75" customHeight="1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ht="15.75" customHeight="1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ht="15.75" customHeight="1"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ht="15.75" customHeight="1"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ht="15.75" customHeight="1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ht="15.75" customHeight="1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ht="15.75" customHeight="1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ht="15.75" customHeight="1"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ht="15.75" customHeight="1"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ht="15.75" customHeight="1"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ht="15.75" customHeight="1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ht="15.75" customHeight="1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ht="15.75" customHeight="1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ht="15.75" customHeight="1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ht="15.75" customHeight="1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ht="15.75" customHeight="1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ht="15.75" customHeight="1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ht="15.75" customHeight="1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ht="15.75" customHeight="1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ht="15.75" customHeight="1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ht="15.75" customHeight="1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ht="15.75" customHeight="1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ht="15.75" customHeight="1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ht="15.75" customHeight="1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ht="15.75" customHeight="1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ht="15.75" customHeight="1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ht="15.75" customHeight="1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ht="15.75" customHeight="1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ht="15.75" customHeight="1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ht="15.75" customHeight="1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ht="15.75" customHeight="1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ht="15.75" customHeight="1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ht="15.75" customHeight="1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ht="15.75" customHeight="1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ht="15.75" customHeight="1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ht="15.75" customHeight="1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ht="15.75" customHeight="1"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ht="15.75" customHeight="1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ht="15.75" customHeight="1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ht="15.75" customHeight="1"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C1:E1"/>
    <mergeCell ref="F1:H1"/>
    <mergeCell ref="I1:K1"/>
    <mergeCell ref="L1:N1"/>
    <mergeCell ref="O1:Q1"/>
    <mergeCell ref="R1:T1"/>
    <mergeCell ref="U1:W1"/>
    <mergeCell ref="AS1:AU1"/>
    <mergeCell ref="AV1:AX1"/>
    <mergeCell ref="AY1:BA1"/>
    <mergeCell ref="BB1:BD1"/>
    <mergeCell ref="BE1:BG1"/>
    <mergeCell ref="X1:Z1"/>
    <mergeCell ref="AA1:AC1"/>
    <mergeCell ref="AD1:AF1"/>
    <mergeCell ref="AG1:AI1"/>
    <mergeCell ref="AJ1:AL1"/>
    <mergeCell ref="AM1:AO1"/>
    <mergeCell ref="AP1:AR1"/>
  </mergeCells>
  <conditionalFormatting sqref="BI1:BK1000">
    <cfRule type="containsText" dxfId="3" priority="1" operator="containsText" text="Fold">
      <formula>NOT(ISERROR(SEARCH(("Fold"),(BI1))))</formula>
    </cfRule>
  </conditionalFormatting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10.38"/>
    <col customWidth="1" min="2" max="2" width="8.8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38"/>
    <col customWidth="1" min="13" max="13" width="17.75"/>
    <col customWidth="1" min="16" max="16" width="14.38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38"/>
    <col customWidth="1" min="38" max="38" width="13.88"/>
    <col customWidth="1" min="40" max="40" width="14.38"/>
    <col customWidth="1" min="42" max="42" width="13.38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38"/>
    <col customWidth="1" min="67" max="67" width="22.38"/>
    <col customWidth="1" min="68" max="68" width="17.38"/>
    <col customWidth="1" min="69" max="69" width="22.0"/>
    <col customWidth="1" min="73" max="73" width="79.63"/>
  </cols>
  <sheetData>
    <row r="1" ht="15.75" customHeight="1">
      <c r="A1" s="1" t="s">
        <v>0</v>
      </c>
      <c r="B1" s="1" t="s">
        <v>212</v>
      </c>
      <c r="C1" s="3" t="s">
        <v>2</v>
      </c>
      <c r="F1" s="3" t="s">
        <v>3</v>
      </c>
      <c r="I1" s="3" t="s">
        <v>4</v>
      </c>
      <c r="L1" s="3" t="s">
        <v>5</v>
      </c>
      <c r="O1" s="3" t="s">
        <v>6</v>
      </c>
      <c r="R1" s="3" t="s">
        <v>7</v>
      </c>
      <c r="U1" s="3" t="s">
        <v>8</v>
      </c>
      <c r="X1" s="3" t="s">
        <v>9</v>
      </c>
      <c r="AA1" s="3" t="s">
        <v>10</v>
      </c>
      <c r="AD1" s="3" t="s">
        <v>11</v>
      </c>
      <c r="AG1" s="3" t="s">
        <v>12</v>
      </c>
      <c r="AJ1" s="3" t="s">
        <v>13</v>
      </c>
      <c r="AM1" s="3" t="s">
        <v>14</v>
      </c>
      <c r="AP1" s="3" t="s">
        <v>15</v>
      </c>
      <c r="AS1" s="3" t="s">
        <v>16</v>
      </c>
      <c r="AV1" s="3" t="s">
        <v>17</v>
      </c>
      <c r="AY1" s="3" t="s">
        <v>18</v>
      </c>
      <c r="BB1" s="3" t="s">
        <v>19</v>
      </c>
      <c r="BE1" s="3" t="s">
        <v>20</v>
      </c>
      <c r="BH1" s="1"/>
      <c r="BJ1" s="1"/>
      <c r="BK1" s="1"/>
      <c r="BL1" s="1"/>
      <c r="BM1" s="1"/>
      <c r="BN1" s="1"/>
      <c r="BO1" s="1"/>
      <c r="BR1" s="1"/>
      <c r="BS1" s="1"/>
      <c r="BT1" s="1"/>
      <c r="BV1" s="1"/>
      <c r="BW1" s="1"/>
      <c r="BX1" s="1"/>
    </row>
    <row r="2" ht="15.75" customHeight="1">
      <c r="A2" s="1"/>
      <c r="B2" s="1"/>
      <c r="C2" s="1" t="s">
        <v>21</v>
      </c>
      <c r="D2" s="1" t="s">
        <v>22</v>
      </c>
      <c r="E2" s="4" t="s">
        <v>23</v>
      </c>
      <c r="F2" s="1" t="s">
        <v>24</v>
      </c>
      <c r="G2" s="1" t="s">
        <v>25</v>
      </c>
      <c r="H2" s="4" t="s">
        <v>26</v>
      </c>
      <c r="I2" s="1" t="s">
        <v>27</v>
      </c>
      <c r="J2" s="1" t="s">
        <v>28</v>
      </c>
      <c r="K2" s="5" t="s">
        <v>29</v>
      </c>
      <c r="L2" s="1" t="s">
        <v>30</v>
      </c>
      <c r="M2" s="1" t="s">
        <v>31</v>
      </c>
      <c r="N2" s="5" t="s">
        <v>32</v>
      </c>
      <c r="O2" s="1" t="s">
        <v>33</v>
      </c>
      <c r="P2" s="1" t="s">
        <v>34</v>
      </c>
      <c r="Q2" s="5" t="s">
        <v>35</v>
      </c>
      <c r="R2" s="1" t="s">
        <v>36</v>
      </c>
      <c r="S2" s="1" t="s">
        <v>37</v>
      </c>
      <c r="T2" s="5" t="s">
        <v>38</v>
      </c>
      <c r="U2" s="1" t="s">
        <v>39</v>
      </c>
      <c r="V2" s="1" t="s">
        <v>40</v>
      </c>
      <c r="W2" s="5" t="s">
        <v>41</v>
      </c>
      <c r="X2" s="1" t="s">
        <v>42</v>
      </c>
      <c r="Y2" s="1" t="s">
        <v>43</v>
      </c>
      <c r="Z2" s="5" t="s">
        <v>44</v>
      </c>
      <c r="AA2" s="1" t="s">
        <v>45</v>
      </c>
      <c r="AB2" s="1" t="s">
        <v>46</v>
      </c>
      <c r="AC2" s="5" t="s">
        <v>47</v>
      </c>
      <c r="AD2" s="1" t="s">
        <v>48</v>
      </c>
      <c r="AE2" s="1" t="s">
        <v>49</v>
      </c>
      <c r="AF2" s="5" t="s">
        <v>50</v>
      </c>
      <c r="AG2" s="1" t="s">
        <v>51</v>
      </c>
      <c r="AH2" s="1" t="s">
        <v>52</v>
      </c>
      <c r="AI2" s="5" t="s">
        <v>53</v>
      </c>
      <c r="AJ2" s="1" t="s">
        <v>54</v>
      </c>
      <c r="AK2" s="1" t="s">
        <v>55</v>
      </c>
      <c r="AL2" s="5" t="s">
        <v>56</v>
      </c>
      <c r="AM2" s="1" t="s">
        <v>57</v>
      </c>
      <c r="AN2" s="1" t="s">
        <v>58</v>
      </c>
      <c r="AO2" s="5" t="s">
        <v>59</v>
      </c>
      <c r="AP2" s="1" t="s">
        <v>60</v>
      </c>
      <c r="AQ2" s="1" t="s">
        <v>61</v>
      </c>
      <c r="AR2" s="5" t="s">
        <v>62</v>
      </c>
      <c r="AS2" s="1" t="s">
        <v>63</v>
      </c>
      <c r="AT2" s="1" t="s">
        <v>64</v>
      </c>
      <c r="AU2" s="5" t="s">
        <v>65</v>
      </c>
      <c r="AV2" s="1" t="s">
        <v>66</v>
      </c>
      <c r="AW2" s="1" t="s">
        <v>67</v>
      </c>
      <c r="AX2" s="5" t="s">
        <v>68</v>
      </c>
      <c r="AY2" s="1" t="s">
        <v>69</v>
      </c>
      <c r="AZ2" s="1" t="s">
        <v>70</v>
      </c>
      <c r="BA2" s="5" t="s">
        <v>71</v>
      </c>
      <c r="BB2" s="1" t="s">
        <v>72</v>
      </c>
      <c r="BC2" s="1" t="s">
        <v>73</v>
      </c>
      <c r="BD2" s="5" t="s">
        <v>74</v>
      </c>
      <c r="BE2" s="1" t="s">
        <v>75</v>
      </c>
      <c r="BF2" s="1" t="s">
        <v>76</v>
      </c>
      <c r="BG2" s="5" t="s">
        <v>77</v>
      </c>
      <c r="BH2" s="1"/>
      <c r="BI2" s="1" t="s">
        <v>213</v>
      </c>
      <c r="BJ2" s="1" t="s">
        <v>214</v>
      </c>
      <c r="BK2" s="1" t="s">
        <v>215</v>
      </c>
      <c r="BL2" s="1"/>
      <c r="BM2" s="1" t="s">
        <v>216</v>
      </c>
      <c r="BN2" s="1" t="s">
        <v>217</v>
      </c>
      <c r="BO2" s="1" t="s">
        <v>218</v>
      </c>
      <c r="BP2" s="1" t="s">
        <v>219</v>
      </c>
      <c r="BR2" s="1"/>
      <c r="BS2" s="1"/>
      <c r="BT2" s="1"/>
      <c r="BV2" s="1"/>
      <c r="BW2" s="1"/>
      <c r="BX2" s="1"/>
    </row>
    <row r="3" ht="15.75" customHeight="1">
      <c r="A3" s="1" t="s">
        <v>84</v>
      </c>
      <c r="B3" s="17">
        <v>1460.0</v>
      </c>
      <c r="C3" s="9" t="s">
        <v>85</v>
      </c>
      <c r="D3" s="9" t="s">
        <v>85</v>
      </c>
      <c r="E3" s="9">
        <v>0.58</v>
      </c>
      <c r="F3" s="9" t="s">
        <v>85</v>
      </c>
      <c r="G3" s="9" t="s">
        <v>85</v>
      </c>
      <c r="H3" s="9">
        <v>0.1</v>
      </c>
      <c r="I3" s="9" t="s">
        <v>85</v>
      </c>
      <c r="J3" s="9" t="s">
        <v>85</v>
      </c>
      <c r="K3" s="9">
        <v>0.56</v>
      </c>
      <c r="L3" s="9" t="s">
        <v>85</v>
      </c>
      <c r="M3" s="9" t="s">
        <v>85</v>
      </c>
      <c r="N3" s="9">
        <v>0.59</v>
      </c>
      <c r="O3" s="9" t="s">
        <v>85</v>
      </c>
      <c r="P3" s="9" t="s">
        <v>85</v>
      </c>
      <c r="Q3" s="9">
        <v>0.76</v>
      </c>
      <c r="R3" s="9" t="s">
        <v>85</v>
      </c>
      <c r="S3" s="9" t="s">
        <v>85</v>
      </c>
      <c r="T3" s="9">
        <v>0.72</v>
      </c>
      <c r="U3" s="9" t="s">
        <v>85</v>
      </c>
      <c r="V3" s="9" t="s">
        <v>85</v>
      </c>
      <c r="W3" s="9">
        <v>0.55</v>
      </c>
      <c r="X3" s="9" t="s">
        <v>85</v>
      </c>
      <c r="Y3" s="9" t="s">
        <v>85</v>
      </c>
      <c r="Z3" s="9">
        <v>0.4</v>
      </c>
      <c r="AA3" s="10" t="s">
        <v>85</v>
      </c>
      <c r="AB3" s="10" t="s">
        <v>85</v>
      </c>
      <c r="AC3" s="9">
        <v>0.47</v>
      </c>
      <c r="AD3" s="9" t="s">
        <v>85</v>
      </c>
      <c r="AE3" s="9" t="s">
        <v>85</v>
      </c>
      <c r="AF3" s="9">
        <v>0.66</v>
      </c>
      <c r="AG3" s="9" t="s">
        <v>85</v>
      </c>
      <c r="AH3" s="9" t="s">
        <v>85</v>
      </c>
      <c r="AI3" s="9">
        <v>0.5</v>
      </c>
      <c r="AJ3" s="9" t="s">
        <v>85</v>
      </c>
      <c r="AK3" s="9" t="s">
        <v>85</v>
      </c>
      <c r="AL3" s="9">
        <v>0.38</v>
      </c>
      <c r="AM3" s="9" t="s">
        <v>85</v>
      </c>
      <c r="AN3" s="9" t="s">
        <v>85</v>
      </c>
      <c r="AO3" s="9">
        <v>0.62</v>
      </c>
      <c r="AP3" s="9" t="s">
        <v>85</v>
      </c>
      <c r="AQ3" s="9" t="s">
        <v>85</v>
      </c>
      <c r="AR3" s="9">
        <v>0.73</v>
      </c>
      <c r="AS3" s="9" t="s">
        <v>85</v>
      </c>
      <c r="AT3" s="9" t="s">
        <v>85</v>
      </c>
      <c r="AU3" s="9">
        <v>0.3</v>
      </c>
      <c r="AV3" s="9" t="s">
        <v>85</v>
      </c>
      <c r="AW3" s="9" t="s">
        <v>85</v>
      </c>
      <c r="AX3" s="9">
        <v>0.49</v>
      </c>
      <c r="AY3" s="9" t="s">
        <v>85</v>
      </c>
      <c r="AZ3" s="9" t="s">
        <v>85</v>
      </c>
      <c r="BA3" s="9">
        <v>0.68</v>
      </c>
      <c r="BB3" s="10" t="s">
        <v>85</v>
      </c>
      <c r="BC3" s="10" t="s">
        <v>85</v>
      </c>
      <c r="BD3" s="9">
        <v>0.22</v>
      </c>
      <c r="BE3" s="10" t="s">
        <v>85</v>
      </c>
      <c r="BF3" s="10" t="s">
        <v>85</v>
      </c>
      <c r="BG3" s="9">
        <v>0.46</v>
      </c>
      <c r="BH3" s="6"/>
      <c r="BI3" s="6" t="str">
        <f t="shared" ref="BI3:BI100" si="1">INDEX($C$2:$BG$2,0,MATCH(MAX(C3:BG3),C3:BG3,0))</f>
        <v>8B_One_Acc</v>
      </c>
      <c r="BJ3" s="6" t="str">
        <f t="shared" ref="BJ3:BJ100" si="2">INDEX($C$2:$BG$2,0,MATCH(LARGE(C3:BG3,2),C3:BG3,0))</f>
        <v>12BN_One_Acc</v>
      </c>
      <c r="BK3" s="6" t="str">
        <f t="shared" ref="BK3:BK100" si="3">INDEX($C$2:$BG$2,0,MATCH(LARGE(C3:BG3,3),C3:BG3,0))</f>
        <v>8BN_One_Acc</v>
      </c>
      <c r="BL3" s="6"/>
      <c r="BM3" s="6">
        <f>COUNTA(BI3:BK100)</f>
        <v>294</v>
      </c>
      <c r="BN3" s="6">
        <f>COUNTIF(BI3:BK100,"*De*")</f>
        <v>13</v>
      </c>
      <c r="BO3" s="6">
        <f>COUNTIF(BI3:BK100,"*V*")</f>
        <v>153</v>
      </c>
      <c r="BP3" s="6">
        <f>MINUS(BM3,SUM(BN3,BO3))</f>
        <v>128</v>
      </c>
      <c r="BQ3" s="6"/>
      <c r="BR3" s="6"/>
      <c r="BS3" s="6"/>
      <c r="BT3" s="6"/>
      <c r="BU3" s="6"/>
      <c r="BV3" s="6"/>
      <c r="BW3" s="6"/>
      <c r="BX3" s="6"/>
    </row>
    <row r="4" ht="15.75" customHeight="1">
      <c r="A4" s="1" t="s">
        <v>89</v>
      </c>
      <c r="B4" s="17">
        <v>176.0</v>
      </c>
      <c r="C4" s="9" t="s">
        <v>85</v>
      </c>
      <c r="D4" s="9" t="s">
        <v>85</v>
      </c>
      <c r="E4" s="9">
        <v>0.283887</v>
      </c>
      <c r="F4" s="9" t="s">
        <v>85</v>
      </c>
      <c r="G4" s="9" t="s">
        <v>85</v>
      </c>
      <c r="H4" s="9">
        <v>0.02046</v>
      </c>
      <c r="I4" s="9" t="s">
        <v>85</v>
      </c>
      <c r="J4" s="9" t="s">
        <v>85</v>
      </c>
      <c r="K4" s="9">
        <v>0.350384</v>
      </c>
      <c r="L4" s="9" t="s">
        <v>85</v>
      </c>
      <c r="M4" s="9" t="s">
        <v>85</v>
      </c>
      <c r="N4" s="9">
        <v>0.161125</v>
      </c>
      <c r="O4" s="9" t="s">
        <v>85</v>
      </c>
      <c r="P4" s="9" t="s">
        <v>85</v>
      </c>
      <c r="Q4" s="9">
        <v>0.365729</v>
      </c>
      <c r="R4" s="9" t="s">
        <v>85</v>
      </c>
      <c r="S4" s="9" t="s">
        <v>85</v>
      </c>
      <c r="T4" s="9">
        <v>0.296675</v>
      </c>
      <c r="U4" s="9" t="s">
        <v>85</v>
      </c>
      <c r="V4" s="9" t="s">
        <v>85</v>
      </c>
      <c r="W4" s="9">
        <v>0.30179</v>
      </c>
      <c r="X4" s="9" t="s">
        <v>85</v>
      </c>
      <c r="Y4" s="9" t="s">
        <v>85</v>
      </c>
      <c r="Z4" s="9">
        <v>0.242967</v>
      </c>
      <c r="AA4" s="10" t="s">
        <v>85</v>
      </c>
      <c r="AB4" s="10" t="s">
        <v>85</v>
      </c>
      <c r="AC4" s="9">
        <v>0.265985</v>
      </c>
      <c r="AD4" s="9" t="s">
        <v>85</v>
      </c>
      <c r="AE4" s="9" t="s">
        <v>85</v>
      </c>
      <c r="AF4" s="9">
        <v>0.409207</v>
      </c>
      <c r="AG4" s="9" t="s">
        <v>85</v>
      </c>
      <c r="AH4" s="9" t="s">
        <v>85</v>
      </c>
      <c r="AI4" s="9">
        <v>0.332481</v>
      </c>
      <c r="AJ4" s="9" t="s">
        <v>85</v>
      </c>
      <c r="AK4" s="9" t="s">
        <v>85</v>
      </c>
      <c r="AL4" s="9">
        <v>0.28133</v>
      </c>
      <c r="AM4" s="9" t="s">
        <v>85</v>
      </c>
      <c r="AN4" s="9" t="s">
        <v>85</v>
      </c>
      <c r="AO4" s="9">
        <v>0.235294</v>
      </c>
      <c r="AP4" s="9" t="s">
        <v>85</v>
      </c>
      <c r="AQ4" s="9" t="s">
        <v>85</v>
      </c>
      <c r="AR4" s="9">
        <v>0.381074</v>
      </c>
      <c r="AS4" s="9" t="s">
        <v>85</v>
      </c>
      <c r="AT4" s="9" t="s">
        <v>85</v>
      </c>
      <c r="AU4" s="9">
        <v>0.084399</v>
      </c>
      <c r="AV4" s="9" t="s">
        <v>85</v>
      </c>
      <c r="AW4" s="9" t="s">
        <v>85</v>
      </c>
      <c r="AX4" s="9">
        <v>0.120205</v>
      </c>
      <c r="AY4" s="9" t="s">
        <v>85</v>
      </c>
      <c r="AZ4" s="9" t="s">
        <v>85</v>
      </c>
      <c r="BA4" s="9">
        <v>0.263427</v>
      </c>
      <c r="BB4" s="10" t="s">
        <v>85</v>
      </c>
      <c r="BC4" s="10" t="s">
        <v>85</v>
      </c>
      <c r="BD4" s="9">
        <v>0.168798</v>
      </c>
      <c r="BE4" s="10" t="s">
        <v>85</v>
      </c>
      <c r="BF4" s="10" t="s">
        <v>85</v>
      </c>
      <c r="BG4" s="9">
        <v>0.16624</v>
      </c>
      <c r="BH4" s="6"/>
      <c r="BI4" s="6" t="str">
        <f t="shared" si="1"/>
        <v>10BN_One_Acc</v>
      </c>
      <c r="BJ4" s="6" t="str">
        <f t="shared" si="2"/>
        <v>12BN_One_Acc</v>
      </c>
      <c r="BK4" s="6" t="str">
        <f t="shared" si="3"/>
        <v>8B_One_Acc</v>
      </c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</row>
    <row r="5" ht="15.75" customHeight="1">
      <c r="A5" s="1" t="s">
        <v>91</v>
      </c>
      <c r="B5" s="17">
        <v>251.0</v>
      </c>
      <c r="C5" s="9" t="s">
        <v>85</v>
      </c>
      <c r="D5" s="9" t="s">
        <v>85</v>
      </c>
      <c r="E5" s="9">
        <v>0.617143</v>
      </c>
      <c r="F5" s="9" t="s">
        <v>85</v>
      </c>
      <c r="G5" s="9" t="s">
        <v>85</v>
      </c>
      <c r="H5" s="9">
        <v>0.302857</v>
      </c>
      <c r="I5" s="9" t="s">
        <v>85</v>
      </c>
      <c r="J5" s="9" t="s">
        <v>85</v>
      </c>
      <c r="K5" s="9">
        <v>0.731429</v>
      </c>
      <c r="L5" s="9" t="s">
        <v>85</v>
      </c>
      <c r="M5" s="9" t="s">
        <v>85</v>
      </c>
      <c r="N5" s="9">
        <v>0.725714</v>
      </c>
      <c r="O5" s="9" t="s">
        <v>85</v>
      </c>
      <c r="P5" s="9" t="s">
        <v>85</v>
      </c>
      <c r="Q5" s="9">
        <v>0.657143</v>
      </c>
      <c r="R5" s="9" t="s">
        <v>85</v>
      </c>
      <c r="S5" s="9" t="s">
        <v>85</v>
      </c>
      <c r="T5" s="9">
        <v>0.725714</v>
      </c>
      <c r="U5" s="9" t="s">
        <v>85</v>
      </c>
      <c r="V5" s="9" t="s">
        <v>85</v>
      </c>
      <c r="W5" s="9">
        <v>0.68</v>
      </c>
      <c r="X5" s="9" t="s">
        <v>85</v>
      </c>
      <c r="Y5" s="9" t="s">
        <v>85</v>
      </c>
      <c r="Z5" s="9">
        <v>0.674286</v>
      </c>
      <c r="AA5" s="10" t="s">
        <v>85</v>
      </c>
      <c r="AB5" s="10" t="s">
        <v>85</v>
      </c>
      <c r="AC5" s="9">
        <v>0.737143</v>
      </c>
      <c r="AD5" s="9" t="s">
        <v>85</v>
      </c>
      <c r="AE5" s="9" t="s">
        <v>85</v>
      </c>
      <c r="AF5" s="9">
        <v>0.742857</v>
      </c>
      <c r="AG5" s="9" t="s">
        <v>85</v>
      </c>
      <c r="AH5" s="9" t="s">
        <v>85</v>
      </c>
      <c r="AI5" s="9">
        <v>0.685714</v>
      </c>
      <c r="AJ5" s="9" t="s">
        <v>85</v>
      </c>
      <c r="AK5" s="9" t="s">
        <v>85</v>
      </c>
      <c r="AL5" s="9">
        <v>0.64</v>
      </c>
      <c r="AM5" s="9" t="s">
        <v>85</v>
      </c>
      <c r="AN5" s="9" t="s">
        <v>85</v>
      </c>
      <c r="AO5" s="9">
        <v>0.731429</v>
      </c>
      <c r="AP5" s="9" t="s">
        <v>85</v>
      </c>
      <c r="AQ5" s="9" t="s">
        <v>85</v>
      </c>
      <c r="AR5" s="1" t="s">
        <v>85</v>
      </c>
      <c r="AS5" s="9" t="s">
        <v>85</v>
      </c>
      <c r="AT5" s="9" t="s">
        <v>85</v>
      </c>
      <c r="AU5" s="9">
        <v>0.72</v>
      </c>
      <c r="AV5" s="9" t="s">
        <v>85</v>
      </c>
      <c r="AW5" s="9" t="s">
        <v>85</v>
      </c>
      <c r="AX5" s="9">
        <v>0.754286</v>
      </c>
      <c r="AY5" s="9" t="s">
        <v>85</v>
      </c>
      <c r="AZ5" s="9" t="s">
        <v>85</v>
      </c>
      <c r="BA5" s="9">
        <v>0.788571</v>
      </c>
      <c r="BB5" s="10" t="s">
        <v>85</v>
      </c>
      <c r="BC5" s="10" t="s">
        <v>85</v>
      </c>
      <c r="BD5" s="9">
        <v>0.765714</v>
      </c>
      <c r="BE5" s="9" t="s">
        <v>85</v>
      </c>
      <c r="BF5" s="9" t="s">
        <v>85</v>
      </c>
      <c r="BG5" s="9">
        <v>0.582857</v>
      </c>
      <c r="BH5" s="6"/>
      <c r="BI5" s="6" t="str">
        <f t="shared" si="1"/>
        <v>20B_One_Acc</v>
      </c>
      <c r="BJ5" s="6" t="str">
        <f t="shared" si="2"/>
        <v>20V_One_Acc</v>
      </c>
      <c r="BK5" s="6" t="str">
        <f t="shared" si="3"/>
        <v>12VB_One_Acc</v>
      </c>
      <c r="BL5" s="6"/>
      <c r="BP5" s="6"/>
      <c r="BQ5" s="6"/>
      <c r="BR5" s="6"/>
      <c r="BS5" s="6"/>
      <c r="BT5" s="6"/>
      <c r="BU5" s="6"/>
      <c r="BV5" s="6"/>
      <c r="BW5" s="6"/>
      <c r="BX5" s="6"/>
    </row>
    <row r="6" ht="15.75" customHeight="1">
      <c r="A6" s="1" t="s">
        <v>93</v>
      </c>
      <c r="B6" s="17">
        <v>470.0</v>
      </c>
      <c r="C6" s="9" t="s">
        <v>85</v>
      </c>
      <c r="D6" s="9" t="s">
        <v>85</v>
      </c>
      <c r="E6" s="9">
        <v>0.5</v>
      </c>
      <c r="F6" s="9" t="s">
        <v>85</v>
      </c>
      <c r="G6" s="9" t="s">
        <v>85</v>
      </c>
      <c r="H6" s="9">
        <v>0.233333</v>
      </c>
      <c r="I6" s="9" t="s">
        <v>85</v>
      </c>
      <c r="J6" s="9" t="s">
        <v>85</v>
      </c>
      <c r="K6" s="9">
        <v>0.433333</v>
      </c>
      <c r="L6" s="9" t="s">
        <v>85</v>
      </c>
      <c r="M6" s="9" t="s">
        <v>85</v>
      </c>
      <c r="N6" s="9">
        <v>0.366667</v>
      </c>
      <c r="O6" s="9" t="s">
        <v>85</v>
      </c>
      <c r="P6" s="9" t="s">
        <v>85</v>
      </c>
      <c r="Q6" s="9">
        <v>0.533333</v>
      </c>
      <c r="R6" s="9" t="s">
        <v>85</v>
      </c>
      <c r="S6" s="9" t="s">
        <v>85</v>
      </c>
      <c r="T6" s="9">
        <v>0.5</v>
      </c>
      <c r="U6" s="9" t="s">
        <v>85</v>
      </c>
      <c r="V6" s="9" t="s">
        <v>85</v>
      </c>
      <c r="W6" s="9">
        <v>0.366667</v>
      </c>
      <c r="X6" s="9" t="s">
        <v>85</v>
      </c>
      <c r="Y6" s="9" t="s">
        <v>85</v>
      </c>
      <c r="Z6" s="9">
        <v>0.533333</v>
      </c>
      <c r="AA6" s="10" t="s">
        <v>85</v>
      </c>
      <c r="AB6" s="10" t="s">
        <v>85</v>
      </c>
      <c r="AC6" s="9">
        <v>0.6</v>
      </c>
      <c r="AD6" s="9" t="s">
        <v>85</v>
      </c>
      <c r="AE6" s="9" t="s">
        <v>85</v>
      </c>
      <c r="AF6" s="9">
        <v>0.566667</v>
      </c>
      <c r="AG6" s="9" t="s">
        <v>85</v>
      </c>
      <c r="AH6" s="9" t="s">
        <v>85</v>
      </c>
      <c r="AI6" s="9">
        <v>0.466667</v>
      </c>
      <c r="AJ6" s="9" t="s">
        <v>85</v>
      </c>
      <c r="AK6" s="9" t="s">
        <v>85</v>
      </c>
      <c r="AL6" s="9">
        <v>0.433333</v>
      </c>
      <c r="AM6" s="9" t="s">
        <v>85</v>
      </c>
      <c r="AN6" s="9" t="s">
        <v>85</v>
      </c>
      <c r="AO6" s="9">
        <v>0.433333</v>
      </c>
      <c r="AP6" s="9" t="s">
        <v>85</v>
      </c>
      <c r="AQ6" s="9" t="s">
        <v>85</v>
      </c>
      <c r="AR6" s="9">
        <v>0.466667</v>
      </c>
      <c r="AS6" s="9" t="s">
        <v>85</v>
      </c>
      <c r="AT6" s="9" t="s">
        <v>85</v>
      </c>
      <c r="AU6" s="9">
        <v>0.433333</v>
      </c>
      <c r="AV6" s="9" t="s">
        <v>85</v>
      </c>
      <c r="AW6" s="9" t="s">
        <v>85</v>
      </c>
      <c r="AX6" s="9">
        <v>0.366667</v>
      </c>
      <c r="AY6" s="9" t="s">
        <v>85</v>
      </c>
      <c r="AZ6" s="9" t="s">
        <v>85</v>
      </c>
      <c r="BA6" s="9">
        <v>0.566667</v>
      </c>
      <c r="BB6" s="10" t="s">
        <v>85</v>
      </c>
      <c r="BC6" s="10" t="s">
        <v>85</v>
      </c>
      <c r="BD6" s="9">
        <v>0.5</v>
      </c>
      <c r="BE6" s="9" t="s">
        <v>85</v>
      </c>
      <c r="BF6" s="9" t="s">
        <v>85</v>
      </c>
      <c r="BG6" s="9">
        <v>0.533333</v>
      </c>
      <c r="BH6" s="6"/>
      <c r="BI6" s="6" t="str">
        <f t="shared" si="1"/>
        <v>10B_One_Acc</v>
      </c>
      <c r="BJ6" s="6" t="str">
        <f t="shared" si="2"/>
        <v>10BN_One_Acc</v>
      </c>
      <c r="BK6" s="6" t="str">
        <f t="shared" si="3"/>
        <v>10BN_One_Acc</v>
      </c>
      <c r="BL6" s="6"/>
      <c r="BM6" s="1" t="s">
        <v>213</v>
      </c>
      <c r="BN6" s="6" t="s">
        <v>212</v>
      </c>
      <c r="BS6" s="6"/>
      <c r="BT6" s="6"/>
      <c r="BU6" s="6"/>
      <c r="BV6" s="6"/>
      <c r="BW6" s="6"/>
      <c r="BX6" s="6"/>
    </row>
    <row r="7" ht="15.75" customHeight="1">
      <c r="A7" s="1" t="s">
        <v>95</v>
      </c>
      <c r="B7" s="17">
        <v>512.0</v>
      </c>
      <c r="C7" s="9" t="s">
        <v>85</v>
      </c>
      <c r="D7" s="9" t="s">
        <v>85</v>
      </c>
      <c r="E7" s="9">
        <v>0.85</v>
      </c>
      <c r="F7" s="9" t="s">
        <v>85</v>
      </c>
      <c r="G7" s="9" t="s">
        <v>85</v>
      </c>
      <c r="H7" s="9">
        <v>0.5</v>
      </c>
      <c r="I7" s="9" t="s">
        <v>85</v>
      </c>
      <c r="J7" s="9" t="s">
        <v>85</v>
      </c>
      <c r="K7" s="9">
        <v>0.9</v>
      </c>
      <c r="L7" s="9" t="s">
        <v>85</v>
      </c>
      <c r="M7" s="9" t="s">
        <v>85</v>
      </c>
      <c r="N7" s="9">
        <v>0.9</v>
      </c>
      <c r="O7" s="9" t="s">
        <v>85</v>
      </c>
      <c r="P7" s="9" t="s">
        <v>85</v>
      </c>
      <c r="Q7" s="9">
        <v>0.85</v>
      </c>
      <c r="R7" s="9" t="s">
        <v>85</v>
      </c>
      <c r="S7" s="9" t="s">
        <v>85</v>
      </c>
      <c r="T7" s="9">
        <v>0.85</v>
      </c>
      <c r="U7" s="9" t="s">
        <v>85</v>
      </c>
      <c r="V7" s="9" t="s">
        <v>85</v>
      </c>
      <c r="W7" s="9">
        <v>0.6</v>
      </c>
      <c r="X7" s="9" t="s">
        <v>85</v>
      </c>
      <c r="Y7" s="9" t="s">
        <v>85</v>
      </c>
      <c r="Z7" s="9">
        <v>0.6</v>
      </c>
      <c r="AA7" s="10" t="s">
        <v>85</v>
      </c>
      <c r="AB7" s="10" t="s">
        <v>85</v>
      </c>
      <c r="AC7" s="9">
        <v>0.9</v>
      </c>
      <c r="AD7" s="9" t="s">
        <v>85</v>
      </c>
      <c r="AE7" s="9" t="s">
        <v>85</v>
      </c>
      <c r="AF7" s="9">
        <v>0.9</v>
      </c>
      <c r="AG7" s="9" t="s">
        <v>85</v>
      </c>
      <c r="AH7" s="9" t="s">
        <v>85</v>
      </c>
      <c r="AI7" s="9">
        <v>0.75</v>
      </c>
      <c r="AJ7" s="9" t="s">
        <v>85</v>
      </c>
      <c r="AK7" s="9" t="s">
        <v>85</v>
      </c>
      <c r="AL7" s="9">
        <v>0.6</v>
      </c>
      <c r="AM7" s="9" t="s">
        <v>85</v>
      </c>
      <c r="AN7" s="9" t="s">
        <v>85</v>
      </c>
      <c r="AO7" s="9">
        <v>0.8</v>
      </c>
      <c r="AP7" s="9" t="s">
        <v>85</v>
      </c>
      <c r="AQ7" s="9" t="s">
        <v>85</v>
      </c>
      <c r="AR7" s="9">
        <v>0.7</v>
      </c>
      <c r="AS7" s="9" t="s">
        <v>85</v>
      </c>
      <c r="AT7" s="9" t="s">
        <v>85</v>
      </c>
      <c r="AU7" s="9">
        <v>0.85</v>
      </c>
      <c r="AV7" s="9" t="s">
        <v>85</v>
      </c>
      <c r="AW7" s="9" t="s">
        <v>85</v>
      </c>
      <c r="AX7" s="9">
        <v>0.85</v>
      </c>
      <c r="AY7" s="9" t="s">
        <v>85</v>
      </c>
      <c r="AZ7" s="9" t="s">
        <v>85</v>
      </c>
      <c r="BA7" s="9">
        <v>0.8</v>
      </c>
      <c r="BB7" s="10" t="s">
        <v>85</v>
      </c>
      <c r="BC7" s="10" t="s">
        <v>85</v>
      </c>
      <c r="BD7" s="9">
        <v>0.9</v>
      </c>
      <c r="BE7" s="9" t="s">
        <v>85</v>
      </c>
      <c r="BF7" s="9" t="s">
        <v>85</v>
      </c>
      <c r="BG7" s="9">
        <v>0.75</v>
      </c>
      <c r="BH7" s="6"/>
      <c r="BI7" s="6" t="str">
        <f t="shared" si="1"/>
        <v>5V_One_Acc</v>
      </c>
      <c r="BJ7" s="6" t="str">
        <f t="shared" si="2"/>
        <v>5V_One_Acc</v>
      </c>
      <c r="BK7" s="6" t="str">
        <f t="shared" si="3"/>
        <v>5V_One_Acc</v>
      </c>
      <c r="BL7" s="6"/>
      <c r="BN7" s="6">
        <f>COUNTIF(B3:B100,"&lt;=100")</f>
        <v>22</v>
      </c>
      <c r="BO7" s="6">
        <f>COUNTIFS(B3:B100,"&gt;100",B3:B100,"&lt;=200")</f>
        <v>17</v>
      </c>
      <c r="BP7" s="6">
        <f>COUNTIFS(B3:B100,"&gt;200",B3:B100,"&lt;500")</f>
        <v>21</v>
      </c>
      <c r="BQ7" s="6">
        <f>COUNTIFS(B3:B100,"&gt;=500",B3:B100,"&lt;1000")</f>
        <v>20</v>
      </c>
      <c r="BR7" s="6">
        <f>COUNTIF(B3:B100,"&gt;=1000")</f>
        <v>18</v>
      </c>
      <c r="BS7" s="6"/>
      <c r="BT7" s="6"/>
      <c r="BU7" s="6"/>
      <c r="BV7" s="6"/>
      <c r="BW7" s="6"/>
      <c r="BX7" s="6"/>
    </row>
    <row r="8" ht="15.75" customHeight="1">
      <c r="A8" s="1" t="s">
        <v>97</v>
      </c>
      <c r="B8" s="17">
        <v>512.0</v>
      </c>
      <c r="C8" s="9" t="s">
        <v>85</v>
      </c>
      <c r="D8" s="9" t="s">
        <v>85</v>
      </c>
      <c r="E8" s="9">
        <v>0.75</v>
      </c>
      <c r="F8" s="9" t="s">
        <v>85</v>
      </c>
      <c r="G8" s="9" t="s">
        <v>85</v>
      </c>
      <c r="H8" s="9">
        <v>0.5</v>
      </c>
      <c r="I8" s="9" t="s">
        <v>85</v>
      </c>
      <c r="J8" s="9" t="s">
        <v>85</v>
      </c>
      <c r="K8" s="9">
        <v>0.8</v>
      </c>
      <c r="L8" s="9" t="s">
        <v>85</v>
      </c>
      <c r="M8" s="9" t="s">
        <v>85</v>
      </c>
      <c r="N8" s="9">
        <v>0.85</v>
      </c>
      <c r="O8" s="9" t="s">
        <v>85</v>
      </c>
      <c r="P8" s="9" t="s">
        <v>85</v>
      </c>
      <c r="Q8" s="9">
        <v>0.6</v>
      </c>
      <c r="R8" s="9" t="s">
        <v>85</v>
      </c>
      <c r="S8" s="9" t="s">
        <v>85</v>
      </c>
      <c r="T8" s="9">
        <v>0.75</v>
      </c>
      <c r="U8" s="9" t="s">
        <v>85</v>
      </c>
      <c r="V8" s="9" t="s">
        <v>85</v>
      </c>
      <c r="W8" s="9">
        <v>0.7</v>
      </c>
      <c r="X8" s="9" t="s">
        <v>85</v>
      </c>
      <c r="Y8" s="9" t="s">
        <v>85</v>
      </c>
      <c r="Z8" s="9">
        <v>0.75</v>
      </c>
      <c r="AA8" s="10" t="s">
        <v>85</v>
      </c>
      <c r="AB8" s="10" t="s">
        <v>85</v>
      </c>
      <c r="AC8" s="9">
        <v>0.65</v>
      </c>
      <c r="AD8" s="9" t="s">
        <v>85</v>
      </c>
      <c r="AE8" s="9" t="s">
        <v>85</v>
      </c>
      <c r="AF8" s="9">
        <v>0.8</v>
      </c>
      <c r="AG8" s="9" t="s">
        <v>85</v>
      </c>
      <c r="AH8" s="9" t="s">
        <v>85</v>
      </c>
      <c r="AI8" s="9">
        <v>0.9</v>
      </c>
      <c r="AJ8" s="9" t="s">
        <v>85</v>
      </c>
      <c r="AK8" s="9" t="s">
        <v>85</v>
      </c>
      <c r="AL8" s="9">
        <v>0.9</v>
      </c>
      <c r="AM8" s="9" t="s">
        <v>85</v>
      </c>
      <c r="AN8" s="9" t="s">
        <v>85</v>
      </c>
      <c r="AO8" s="9">
        <v>0.7</v>
      </c>
      <c r="AP8" s="9" t="s">
        <v>85</v>
      </c>
      <c r="AQ8" s="9" t="s">
        <v>85</v>
      </c>
      <c r="AR8" s="9">
        <v>0.7</v>
      </c>
      <c r="AS8" s="9" t="s">
        <v>85</v>
      </c>
      <c r="AT8" s="9" t="s">
        <v>85</v>
      </c>
      <c r="AU8" s="9">
        <v>0.75</v>
      </c>
      <c r="AV8" s="9" t="s">
        <v>85</v>
      </c>
      <c r="AW8" s="9" t="s">
        <v>85</v>
      </c>
      <c r="AX8" s="9">
        <v>0.75</v>
      </c>
      <c r="AY8" s="9" t="s">
        <v>85</v>
      </c>
      <c r="AZ8" s="9" t="s">
        <v>85</v>
      </c>
      <c r="BA8" s="9">
        <v>0.75</v>
      </c>
      <c r="BB8" s="10" t="s">
        <v>85</v>
      </c>
      <c r="BC8" s="10" t="s">
        <v>85</v>
      </c>
      <c r="BD8" s="9">
        <v>0.7</v>
      </c>
      <c r="BE8" s="9" t="s">
        <v>85</v>
      </c>
      <c r="BF8" s="9" t="s">
        <v>85</v>
      </c>
      <c r="BG8" s="9">
        <v>0.55</v>
      </c>
      <c r="BH8" s="6"/>
      <c r="BI8" s="6" t="str">
        <f t="shared" si="1"/>
        <v>10V_One_Acc</v>
      </c>
      <c r="BJ8" s="6" t="str">
        <f t="shared" si="2"/>
        <v>10V_One_Acc</v>
      </c>
      <c r="BK8" s="6" t="str">
        <f t="shared" si="3"/>
        <v>5VB_One_Acc</v>
      </c>
      <c r="BL8" s="6"/>
      <c r="BM8" s="6"/>
      <c r="BN8" s="6" t="s">
        <v>228</v>
      </c>
      <c r="BO8" s="6" t="s">
        <v>229</v>
      </c>
      <c r="BP8" s="6" t="s">
        <v>230</v>
      </c>
      <c r="BQ8" s="6" t="s">
        <v>231</v>
      </c>
      <c r="BR8" s="6" t="s">
        <v>232</v>
      </c>
      <c r="BS8" s="6"/>
      <c r="BT8" s="6"/>
      <c r="BU8" s="13"/>
      <c r="BV8" s="6"/>
      <c r="BW8" s="6"/>
      <c r="BX8" s="6"/>
    </row>
    <row r="9" ht="15.75" customHeight="1">
      <c r="A9" s="1" t="s">
        <v>98</v>
      </c>
      <c r="B9" s="17">
        <v>128.0</v>
      </c>
      <c r="C9" s="9" t="s">
        <v>85</v>
      </c>
      <c r="D9" s="9" t="s">
        <v>85</v>
      </c>
      <c r="E9" s="9">
        <v>0.9</v>
      </c>
      <c r="F9" s="9" t="s">
        <v>85</v>
      </c>
      <c r="G9" s="9" t="s">
        <v>85</v>
      </c>
      <c r="H9" s="9">
        <v>0.346667</v>
      </c>
      <c r="I9" s="9" t="s">
        <v>85</v>
      </c>
      <c r="J9" s="9" t="s">
        <v>85</v>
      </c>
      <c r="K9" s="9">
        <v>0.966667</v>
      </c>
      <c r="L9" s="9" t="s">
        <v>85</v>
      </c>
      <c r="M9" s="9" t="s">
        <v>85</v>
      </c>
      <c r="N9" s="9">
        <v>0.986667</v>
      </c>
      <c r="O9" s="9" t="s">
        <v>85</v>
      </c>
      <c r="P9" s="9" t="s">
        <v>85</v>
      </c>
      <c r="Q9" s="9">
        <v>0.9</v>
      </c>
      <c r="R9" s="9" t="s">
        <v>85</v>
      </c>
      <c r="S9" s="9" t="s">
        <v>85</v>
      </c>
      <c r="T9" s="9">
        <v>0.906667</v>
      </c>
      <c r="U9" s="9" t="s">
        <v>85</v>
      </c>
      <c r="V9" s="9" t="s">
        <v>85</v>
      </c>
      <c r="W9" s="9">
        <v>0.973333</v>
      </c>
      <c r="X9" s="9" t="s">
        <v>85</v>
      </c>
      <c r="Y9" s="9" t="s">
        <v>85</v>
      </c>
      <c r="Z9" s="9">
        <v>0.96</v>
      </c>
      <c r="AA9" s="10" t="s">
        <v>85</v>
      </c>
      <c r="AB9" s="10" t="s">
        <v>85</v>
      </c>
      <c r="AC9" s="9">
        <v>0.886667</v>
      </c>
      <c r="AD9" s="9" t="s">
        <v>85</v>
      </c>
      <c r="AE9" s="9" t="s">
        <v>85</v>
      </c>
      <c r="AF9" s="9">
        <v>0.9</v>
      </c>
      <c r="AG9" s="9" t="s">
        <v>85</v>
      </c>
      <c r="AH9" s="9" t="s">
        <v>85</v>
      </c>
      <c r="AI9" s="9">
        <v>0.946667</v>
      </c>
      <c r="AJ9" s="9" t="s">
        <v>85</v>
      </c>
      <c r="AK9" s="9" t="s">
        <v>85</v>
      </c>
      <c r="AL9" s="9">
        <v>0.9</v>
      </c>
      <c r="AM9" s="9" t="s">
        <v>85</v>
      </c>
      <c r="AN9" s="9" t="s">
        <v>85</v>
      </c>
      <c r="AO9" s="9">
        <v>0.9</v>
      </c>
      <c r="AP9" s="9" t="s">
        <v>85</v>
      </c>
      <c r="AQ9" s="9" t="s">
        <v>85</v>
      </c>
      <c r="AR9" s="9">
        <v>0.9</v>
      </c>
      <c r="AS9" s="9" t="s">
        <v>85</v>
      </c>
      <c r="AT9" s="9" t="s">
        <v>85</v>
      </c>
      <c r="AU9" s="9">
        <v>0.893333</v>
      </c>
      <c r="AV9" s="9" t="s">
        <v>85</v>
      </c>
      <c r="AW9" s="9" t="s">
        <v>85</v>
      </c>
      <c r="AX9" s="9">
        <v>0.893333</v>
      </c>
      <c r="AY9" s="9" t="s">
        <v>85</v>
      </c>
      <c r="AZ9" s="9" t="s">
        <v>85</v>
      </c>
      <c r="BA9" s="9">
        <v>0.86</v>
      </c>
      <c r="BB9" s="10" t="s">
        <v>85</v>
      </c>
      <c r="BC9" s="10" t="s">
        <v>85</v>
      </c>
      <c r="BD9" s="9">
        <v>0.94</v>
      </c>
      <c r="BE9" s="9" t="s">
        <v>85</v>
      </c>
      <c r="BF9" s="9" t="s">
        <v>85</v>
      </c>
      <c r="BG9" s="9">
        <v>0.993333</v>
      </c>
      <c r="BH9" s="6"/>
      <c r="BI9" s="6" t="str">
        <f t="shared" si="1"/>
        <v>De_One_Acc</v>
      </c>
      <c r="BJ9" s="6" t="str">
        <f t="shared" si="2"/>
        <v>5VB_One_Acc</v>
      </c>
      <c r="BK9" s="6" t="str">
        <f t="shared" si="3"/>
        <v>8V_One_Acc</v>
      </c>
      <c r="BL9" s="6"/>
      <c r="BM9" s="6" t="s">
        <v>233</v>
      </c>
      <c r="BN9" s="18">
        <f t="shared" ref="BN9:BR9" si="4">MINUS(BN7,SUM(BN10,BN11))</f>
        <v>6</v>
      </c>
      <c r="BO9" s="18">
        <f t="shared" si="4"/>
        <v>6</v>
      </c>
      <c r="BP9" s="18">
        <f t="shared" si="4"/>
        <v>9</v>
      </c>
      <c r="BQ9" s="18">
        <f t="shared" si="4"/>
        <v>12</v>
      </c>
      <c r="BR9" s="18">
        <f t="shared" si="4"/>
        <v>5</v>
      </c>
      <c r="BS9" s="6">
        <f t="shared" ref="BS9:BS11" si="5">SUM(BN9:BR9)</f>
        <v>38</v>
      </c>
      <c r="BT9" s="6"/>
      <c r="BU9" s="6"/>
      <c r="BV9" s="6"/>
      <c r="BW9" s="6"/>
      <c r="BX9" s="6"/>
    </row>
    <row r="10" ht="15.75" customHeight="1">
      <c r="A10" s="1" t="s">
        <v>99</v>
      </c>
      <c r="B10" s="17">
        <v>577.0</v>
      </c>
      <c r="C10" s="9" t="s">
        <v>85</v>
      </c>
      <c r="D10" s="9" t="s">
        <v>85</v>
      </c>
      <c r="E10" s="9">
        <v>0.55</v>
      </c>
      <c r="F10" s="9" t="s">
        <v>85</v>
      </c>
      <c r="G10" s="9" t="s">
        <v>85</v>
      </c>
      <c r="H10" s="9">
        <v>0.2</v>
      </c>
      <c r="I10" s="9" t="s">
        <v>85</v>
      </c>
      <c r="J10" s="9" t="s">
        <v>85</v>
      </c>
      <c r="K10" s="9">
        <v>0.683333</v>
      </c>
      <c r="L10" s="9" t="s">
        <v>85</v>
      </c>
      <c r="M10" s="9" t="s">
        <v>85</v>
      </c>
      <c r="N10" s="9">
        <v>0.666667</v>
      </c>
      <c r="O10" s="9" t="s">
        <v>85</v>
      </c>
      <c r="P10" s="9" t="s">
        <v>85</v>
      </c>
      <c r="Q10" s="9">
        <v>0.583333</v>
      </c>
      <c r="R10" s="9" t="s">
        <v>85</v>
      </c>
      <c r="S10" s="9" t="s">
        <v>85</v>
      </c>
      <c r="T10" s="9">
        <v>0.583333</v>
      </c>
      <c r="U10" s="9" t="s">
        <v>85</v>
      </c>
      <c r="V10" s="9" t="s">
        <v>85</v>
      </c>
      <c r="W10" s="9">
        <v>0.716667</v>
      </c>
      <c r="X10" s="9" t="s">
        <v>85</v>
      </c>
      <c r="Y10" s="9" t="s">
        <v>85</v>
      </c>
      <c r="Z10" s="9">
        <v>0.666667</v>
      </c>
      <c r="AA10" s="10" t="s">
        <v>85</v>
      </c>
      <c r="AB10" s="10" t="s">
        <v>85</v>
      </c>
      <c r="AC10" s="9">
        <v>0.583333</v>
      </c>
      <c r="AD10" s="9" t="s">
        <v>85</v>
      </c>
      <c r="AE10" s="9" t="s">
        <v>85</v>
      </c>
      <c r="AF10" s="9">
        <v>0.55</v>
      </c>
      <c r="AG10" s="9" t="s">
        <v>85</v>
      </c>
      <c r="AH10" s="9" t="s">
        <v>85</v>
      </c>
      <c r="AI10" s="9">
        <v>0.65</v>
      </c>
      <c r="AJ10" s="9" t="s">
        <v>85</v>
      </c>
      <c r="AK10" s="9" t="s">
        <v>85</v>
      </c>
      <c r="AL10" s="9">
        <v>0.7</v>
      </c>
      <c r="AM10" s="9" t="s">
        <v>85</v>
      </c>
      <c r="AN10" s="9" t="s">
        <v>85</v>
      </c>
      <c r="AO10" s="9">
        <v>0.633333</v>
      </c>
      <c r="AP10" s="9" t="s">
        <v>85</v>
      </c>
      <c r="AQ10" s="9" t="s">
        <v>85</v>
      </c>
      <c r="AR10" s="9">
        <v>0.6</v>
      </c>
      <c r="AS10" s="9" t="s">
        <v>85</v>
      </c>
      <c r="AT10" s="9" t="s">
        <v>85</v>
      </c>
      <c r="AU10" s="9">
        <v>0.766667</v>
      </c>
      <c r="AV10" s="9" t="s">
        <v>85</v>
      </c>
      <c r="AW10" s="9" t="s">
        <v>85</v>
      </c>
      <c r="AX10" s="9">
        <v>0.7</v>
      </c>
      <c r="AY10" s="9" t="s">
        <v>85</v>
      </c>
      <c r="AZ10" s="9" t="s">
        <v>85</v>
      </c>
      <c r="BA10" s="9">
        <v>0.55</v>
      </c>
      <c r="BB10" s="10" t="s">
        <v>85</v>
      </c>
      <c r="BC10" s="10" t="s">
        <v>85</v>
      </c>
      <c r="BD10" s="9">
        <v>0.683333</v>
      </c>
      <c r="BE10" s="9" t="s">
        <v>85</v>
      </c>
      <c r="BF10" s="9" t="s">
        <v>85</v>
      </c>
      <c r="BG10" s="9">
        <v>0.583333</v>
      </c>
      <c r="BH10" s="6"/>
      <c r="BI10" s="6" t="str">
        <f t="shared" si="1"/>
        <v>12V_One_Acc</v>
      </c>
      <c r="BJ10" s="6" t="str">
        <f t="shared" si="2"/>
        <v>8V_One_Acc</v>
      </c>
      <c r="BK10" s="6" t="str">
        <f t="shared" si="3"/>
        <v>10VB_One_Acc</v>
      </c>
      <c r="BL10" s="6"/>
      <c r="BM10" s="6" t="s">
        <v>234</v>
      </c>
      <c r="BN10" s="18">
        <f>COUNTIFS(BI3:BI100,"*V*",B3:B100,"&lt;=100")</f>
        <v>11</v>
      </c>
      <c r="BO10" s="19">
        <f>COUNTIFS(BI3:BI100,"*V*",B3:B100,"&gt;100",B3:B100,"&lt;=200")</f>
        <v>8</v>
      </c>
      <c r="BP10" s="18">
        <f>COUNTIFS(BI3:BI100,"*V*",B3:B100,"&gt;200",B3:B100,"&lt;500")</f>
        <v>10</v>
      </c>
      <c r="BQ10" s="18">
        <f>COUNTIFS(BI3:BI100,"*V*",B3:B100,"&gt;=500",B3:B100,"&lt;1000")</f>
        <v>5</v>
      </c>
      <c r="BR10" s="18">
        <f>COUNTIFS(BI3:BI100,"*V*",B3:B100,"&gt;=1000")</f>
        <v>13</v>
      </c>
      <c r="BS10" s="6">
        <f t="shared" si="5"/>
        <v>47</v>
      </c>
      <c r="BT10" s="6"/>
      <c r="BU10" s="6"/>
      <c r="BV10" s="6"/>
      <c r="BW10" s="6"/>
      <c r="BX10" s="6"/>
    </row>
    <row r="11" ht="15.75" customHeight="1">
      <c r="A11" s="1" t="s">
        <v>101</v>
      </c>
      <c r="B11" s="17">
        <v>128.0</v>
      </c>
      <c r="C11" s="9" t="s">
        <v>85</v>
      </c>
      <c r="D11" s="9" t="s">
        <v>85</v>
      </c>
      <c r="E11" s="9">
        <v>0.955556</v>
      </c>
      <c r="F11" s="9" t="s">
        <v>85</v>
      </c>
      <c r="G11" s="9" t="s">
        <v>85</v>
      </c>
      <c r="H11" s="9">
        <v>0.331111</v>
      </c>
      <c r="I11" s="9" t="s">
        <v>85</v>
      </c>
      <c r="J11" s="9" t="s">
        <v>85</v>
      </c>
      <c r="K11" s="9">
        <v>0.984444</v>
      </c>
      <c r="L11" s="9" t="s">
        <v>85</v>
      </c>
      <c r="M11" s="9" t="s">
        <v>85</v>
      </c>
      <c r="N11" s="9">
        <v>0.975556</v>
      </c>
      <c r="O11" s="9" t="s">
        <v>85</v>
      </c>
      <c r="P11" s="9" t="s">
        <v>85</v>
      </c>
      <c r="Q11" s="9">
        <v>0.935556</v>
      </c>
      <c r="R11" s="9" t="s">
        <v>85</v>
      </c>
      <c r="S11" s="9" t="s">
        <v>85</v>
      </c>
      <c r="T11" s="9">
        <v>0.938889</v>
      </c>
      <c r="U11" s="9" t="s">
        <v>85</v>
      </c>
      <c r="V11" s="9" t="s">
        <v>85</v>
      </c>
      <c r="W11" s="9">
        <v>0.945556</v>
      </c>
      <c r="X11" s="9" t="s">
        <v>85</v>
      </c>
      <c r="Y11" s="9" t="s">
        <v>85</v>
      </c>
      <c r="Z11" s="9">
        <v>0.956667</v>
      </c>
      <c r="AA11" s="10" t="s">
        <v>85</v>
      </c>
      <c r="AB11" s="10" t="s">
        <v>85</v>
      </c>
      <c r="AC11" s="9">
        <v>0.965556</v>
      </c>
      <c r="AD11" s="9" t="s">
        <v>85</v>
      </c>
      <c r="AE11" s="9" t="s">
        <v>85</v>
      </c>
      <c r="AF11" s="9">
        <v>0.96</v>
      </c>
      <c r="AG11" s="9" t="s">
        <v>85</v>
      </c>
      <c r="AH11" s="9" t="s">
        <v>85</v>
      </c>
      <c r="AI11" s="9">
        <v>0.974444</v>
      </c>
      <c r="AJ11" s="9" t="s">
        <v>85</v>
      </c>
      <c r="AK11" s="9" t="s">
        <v>85</v>
      </c>
      <c r="AL11" s="9">
        <v>0.975556</v>
      </c>
      <c r="AM11" s="9" t="s">
        <v>85</v>
      </c>
      <c r="AN11" s="9" t="s">
        <v>85</v>
      </c>
      <c r="AO11" s="9">
        <v>0.961111</v>
      </c>
      <c r="AP11" s="9" t="s">
        <v>85</v>
      </c>
      <c r="AQ11" s="9" t="s">
        <v>85</v>
      </c>
      <c r="AR11" s="1" t="s">
        <v>85</v>
      </c>
      <c r="AS11" s="9" t="s">
        <v>85</v>
      </c>
      <c r="AT11" s="9" t="s">
        <v>85</v>
      </c>
      <c r="AU11" s="9">
        <v>0.933333</v>
      </c>
      <c r="AV11" s="9" t="s">
        <v>85</v>
      </c>
      <c r="AW11" s="9" t="s">
        <v>85</v>
      </c>
      <c r="AX11" s="9">
        <v>0.948889</v>
      </c>
      <c r="AY11" s="9" t="s">
        <v>85</v>
      </c>
      <c r="AZ11" s="9" t="s">
        <v>85</v>
      </c>
      <c r="BA11" s="9">
        <v>0.971111</v>
      </c>
      <c r="BB11" s="10" t="s">
        <v>85</v>
      </c>
      <c r="BC11" s="10" t="s">
        <v>85</v>
      </c>
      <c r="BD11" s="9">
        <v>0.94</v>
      </c>
      <c r="BE11" s="9" t="s">
        <v>85</v>
      </c>
      <c r="BF11" s="9" t="s">
        <v>85</v>
      </c>
      <c r="BG11" s="9">
        <v>0.861111</v>
      </c>
      <c r="BH11" s="6"/>
      <c r="BI11" s="6" t="str">
        <f t="shared" si="1"/>
        <v>5V_One_Acc</v>
      </c>
      <c r="BJ11" s="6" t="str">
        <f t="shared" si="2"/>
        <v>5VB_One_Acc</v>
      </c>
      <c r="BK11" s="6" t="str">
        <f t="shared" si="3"/>
        <v>5VB_One_Acc</v>
      </c>
      <c r="BL11" s="6"/>
      <c r="BM11" s="6" t="s">
        <v>20</v>
      </c>
      <c r="BN11" s="18">
        <f>COUNTIFS(BI3:BI100,"*De*",B3:B100,"&lt;=100")</f>
        <v>5</v>
      </c>
      <c r="BO11" s="19">
        <f>COUNTIFS(BI3:BI100,"*De*",B3:B100,"&gt;100",B3:B100,"&lt;=200")</f>
        <v>3</v>
      </c>
      <c r="BP11" s="18">
        <f>COUNTIFS(BI3:BI100,"*De*",B3:B100,"&gt;200",B3:B100,"&lt;500")</f>
        <v>2</v>
      </c>
      <c r="BQ11" s="18">
        <f>COUNTIFS(BI3:BI100,"*De*",B3:B100,"&gt;=500",B3:B100,"&lt;1000")</f>
        <v>3</v>
      </c>
      <c r="BR11" s="18">
        <f>COUNTIFS(BI3:BI100,"*De*",B3:B100,"&gt;=1000")</f>
        <v>0</v>
      </c>
      <c r="BS11" s="6">
        <f t="shared" si="5"/>
        <v>13</v>
      </c>
      <c r="BT11" s="6"/>
      <c r="BU11" s="6"/>
      <c r="BV11" s="6"/>
      <c r="BW11" s="6"/>
      <c r="BX11" s="6"/>
    </row>
    <row r="12" ht="15.75" customHeight="1">
      <c r="A12" s="1" t="s">
        <v>103</v>
      </c>
      <c r="B12" s="17">
        <v>24.0</v>
      </c>
      <c r="C12" s="9" t="s">
        <v>85</v>
      </c>
      <c r="D12" s="9" t="s">
        <v>85</v>
      </c>
      <c r="E12" s="9">
        <v>0.976676</v>
      </c>
      <c r="F12" s="9" t="s">
        <v>85</v>
      </c>
      <c r="G12" s="9" t="s">
        <v>85</v>
      </c>
      <c r="H12" s="9">
        <v>0.717201</v>
      </c>
      <c r="I12" s="9" t="s">
        <v>85</v>
      </c>
      <c r="J12" s="9" t="s">
        <v>85</v>
      </c>
      <c r="K12" s="9">
        <v>0.962099</v>
      </c>
      <c r="L12" s="9" t="s">
        <v>85</v>
      </c>
      <c r="M12" s="9" t="s">
        <v>85</v>
      </c>
      <c r="N12" s="9">
        <v>0.965015</v>
      </c>
      <c r="O12" s="9" t="s">
        <v>85</v>
      </c>
      <c r="P12" s="9" t="s">
        <v>85</v>
      </c>
      <c r="Q12" s="9">
        <v>0.96793</v>
      </c>
      <c r="R12" s="9" t="s">
        <v>85</v>
      </c>
      <c r="S12" s="9" t="s">
        <v>85</v>
      </c>
      <c r="T12" s="9">
        <v>0.979592</v>
      </c>
      <c r="U12" s="9" t="s">
        <v>85</v>
      </c>
      <c r="V12" s="9" t="s">
        <v>85</v>
      </c>
      <c r="W12" s="9">
        <v>0.944606</v>
      </c>
      <c r="X12" s="9" t="s">
        <v>85</v>
      </c>
      <c r="Y12" s="9" t="s">
        <v>85</v>
      </c>
      <c r="Z12" s="9">
        <v>0.944606</v>
      </c>
      <c r="AA12" s="10" t="s">
        <v>85</v>
      </c>
      <c r="AB12" s="10" t="s">
        <v>85</v>
      </c>
      <c r="AC12" s="9">
        <v>0.982507</v>
      </c>
      <c r="AD12" s="9" t="s">
        <v>85</v>
      </c>
      <c r="AE12" s="9" t="s">
        <v>85</v>
      </c>
      <c r="AF12" s="9">
        <v>0.982507</v>
      </c>
      <c r="AG12" s="9" t="s">
        <v>85</v>
      </c>
      <c r="AH12" s="9" t="s">
        <v>85</v>
      </c>
      <c r="AI12" s="9">
        <v>0.947522</v>
      </c>
      <c r="AJ12" s="9" t="s">
        <v>85</v>
      </c>
      <c r="AK12" s="9" t="s">
        <v>85</v>
      </c>
      <c r="AL12" s="9">
        <v>0.932945</v>
      </c>
      <c r="AM12" s="9" t="s">
        <v>85</v>
      </c>
      <c r="AN12" s="9" t="s">
        <v>85</v>
      </c>
      <c r="AO12" s="9">
        <v>0.979592</v>
      </c>
      <c r="AP12" s="9" t="s">
        <v>85</v>
      </c>
      <c r="AQ12" s="9" t="s">
        <v>85</v>
      </c>
      <c r="AR12" s="9">
        <v>0.982507</v>
      </c>
      <c r="AS12" s="9" t="s">
        <v>85</v>
      </c>
      <c r="AT12" s="9" t="s">
        <v>85</v>
      </c>
      <c r="AU12" s="9">
        <v>0.932945</v>
      </c>
      <c r="AV12" s="9" t="s">
        <v>85</v>
      </c>
      <c r="AW12" s="9" t="s">
        <v>85</v>
      </c>
      <c r="AX12" s="9">
        <v>0.956268</v>
      </c>
      <c r="AY12" s="9" t="s">
        <v>85</v>
      </c>
      <c r="AZ12" s="9" t="s">
        <v>85</v>
      </c>
      <c r="BA12" s="9">
        <v>0.947522</v>
      </c>
      <c r="BB12" s="10" t="s">
        <v>85</v>
      </c>
      <c r="BC12" s="10" t="s">
        <v>85</v>
      </c>
      <c r="BD12" s="9">
        <v>0.947522</v>
      </c>
      <c r="BE12" s="9" t="s">
        <v>85</v>
      </c>
      <c r="BF12" s="9" t="s">
        <v>85</v>
      </c>
      <c r="BG12" s="9">
        <v>0.970845</v>
      </c>
      <c r="BH12" s="6"/>
      <c r="BI12" s="6" t="str">
        <f t="shared" si="1"/>
        <v>10B_One_Acc</v>
      </c>
      <c r="BJ12" s="6" t="str">
        <f t="shared" si="2"/>
        <v>10B_One_Acc</v>
      </c>
      <c r="BK12" s="6" t="str">
        <f t="shared" si="3"/>
        <v>10B_One_Acc</v>
      </c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</row>
    <row r="13" ht="15.75" customHeight="1">
      <c r="A13" s="1" t="s">
        <v>105</v>
      </c>
      <c r="B13" s="17">
        <v>166.0</v>
      </c>
      <c r="C13" s="9" t="s">
        <v>85</v>
      </c>
      <c r="D13" s="9" t="s">
        <v>85</v>
      </c>
      <c r="E13" s="9">
        <v>0.547917</v>
      </c>
      <c r="F13" s="9" t="s">
        <v>85</v>
      </c>
      <c r="G13" s="9" t="s">
        <v>85</v>
      </c>
      <c r="H13" s="9">
        <v>0.532552</v>
      </c>
      <c r="I13" s="9" t="s">
        <v>85</v>
      </c>
      <c r="J13" s="9" t="s">
        <v>85</v>
      </c>
      <c r="K13" s="9">
        <v>0.532552</v>
      </c>
      <c r="L13" s="9" t="s">
        <v>85</v>
      </c>
      <c r="M13" s="9" t="s">
        <v>85</v>
      </c>
      <c r="N13" s="9">
        <v>0.532552</v>
      </c>
      <c r="O13" s="9" t="s">
        <v>85</v>
      </c>
      <c r="P13" s="9" t="s">
        <v>85</v>
      </c>
      <c r="Q13" s="9">
        <v>0.535677</v>
      </c>
      <c r="R13" s="9" t="s">
        <v>85</v>
      </c>
      <c r="S13" s="9" t="s">
        <v>85</v>
      </c>
      <c r="T13" s="9">
        <v>0.532552</v>
      </c>
      <c r="U13" s="9" t="s">
        <v>85</v>
      </c>
      <c r="V13" s="9" t="s">
        <v>85</v>
      </c>
      <c r="W13" s="9">
        <v>0.56276</v>
      </c>
      <c r="X13" s="9" t="s">
        <v>85</v>
      </c>
      <c r="Y13" s="9" t="s">
        <v>85</v>
      </c>
      <c r="Z13" s="9">
        <v>0.532552</v>
      </c>
      <c r="AA13" s="10" t="s">
        <v>85</v>
      </c>
      <c r="AB13" s="10" t="s">
        <v>85</v>
      </c>
      <c r="AC13" s="9">
        <v>0.579427</v>
      </c>
      <c r="AD13" s="9" t="s">
        <v>85</v>
      </c>
      <c r="AE13" s="9" t="s">
        <v>85</v>
      </c>
      <c r="AF13" s="9">
        <v>0.532552</v>
      </c>
      <c r="AG13" s="9" t="s">
        <v>85</v>
      </c>
      <c r="AH13" s="9" t="s">
        <v>85</v>
      </c>
      <c r="AI13" s="9">
        <v>0.532552</v>
      </c>
      <c r="AJ13" s="9" t="s">
        <v>85</v>
      </c>
      <c r="AK13" s="9" t="s">
        <v>85</v>
      </c>
      <c r="AL13" s="9">
        <v>0.532552</v>
      </c>
      <c r="AM13" s="9" t="s">
        <v>85</v>
      </c>
      <c r="AN13" s="9" t="s">
        <v>85</v>
      </c>
      <c r="AO13" s="9">
        <v>0.579427</v>
      </c>
      <c r="AP13" s="9" t="s">
        <v>85</v>
      </c>
      <c r="AQ13" s="9" t="s">
        <v>85</v>
      </c>
      <c r="AR13" s="9">
        <v>0.578385</v>
      </c>
      <c r="AS13" s="9" t="s">
        <v>85</v>
      </c>
      <c r="AT13" s="9" t="s">
        <v>85</v>
      </c>
      <c r="AU13" s="9">
        <v>0.59974</v>
      </c>
      <c r="AV13" s="9" t="s">
        <v>85</v>
      </c>
      <c r="AW13" s="9" t="s">
        <v>85</v>
      </c>
      <c r="AX13" s="9">
        <v>0.532552</v>
      </c>
      <c r="AY13" s="9" t="s">
        <v>85</v>
      </c>
      <c r="AZ13" s="9" t="s">
        <v>85</v>
      </c>
      <c r="BA13" s="9">
        <v>0.588542</v>
      </c>
      <c r="BB13" s="10" t="s">
        <v>85</v>
      </c>
      <c r="BC13" s="10" t="s">
        <v>85</v>
      </c>
      <c r="BD13" s="9">
        <v>0.532552</v>
      </c>
      <c r="BE13" s="9" t="s">
        <v>85</v>
      </c>
      <c r="BF13" s="9" t="s">
        <v>85</v>
      </c>
      <c r="BG13" s="9">
        <v>0.5625</v>
      </c>
      <c r="BH13" s="6"/>
      <c r="BI13" s="6" t="str">
        <f t="shared" si="1"/>
        <v>12V_One_Acc</v>
      </c>
      <c r="BJ13" s="6" t="str">
        <f t="shared" si="2"/>
        <v>20B_One_Acc</v>
      </c>
      <c r="BK13" s="6" t="str">
        <f t="shared" si="3"/>
        <v>10B_One_Acc</v>
      </c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</row>
    <row r="14" ht="15.75" customHeight="1">
      <c r="A14" s="1" t="s">
        <v>107</v>
      </c>
      <c r="B14" s="17">
        <v>1639.0</v>
      </c>
      <c r="C14" s="9" t="s">
        <v>85</v>
      </c>
      <c r="D14" s="9" t="s">
        <v>85</v>
      </c>
      <c r="E14" s="9">
        <v>0.435507</v>
      </c>
      <c r="F14" s="9" t="s">
        <v>85</v>
      </c>
      <c r="G14" s="9" t="s">
        <v>85</v>
      </c>
      <c r="H14" s="9">
        <v>0.247826</v>
      </c>
      <c r="I14" s="9" t="s">
        <v>85</v>
      </c>
      <c r="J14" s="9" t="s">
        <v>85</v>
      </c>
      <c r="K14" s="9">
        <v>0.496377</v>
      </c>
      <c r="L14" s="9" t="s">
        <v>85</v>
      </c>
      <c r="M14" s="9" t="s">
        <v>85</v>
      </c>
      <c r="N14" s="9">
        <v>0.494203</v>
      </c>
      <c r="O14" s="9" t="s">
        <v>85</v>
      </c>
      <c r="P14" s="9" t="s">
        <v>85</v>
      </c>
      <c r="Q14" s="9">
        <v>0.643478</v>
      </c>
      <c r="R14" s="9" t="s">
        <v>85</v>
      </c>
      <c r="S14" s="9" t="s">
        <v>85</v>
      </c>
      <c r="T14" s="9">
        <v>0.603623</v>
      </c>
      <c r="U14" s="9" t="s">
        <v>85</v>
      </c>
      <c r="V14" s="9" t="s">
        <v>85</v>
      </c>
      <c r="W14" s="9">
        <v>0.628261</v>
      </c>
      <c r="X14" s="9" t="s">
        <v>85</v>
      </c>
      <c r="Y14" s="9" t="s">
        <v>85</v>
      </c>
      <c r="Z14" s="9">
        <v>0.602899</v>
      </c>
      <c r="AA14" s="10" t="s">
        <v>85</v>
      </c>
      <c r="AB14" s="10" t="s">
        <v>85</v>
      </c>
      <c r="AC14" s="9">
        <v>0.656522</v>
      </c>
      <c r="AD14" s="9" t="s">
        <v>85</v>
      </c>
      <c r="AE14" s="9" t="s">
        <v>85</v>
      </c>
      <c r="AF14" s="9">
        <v>0.668841</v>
      </c>
      <c r="AG14" s="9" t="s">
        <v>85</v>
      </c>
      <c r="AH14" s="9" t="s">
        <v>85</v>
      </c>
      <c r="AI14" s="9">
        <v>0.641304</v>
      </c>
      <c r="AJ14" s="9" t="s">
        <v>85</v>
      </c>
      <c r="AK14" s="9" t="s">
        <v>85</v>
      </c>
      <c r="AL14" s="9">
        <v>0.634058</v>
      </c>
      <c r="AM14" s="9" t="s">
        <v>85</v>
      </c>
      <c r="AN14" s="9" t="s">
        <v>85</v>
      </c>
      <c r="AO14" s="9">
        <v>0.63913</v>
      </c>
      <c r="AP14" s="9" t="s">
        <v>85</v>
      </c>
      <c r="AQ14" s="9" t="s">
        <v>85</v>
      </c>
      <c r="AR14" s="9">
        <v>0.646377</v>
      </c>
      <c r="AS14" s="9" t="s">
        <v>85</v>
      </c>
      <c r="AT14" s="9" t="s">
        <v>85</v>
      </c>
      <c r="AU14" s="9">
        <v>0.697826</v>
      </c>
      <c r="AV14" s="9" t="s">
        <v>85</v>
      </c>
      <c r="AW14" s="9" t="s">
        <v>85</v>
      </c>
      <c r="AX14" s="9">
        <v>0.742029</v>
      </c>
      <c r="AY14" s="9" t="s">
        <v>85</v>
      </c>
      <c r="AZ14" s="9" t="s">
        <v>85</v>
      </c>
      <c r="BA14" s="9">
        <v>0.787681</v>
      </c>
      <c r="BB14" s="10" t="s">
        <v>85</v>
      </c>
      <c r="BC14" s="10" t="s">
        <v>85</v>
      </c>
      <c r="BD14" s="9">
        <v>0.797101</v>
      </c>
      <c r="BE14" s="9" t="s">
        <v>85</v>
      </c>
      <c r="BF14" s="9" t="s">
        <v>85</v>
      </c>
      <c r="BG14" s="9">
        <v>0.281884</v>
      </c>
      <c r="BH14" s="6"/>
      <c r="BI14" s="6" t="str">
        <f t="shared" si="1"/>
        <v>20V_One_Acc</v>
      </c>
      <c r="BJ14" s="6" t="str">
        <f t="shared" si="2"/>
        <v>20B_One_Acc</v>
      </c>
      <c r="BK14" s="6" t="str">
        <f t="shared" si="3"/>
        <v>12VB_One_Acc</v>
      </c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</row>
    <row r="15" ht="15.75" customHeight="1">
      <c r="A15" s="1" t="s">
        <v>109</v>
      </c>
      <c r="B15" s="17">
        <v>286.0</v>
      </c>
      <c r="C15" s="9" t="s">
        <v>85</v>
      </c>
      <c r="D15" s="9" t="s">
        <v>85</v>
      </c>
      <c r="E15" s="9">
        <v>0.75</v>
      </c>
      <c r="F15" s="9" t="s">
        <v>85</v>
      </c>
      <c r="G15" s="9" t="s">
        <v>85</v>
      </c>
      <c r="H15" s="9">
        <v>0.464286</v>
      </c>
      <c r="I15" s="9" t="s">
        <v>85</v>
      </c>
      <c r="J15" s="9" t="s">
        <v>85</v>
      </c>
      <c r="K15" s="9">
        <v>0.821429</v>
      </c>
      <c r="L15" s="9" t="s">
        <v>85</v>
      </c>
      <c r="M15" s="9" t="s">
        <v>85</v>
      </c>
      <c r="N15" s="9">
        <v>0.75</v>
      </c>
      <c r="O15" s="9" t="s">
        <v>85</v>
      </c>
      <c r="P15" s="9" t="s">
        <v>85</v>
      </c>
      <c r="Q15" s="9">
        <v>0.714286</v>
      </c>
      <c r="R15" s="9" t="s">
        <v>85</v>
      </c>
      <c r="S15" s="9" t="s">
        <v>85</v>
      </c>
      <c r="T15" s="9">
        <v>0.75</v>
      </c>
      <c r="U15" s="9" t="s">
        <v>85</v>
      </c>
      <c r="V15" s="9" t="s">
        <v>85</v>
      </c>
      <c r="W15" s="9">
        <v>0.964286</v>
      </c>
      <c r="X15" s="9" t="s">
        <v>85</v>
      </c>
      <c r="Y15" s="9" t="s">
        <v>85</v>
      </c>
      <c r="Z15" s="9">
        <v>1.0</v>
      </c>
      <c r="AA15" s="10" t="s">
        <v>85</v>
      </c>
      <c r="AB15" s="10" t="s">
        <v>85</v>
      </c>
      <c r="AC15" s="9">
        <v>0.857143</v>
      </c>
      <c r="AD15" s="9" t="s">
        <v>85</v>
      </c>
      <c r="AE15" s="9" t="s">
        <v>85</v>
      </c>
      <c r="AF15" s="9">
        <v>0.857143</v>
      </c>
      <c r="AG15" s="9" t="s">
        <v>85</v>
      </c>
      <c r="AH15" s="9" t="s">
        <v>85</v>
      </c>
      <c r="AI15" s="9">
        <v>0.857143</v>
      </c>
      <c r="AJ15" s="9" t="s">
        <v>85</v>
      </c>
      <c r="AK15" s="9" t="s">
        <v>85</v>
      </c>
      <c r="AL15" s="9">
        <v>0.857143</v>
      </c>
      <c r="AM15" s="9" t="s">
        <v>85</v>
      </c>
      <c r="AN15" s="9" t="s">
        <v>85</v>
      </c>
      <c r="AO15" s="9">
        <v>0.928571</v>
      </c>
      <c r="AP15" s="9" t="s">
        <v>85</v>
      </c>
      <c r="AQ15" s="9" t="s">
        <v>85</v>
      </c>
      <c r="AR15" s="9">
        <v>0.928571</v>
      </c>
      <c r="AS15" s="9" t="s">
        <v>85</v>
      </c>
      <c r="AT15" s="9" t="s">
        <v>85</v>
      </c>
      <c r="AU15" s="9">
        <v>0.964286</v>
      </c>
      <c r="AV15" s="9" t="s">
        <v>85</v>
      </c>
      <c r="AW15" s="9" t="s">
        <v>85</v>
      </c>
      <c r="AX15" s="9">
        <v>0.964286</v>
      </c>
      <c r="AY15" s="9" t="s">
        <v>85</v>
      </c>
      <c r="AZ15" s="9" t="s">
        <v>85</v>
      </c>
      <c r="BA15" s="9">
        <v>0.928571</v>
      </c>
      <c r="BB15" s="10" t="s">
        <v>85</v>
      </c>
      <c r="BC15" s="10" t="s">
        <v>85</v>
      </c>
      <c r="BD15" s="9">
        <v>0.964286</v>
      </c>
      <c r="BE15" s="9" t="s">
        <v>85</v>
      </c>
      <c r="BF15" s="9" t="s">
        <v>85</v>
      </c>
      <c r="BG15" s="9">
        <v>0.928571</v>
      </c>
      <c r="BH15" s="6"/>
      <c r="BI15" s="6" t="str">
        <f t="shared" si="1"/>
        <v>8VB_One_Acc</v>
      </c>
      <c r="BJ15" s="6" t="str">
        <f t="shared" si="2"/>
        <v>8V_One_Acc</v>
      </c>
      <c r="BK15" s="6" t="str">
        <f t="shared" si="3"/>
        <v>8V_One_Acc</v>
      </c>
      <c r="BL15" s="6"/>
      <c r="BM15" s="1" t="s">
        <v>214</v>
      </c>
      <c r="BN15" s="6" t="s">
        <v>212</v>
      </c>
      <c r="BO15" s="6"/>
      <c r="BP15" s="6"/>
      <c r="BQ15" s="6"/>
      <c r="BR15" s="6"/>
      <c r="BS15" s="6"/>
      <c r="BT15" s="6"/>
      <c r="BU15" s="6"/>
      <c r="BV15" s="6"/>
      <c r="BW15" s="6"/>
      <c r="BX15" s="6"/>
    </row>
    <row r="16" ht="15.75" customHeight="1">
      <c r="A16" s="1" t="s">
        <v>110</v>
      </c>
      <c r="B16" s="17">
        <v>720.0</v>
      </c>
      <c r="C16" s="9" t="s">
        <v>85</v>
      </c>
      <c r="D16" s="9" t="s">
        <v>85</v>
      </c>
      <c r="E16" s="9">
        <v>0.812</v>
      </c>
      <c r="F16" s="9" t="s">
        <v>85</v>
      </c>
      <c r="G16" s="9" t="s">
        <v>85</v>
      </c>
      <c r="H16" s="9">
        <v>0.5</v>
      </c>
      <c r="I16" s="9" t="s">
        <v>85</v>
      </c>
      <c r="J16" s="9" t="s">
        <v>85</v>
      </c>
      <c r="K16" s="9">
        <v>0.684</v>
      </c>
      <c r="L16" s="9" t="s">
        <v>85</v>
      </c>
      <c r="M16" s="9" t="s">
        <v>85</v>
      </c>
      <c r="N16" s="9">
        <v>0.672</v>
      </c>
      <c r="O16" s="9" t="s">
        <v>85</v>
      </c>
      <c r="P16" s="9" t="s">
        <v>85</v>
      </c>
      <c r="Q16" s="9">
        <v>0.836</v>
      </c>
      <c r="R16" s="9" t="s">
        <v>85</v>
      </c>
      <c r="S16" s="9" t="s">
        <v>85</v>
      </c>
      <c r="T16" s="9">
        <v>0.824</v>
      </c>
      <c r="U16" s="9" t="s">
        <v>85</v>
      </c>
      <c r="V16" s="9" t="s">
        <v>85</v>
      </c>
      <c r="W16" s="9">
        <v>0.712</v>
      </c>
      <c r="X16" s="9" t="s">
        <v>85</v>
      </c>
      <c r="Y16" s="9" t="s">
        <v>85</v>
      </c>
      <c r="Z16" s="9">
        <v>0.692</v>
      </c>
      <c r="AA16" s="10" t="s">
        <v>85</v>
      </c>
      <c r="AB16" s="10" t="s">
        <v>85</v>
      </c>
      <c r="AC16" s="9">
        <v>0.824</v>
      </c>
      <c r="AD16" s="9" t="s">
        <v>85</v>
      </c>
      <c r="AE16" s="9" t="s">
        <v>85</v>
      </c>
      <c r="AF16" s="9">
        <v>0.828</v>
      </c>
      <c r="AG16" s="9" t="s">
        <v>85</v>
      </c>
      <c r="AH16" s="9" t="s">
        <v>85</v>
      </c>
      <c r="AI16" s="9">
        <v>0.616</v>
      </c>
      <c r="AJ16" s="9" t="s">
        <v>85</v>
      </c>
      <c r="AK16" s="9" t="s">
        <v>85</v>
      </c>
      <c r="AL16" s="9">
        <v>0.676</v>
      </c>
      <c r="AM16" s="9" t="s">
        <v>85</v>
      </c>
      <c r="AN16" s="9" t="s">
        <v>85</v>
      </c>
      <c r="AO16" s="9">
        <v>0.8</v>
      </c>
      <c r="AP16" s="9" t="s">
        <v>85</v>
      </c>
      <c r="AQ16" s="9" t="s">
        <v>85</v>
      </c>
      <c r="AR16" s="9">
        <v>0.812</v>
      </c>
      <c r="AS16" s="9" t="s">
        <v>85</v>
      </c>
      <c r="AT16" s="9" t="s">
        <v>85</v>
      </c>
      <c r="AU16" s="9">
        <v>0.648</v>
      </c>
      <c r="AV16" s="9" t="s">
        <v>85</v>
      </c>
      <c r="AW16" s="9" t="s">
        <v>85</v>
      </c>
      <c r="AX16" s="9">
        <v>0.644</v>
      </c>
      <c r="AY16" s="9" t="s">
        <v>85</v>
      </c>
      <c r="AZ16" s="9" t="s">
        <v>85</v>
      </c>
      <c r="BA16" s="9">
        <v>0.784</v>
      </c>
      <c r="BB16" s="10" t="s">
        <v>85</v>
      </c>
      <c r="BC16" s="10" t="s">
        <v>85</v>
      </c>
      <c r="BD16" s="9">
        <v>0.684</v>
      </c>
      <c r="BE16" s="9" t="s">
        <v>85</v>
      </c>
      <c r="BF16" s="9" t="s">
        <v>85</v>
      </c>
      <c r="BG16" s="9">
        <v>0.604</v>
      </c>
      <c r="BH16" s="6"/>
      <c r="BI16" s="6" t="str">
        <f t="shared" si="1"/>
        <v>8B_One_Acc</v>
      </c>
      <c r="BJ16" s="6" t="str">
        <f t="shared" si="2"/>
        <v>10BN_One_Acc</v>
      </c>
      <c r="BK16" s="6" t="str">
        <f t="shared" si="3"/>
        <v>8BN_One_Acc</v>
      </c>
      <c r="BL16" s="6"/>
      <c r="BN16" s="6" t="s">
        <v>221</v>
      </c>
      <c r="BO16" s="6" t="s">
        <v>222</v>
      </c>
      <c r="BP16" s="6" t="s">
        <v>223</v>
      </c>
      <c r="BQ16" s="6" t="s">
        <v>224</v>
      </c>
      <c r="BR16" s="6" t="s">
        <v>225</v>
      </c>
      <c r="BS16" s="6"/>
      <c r="BT16" s="6"/>
      <c r="BU16" s="6"/>
      <c r="BV16" s="6"/>
      <c r="BW16" s="6"/>
      <c r="BX16" s="6"/>
    </row>
    <row r="17" ht="15.75" customHeight="1">
      <c r="A17" s="1" t="s">
        <v>111</v>
      </c>
      <c r="B17" s="17">
        <v>46.0</v>
      </c>
      <c r="C17" s="9" t="s">
        <v>85</v>
      </c>
      <c r="D17" s="9" t="s">
        <v>85</v>
      </c>
      <c r="E17" s="9">
        <v>0.445952</v>
      </c>
      <c r="F17" s="9" t="s">
        <v>85</v>
      </c>
      <c r="G17" s="9" t="s">
        <v>85</v>
      </c>
      <c r="H17" s="9">
        <v>0.041667</v>
      </c>
      <c r="I17" s="9" t="s">
        <v>85</v>
      </c>
      <c r="J17" s="9" t="s">
        <v>85</v>
      </c>
      <c r="K17" s="9">
        <v>0.253274</v>
      </c>
      <c r="L17" s="9" t="s">
        <v>85</v>
      </c>
      <c r="M17" s="9" t="s">
        <v>85</v>
      </c>
      <c r="N17" s="9">
        <v>0.37631</v>
      </c>
      <c r="O17" s="9" t="s">
        <v>85</v>
      </c>
      <c r="P17" s="9" t="s">
        <v>85</v>
      </c>
      <c r="Q17" s="9">
        <v>0.352976</v>
      </c>
      <c r="R17" s="9" t="s">
        <v>85</v>
      </c>
      <c r="S17" s="9" t="s">
        <v>85</v>
      </c>
      <c r="T17" s="9">
        <v>0.471131</v>
      </c>
      <c r="U17" s="9" t="s">
        <v>85</v>
      </c>
      <c r="V17" s="9" t="s">
        <v>85</v>
      </c>
      <c r="W17" s="9">
        <v>0.489762</v>
      </c>
      <c r="X17" s="9" t="s">
        <v>85</v>
      </c>
      <c r="Y17" s="9" t="s">
        <v>85</v>
      </c>
      <c r="Z17" s="9">
        <v>0.255119</v>
      </c>
      <c r="AA17" s="10" t="s">
        <v>85</v>
      </c>
      <c r="AB17" s="10" t="s">
        <v>85</v>
      </c>
      <c r="AC17" s="9">
        <v>0.475595</v>
      </c>
      <c r="AD17" s="9" t="s">
        <v>85</v>
      </c>
      <c r="AE17" s="9" t="s">
        <v>85</v>
      </c>
      <c r="AF17" s="9">
        <v>0.224286</v>
      </c>
      <c r="AG17" s="9" t="s">
        <v>85</v>
      </c>
      <c r="AH17" s="9" t="s">
        <v>85</v>
      </c>
      <c r="AI17" s="9">
        <v>0.407679</v>
      </c>
      <c r="AJ17" s="9" t="s">
        <v>85</v>
      </c>
      <c r="AK17" s="9" t="s">
        <v>85</v>
      </c>
      <c r="AL17" s="9">
        <v>0.2325</v>
      </c>
      <c r="AM17" s="9" t="s">
        <v>85</v>
      </c>
      <c r="AN17" s="9" t="s">
        <v>85</v>
      </c>
      <c r="AO17" s="9">
        <v>0.560119</v>
      </c>
      <c r="AP17" s="9" t="s">
        <v>85</v>
      </c>
      <c r="AQ17" s="9" t="s">
        <v>85</v>
      </c>
      <c r="AR17" s="9">
        <v>0.472381</v>
      </c>
      <c r="AS17" s="9" t="s">
        <v>85</v>
      </c>
      <c r="AT17" s="9" t="s">
        <v>85</v>
      </c>
      <c r="AU17" s="9">
        <v>0.593988</v>
      </c>
      <c r="AV17" s="9" t="s">
        <v>85</v>
      </c>
      <c r="AW17" s="9" t="s">
        <v>85</v>
      </c>
      <c r="AX17" s="9">
        <v>0.354048</v>
      </c>
      <c r="AY17" s="9" t="s">
        <v>85</v>
      </c>
      <c r="AZ17" s="9" t="s">
        <v>85</v>
      </c>
      <c r="BA17" s="9">
        <v>0.49875</v>
      </c>
      <c r="BB17" s="10" t="s">
        <v>85</v>
      </c>
      <c r="BC17" s="10" t="s">
        <v>85</v>
      </c>
      <c r="BD17" s="9">
        <v>0.254405</v>
      </c>
      <c r="BE17" s="9" t="s">
        <v>85</v>
      </c>
      <c r="BF17" s="9" t="s">
        <v>85</v>
      </c>
      <c r="BG17" s="9">
        <v>0.598333</v>
      </c>
      <c r="BH17" s="6"/>
      <c r="BI17" s="6" t="str">
        <f t="shared" si="1"/>
        <v>De_One_Acc</v>
      </c>
      <c r="BJ17" s="6" t="str">
        <f t="shared" si="2"/>
        <v>12V_One_Acc</v>
      </c>
      <c r="BK17" s="6" t="str">
        <f t="shared" si="3"/>
        <v>12B_One_Acc</v>
      </c>
      <c r="BL17" s="6"/>
      <c r="BM17" s="6"/>
      <c r="BN17" s="6">
        <f>COUNTIF(B3:B109,"&lt;=100")</f>
        <v>22</v>
      </c>
      <c r="BO17" s="6">
        <f>COUNTIFS(B3:B109,"&gt;100",B3:B109,"&lt;=200")</f>
        <v>17</v>
      </c>
      <c r="BP17" s="6">
        <f>COUNTIFS(B3:B109,"&gt;200",B3:B109,"&lt;500")</f>
        <v>21</v>
      </c>
      <c r="BQ17" s="6">
        <f>COUNTIFS(B3:B109,"&gt;=500",B3:B109,"&lt;1000")</f>
        <v>20</v>
      </c>
      <c r="BR17" s="6">
        <f>COUNTIF(B3:B109,"&gt;=1000")</f>
        <v>18</v>
      </c>
      <c r="BS17" s="6"/>
      <c r="BT17" s="6"/>
      <c r="BU17" s="6"/>
      <c r="BV17" s="6"/>
      <c r="BW17" s="6"/>
      <c r="BX17" s="6"/>
    </row>
    <row r="18" ht="15.75" customHeight="1">
      <c r="A18" s="1" t="s">
        <v>112</v>
      </c>
      <c r="B18" s="17">
        <v>345.0</v>
      </c>
      <c r="C18" s="9" t="s">
        <v>85</v>
      </c>
      <c r="D18" s="9" t="s">
        <v>85</v>
      </c>
      <c r="E18" s="9">
        <v>0.905229</v>
      </c>
      <c r="F18" s="9" t="s">
        <v>85</v>
      </c>
      <c r="G18" s="9" t="s">
        <v>85</v>
      </c>
      <c r="H18" s="9">
        <v>0.300654</v>
      </c>
      <c r="I18" s="9" t="s">
        <v>85</v>
      </c>
      <c r="J18" s="9" t="s">
        <v>85</v>
      </c>
      <c r="K18" s="9">
        <v>0.892157</v>
      </c>
      <c r="L18" s="9" t="s">
        <v>85</v>
      </c>
      <c r="M18" s="9" t="s">
        <v>85</v>
      </c>
      <c r="N18" s="9">
        <v>0.892157</v>
      </c>
      <c r="O18" s="9" t="s">
        <v>85</v>
      </c>
      <c r="P18" s="9" t="s">
        <v>85</v>
      </c>
      <c r="Q18" s="9">
        <v>0.892157</v>
      </c>
      <c r="R18" s="9" t="s">
        <v>85</v>
      </c>
      <c r="S18" s="9" t="s">
        <v>85</v>
      </c>
      <c r="T18" s="9">
        <v>0.905229</v>
      </c>
      <c r="U18" s="9" t="s">
        <v>85</v>
      </c>
      <c r="V18" s="9" t="s">
        <v>85</v>
      </c>
      <c r="W18" s="9">
        <v>0.892157</v>
      </c>
      <c r="X18" s="9" t="s">
        <v>85</v>
      </c>
      <c r="Y18" s="9" t="s">
        <v>85</v>
      </c>
      <c r="Z18" s="9">
        <v>0.892157</v>
      </c>
      <c r="AA18" s="10" t="s">
        <v>85</v>
      </c>
      <c r="AB18" s="10" t="s">
        <v>85</v>
      </c>
      <c r="AC18" s="9">
        <v>0.875817</v>
      </c>
      <c r="AD18" s="9" t="s">
        <v>85</v>
      </c>
      <c r="AE18" s="9" t="s">
        <v>85</v>
      </c>
      <c r="AF18" s="9">
        <v>0.885621</v>
      </c>
      <c r="AG18" s="9" t="s">
        <v>85</v>
      </c>
      <c r="AH18" s="9" t="s">
        <v>85</v>
      </c>
      <c r="AI18" s="9">
        <v>0.915033</v>
      </c>
      <c r="AJ18" s="9" t="s">
        <v>85</v>
      </c>
      <c r="AK18" s="9" t="s">
        <v>85</v>
      </c>
      <c r="AL18" s="9">
        <v>0.892157</v>
      </c>
      <c r="AM18" s="9" t="s">
        <v>85</v>
      </c>
      <c r="AN18" s="9" t="s">
        <v>85</v>
      </c>
      <c r="AO18" s="9">
        <v>0.888889</v>
      </c>
      <c r="AP18" s="9" t="s">
        <v>85</v>
      </c>
      <c r="AQ18" s="9" t="s">
        <v>85</v>
      </c>
      <c r="AR18" s="9">
        <v>0.901961</v>
      </c>
      <c r="AS18" s="9" t="s">
        <v>85</v>
      </c>
      <c r="AT18" s="9" t="s">
        <v>85</v>
      </c>
      <c r="AU18" s="9">
        <v>0.888889</v>
      </c>
      <c r="AV18" s="9" t="s">
        <v>85</v>
      </c>
      <c r="AW18" s="9" t="s">
        <v>85</v>
      </c>
      <c r="AX18" s="9">
        <v>0.888889</v>
      </c>
      <c r="AY18" s="9" t="s">
        <v>85</v>
      </c>
      <c r="AZ18" s="9" t="s">
        <v>85</v>
      </c>
      <c r="BA18" s="9">
        <v>0.898693</v>
      </c>
      <c r="BB18" s="10" t="s">
        <v>85</v>
      </c>
      <c r="BC18" s="10" t="s">
        <v>85</v>
      </c>
      <c r="BD18" s="9">
        <v>0.895425</v>
      </c>
      <c r="BE18" s="9" t="s">
        <v>85</v>
      </c>
      <c r="BF18" s="9" t="s">
        <v>85</v>
      </c>
      <c r="BG18" s="9">
        <v>0.330065</v>
      </c>
      <c r="BH18" s="6"/>
      <c r="BI18" s="6" t="str">
        <f t="shared" si="1"/>
        <v>10V_One_Acc</v>
      </c>
      <c r="BJ18" s="6" t="str">
        <f t="shared" si="2"/>
        <v>5B_One_Acc</v>
      </c>
      <c r="BK18" s="6" t="str">
        <f t="shared" si="3"/>
        <v>5B_One_Acc</v>
      </c>
      <c r="BL18" s="6"/>
      <c r="BM18" s="6" t="s">
        <v>226</v>
      </c>
      <c r="BN18" s="18">
        <f t="shared" ref="BN18:BR18" si="6">MINUS(BN17,SUM(BN19,BN20))</f>
        <v>7</v>
      </c>
      <c r="BO18" s="18">
        <f t="shared" si="6"/>
        <v>9</v>
      </c>
      <c r="BP18" s="18">
        <f t="shared" si="6"/>
        <v>8</v>
      </c>
      <c r="BQ18" s="18">
        <f t="shared" si="6"/>
        <v>13</v>
      </c>
      <c r="BR18" s="18">
        <f t="shared" si="6"/>
        <v>7</v>
      </c>
      <c r="BS18" s="6">
        <f t="shared" ref="BS18:BS20" si="7">SUM(BN18:BR18)</f>
        <v>44</v>
      </c>
      <c r="BT18" s="6"/>
      <c r="BU18" s="6"/>
      <c r="BV18" s="6"/>
      <c r="BW18" s="6"/>
      <c r="BX18" s="6"/>
    </row>
    <row r="19" ht="15.75" customHeight="1">
      <c r="A19" s="1" t="s">
        <v>113</v>
      </c>
      <c r="B19" s="17">
        <v>80.0</v>
      </c>
      <c r="C19" s="9" t="s">
        <v>85</v>
      </c>
      <c r="D19" s="9" t="s">
        <v>85</v>
      </c>
      <c r="E19" s="9">
        <v>0.625899</v>
      </c>
      <c r="F19" s="9" t="s">
        <v>85</v>
      </c>
      <c r="G19" s="9" t="s">
        <v>85</v>
      </c>
      <c r="H19" s="9">
        <v>0.467626</v>
      </c>
      <c r="I19" s="9" t="s">
        <v>85</v>
      </c>
      <c r="J19" s="9" t="s">
        <v>85</v>
      </c>
      <c r="K19" s="9">
        <v>0.733813</v>
      </c>
      <c r="L19" s="9" t="s">
        <v>85</v>
      </c>
      <c r="M19" s="9" t="s">
        <v>85</v>
      </c>
      <c r="N19" s="9">
        <v>0.654676</v>
      </c>
      <c r="O19" s="9" t="s">
        <v>85</v>
      </c>
      <c r="P19" s="9" t="s">
        <v>85</v>
      </c>
      <c r="Q19" s="9">
        <v>0.640288</v>
      </c>
      <c r="R19" s="9" t="s">
        <v>85</v>
      </c>
      <c r="S19" s="9" t="s">
        <v>85</v>
      </c>
      <c r="T19" s="9">
        <v>0.705036</v>
      </c>
      <c r="U19" s="9" t="s">
        <v>85</v>
      </c>
      <c r="V19" s="9" t="s">
        <v>85</v>
      </c>
      <c r="W19" s="9">
        <v>0.726619</v>
      </c>
      <c r="X19" s="9" t="s">
        <v>85</v>
      </c>
      <c r="Y19" s="9" t="s">
        <v>85</v>
      </c>
      <c r="Z19" s="9">
        <v>0.705036</v>
      </c>
      <c r="AA19" s="10" t="s">
        <v>85</v>
      </c>
      <c r="AB19" s="10" t="s">
        <v>85</v>
      </c>
      <c r="AC19" s="9">
        <v>0.676259</v>
      </c>
      <c r="AD19" s="9" t="s">
        <v>85</v>
      </c>
      <c r="AE19" s="9" t="s">
        <v>85</v>
      </c>
      <c r="AF19" s="9">
        <v>0.669065</v>
      </c>
      <c r="AG19" s="9" t="s">
        <v>85</v>
      </c>
      <c r="AH19" s="9" t="s">
        <v>85</v>
      </c>
      <c r="AI19" s="9">
        <v>0.669065</v>
      </c>
      <c r="AJ19" s="9" t="s">
        <v>85</v>
      </c>
      <c r="AK19" s="9" t="s">
        <v>85</v>
      </c>
      <c r="AL19" s="9">
        <v>0.719424</v>
      </c>
      <c r="AM19" s="9" t="s">
        <v>85</v>
      </c>
      <c r="AN19" s="9" t="s">
        <v>85</v>
      </c>
      <c r="AO19" s="9">
        <v>0.690647</v>
      </c>
      <c r="AP19" s="9" t="s">
        <v>85</v>
      </c>
      <c r="AQ19" s="9" t="s">
        <v>85</v>
      </c>
      <c r="AR19" s="9">
        <v>0.66187</v>
      </c>
      <c r="AS19" s="9" t="s">
        <v>85</v>
      </c>
      <c r="AT19" s="9" t="s">
        <v>85</v>
      </c>
      <c r="AU19" s="9">
        <v>0.733813</v>
      </c>
      <c r="AV19" s="9" t="s">
        <v>85</v>
      </c>
      <c r="AW19" s="9" t="s">
        <v>85</v>
      </c>
      <c r="AX19" s="9">
        <v>0.748201</v>
      </c>
      <c r="AY19" s="9" t="s">
        <v>85</v>
      </c>
      <c r="AZ19" s="9" t="s">
        <v>85</v>
      </c>
      <c r="BA19" s="9">
        <v>0.71223</v>
      </c>
      <c r="BB19" s="10" t="s">
        <v>85</v>
      </c>
      <c r="BC19" s="10" t="s">
        <v>85</v>
      </c>
      <c r="BD19" s="9">
        <v>0.654676</v>
      </c>
      <c r="BE19" s="9" t="s">
        <v>85</v>
      </c>
      <c r="BF19" s="9" t="s">
        <v>85</v>
      </c>
      <c r="BG19" s="9">
        <v>0.719424</v>
      </c>
      <c r="BH19" s="6"/>
      <c r="BI19" s="6" t="str">
        <f t="shared" si="1"/>
        <v>12VB_One_Acc</v>
      </c>
      <c r="BJ19" s="6" t="str">
        <f t="shared" si="2"/>
        <v>5V_One_Acc</v>
      </c>
      <c r="BK19" s="6" t="str">
        <f t="shared" si="3"/>
        <v>5V_One_Acc</v>
      </c>
      <c r="BL19" s="6"/>
      <c r="BM19" s="6" t="s">
        <v>227</v>
      </c>
      <c r="BN19" s="18">
        <f>COUNTIFS(BJ3:BJ109,"*V*",B3:B109,"&lt;=100")</f>
        <v>15</v>
      </c>
      <c r="BO19" s="19">
        <f>COUNTIFS(BJ3:BJ109,"*V*",B3:B109,"&gt;100",B3:B109,"&lt;=200")</f>
        <v>8</v>
      </c>
      <c r="BP19" s="18">
        <f>COUNTIFS(BJ3:BJ109,"*V*",B3:B109,"&gt;200",B3:B109,"&lt;500")</f>
        <v>13</v>
      </c>
      <c r="BQ19" s="18">
        <f>COUNTIFS(BJ3:BJ109,"*V*",B3:B109,"&gt;=500",B3:B109,"&lt;1000")</f>
        <v>7</v>
      </c>
      <c r="BR19" s="18">
        <f>COUNTIFS(BJ3:BJ109,"*V*",B3:B109,"&gt;=1000")</f>
        <v>11</v>
      </c>
      <c r="BS19" s="6">
        <f t="shared" si="7"/>
        <v>54</v>
      </c>
      <c r="BT19" s="6"/>
      <c r="BU19" s="6"/>
      <c r="BV19" s="6"/>
      <c r="BW19" s="6"/>
      <c r="BX19" s="6"/>
    </row>
    <row r="20" ht="15.75" customHeight="1">
      <c r="A20" s="1" t="s">
        <v>114</v>
      </c>
      <c r="B20" s="17">
        <v>80.0</v>
      </c>
      <c r="C20" s="9" t="s">
        <v>85</v>
      </c>
      <c r="D20" s="9" t="s">
        <v>85</v>
      </c>
      <c r="E20" s="9">
        <v>0.724638</v>
      </c>
      <c r="F20" s="9" t="s">
        <v>85</v>
      </c>
      <c r="G20" s="9" t="s">
        <v>85</v>
      </c>
      <c r="H20" s="9">
        <v>0.583333</v>
      </c>
      <c r="I20" s="9" t="s">
        <v>85</v>
      </c>
      <c r="J20" s="9" t="s">
        <v>85</v>
      </c>
      <c r="K20" s="9">
        <v>0.768116</v>
      </c>
      <c r="L20" s="9" t="s">
        <v>85</v>
      </c>
      <c r="M20" s="9" t="s">
        <v>85</v>
      </c>
      <c r="N20" s="9">
        <v>0.764493</v>
      </c>
      <c r="O20" s="9" t="s">
        <v>85</v>
      </c>
      <c r="P20" s="9" t="s">
        <v>85</v>
      </c>
      <c r="Q20" s="9">
        <v>0.713768</v>
      </c>
      <c r="R20" s="9" t="s">
        <v>85</v>
      </c>
      <c r="S20" s="9" t="s">
        <v>85</v>
      </c>
      <c r="T20" s="9">
        <v>0.695652</v>
      </c>
      <c r="U20" s="9" t="s">
        <v>85</v>
      </c>
      <c r="V20" s="9" t="s">
        <v>85</v>
      </c>
      <c r="W20" s="9">
        <v>0.76087</v>
      </c>
      <c r="X20" s="9" t="s">
        <v>85</v>
      </c>
      <c r="Y20" s="9" t="s">
        <v>85</v>
      </c>
      <c r="Z20" s="9">
        <v>0.757246</v>
      </c>
      <c r="AA20" s="10" t="s">
        <v>85</v>
      </c>
      <c r="AB20" s="10" t="s">
        <v>85</v>
      </c>
      <c r="AC20" s="9">
        <v>0.75</v>
      </c>
      <c r="AD20" s="9" t="s">
        <v>85</v>
      </c>
      <c r="AE20" s="9" t="s">
        <v>85</v>
      </c>
      <c r="AF20" s="9">
        <v>0.742754</v>
      </c>
      <c r="AG20" s="9" t="s">
        <v>85</v>
      </c>
      <c r="AH20" s="9" t="s">
        <v>85</v>
      </c>
      <c r="AI20" s="9">
        <v>0.75</v>
      </c>
      <c r="AJ20" s="9" t="s">
        <v>85</v>
      </c>
      <c r="AK20" s="9" t="s">
        <v>85</v>
      </c>
      <c r="AL20" s="9">
        <v>0.75</v>
      </c>
      <c r="AM20" s="9" t="s">
        <v>85</v>
      </c>
      <c r="AN20" s="9" t="s">
        <v>85</v>
      </c>
      <c r="AO20" s="9">
        <v>0.764493</v>
      </c>
      <c r="AP20" s="9" t="s">
        <v>85</v>
      </c>
      <c r="AQ20" s="9" t="s">
        <v>85</v>
      </c>
      <c r="AR20" s="9">
        <v>0.753623</v>
      </c>
      <c r="AS20" s="9" t="s">
        <v>85</v>
      </c>
      <c r="AT20" s="9" t="s">
        <v>85</v>
      </c>
      <c r="AU20" s="9">
        <v>0.771739</v>
      </c>
      <c r="AV20" s="9" t="s">
        <v>85</v>
      </c>
      <c r="AW20" s="9" t="s">
        <v>85</v>
      </c>
      <c r="AX20" s="9">
        <v>0.753623</v>
      </c>
      <c r="AY20" s="9" t="s">
        <v>85</v>
      </c>
      <c r="AZ20" s="9" t="s">
        <v>85</v>
      </c>
      <c r="BA20" s="9">
        <v>0.753623</v>
      </c>
      <c r="BB20" s="10" t="s">
        <v>85</v>
      </c>
      <c r="BC20" s="10" t="s">
        <v>85</v>
      </c>
      <c r="BD20" s="9">
        <v>0.735507</v>
      </c>
      <c r="BE20" s="9" t="s">
        <v>85</v>
      </c>
      <c r="BF20" s="9" t="s">
        <v>85</v>
      </c>
      <c r="BG20" s="9">
        <v>0.75</v>
      </c>
      <c r="BH20" s="6"/>
      <c r="BI20" s="6" t="str">
        <f t="shared" si="1"/>
        <v>12V_One_Acc</v>
      </c>
      <c r="BJ20" s="6" t="str">
        <f t="shared" si="2"/>
        <v>5V_One_Acc</v>
      </c>
      <c r="BK20" s="6" t="str">
        <f t="shared" si="3"/>
        <v>5VB_One_Acc</v>
      </c>
      <c r="BL20" s="6"/>
      <c r="BM20" s="6" t="s">
        <v>20</v>
      </c>
      <c r="BN20" s="18">
        <f>COUNTIFS(BJ3:BJ109,"*De*",B3:B109,"&lt;=100")</f>
        <v>0</v>
      </c>
      <c r="BO20" s="19">
        <f>COUNTIFS(BJ3:BJ109,"*D*",B3:B109,"&gt;100",B3:B109,"&lt;=200")</f>
        <v>0</v>
      </c>
      <c r="BP20" s="18">
        <f>COUNTIFS(BJ3:BJ109,"*D*",B3:B109,"&gt;200",B3:B109,"&lt;500")</f>
        <v>0</v>
      </c>
      <c r="BQ20" s="18">
        <f>COUNTIFS(BJ3:BJ109,"*D*",B3:B109,"&gt;=500",B3:B109,"&lt;1000")</f>
        <v>0</v>
      </c>
      <c r="BR20" s="18">
        <f>COUNTIFS(BJ3:BJ109,"*D*",B3:B109,"&gt;=1000")</f>
        <v>0</v>
      </c>
      <c r="BS20" s="6">
        <f t="shared" si="7"/>
        <v>0</v>
      </c>
      <c r="BT20" s="6"/>
      <c r="BU20" s="6"/>
      <c r="BV20" s="6"/>
      <c r="BW20" s="6"/>
      <c r="BX20" s="6"/>
    </row>
    <row r="21" ht="15.75" customHeight="1">
      <c r="A21" s="1" t="s">
        <v>115</v>
      </c>
      <c r="B21" s="17">
        <v>80.0</v>
      </c>
      <c r="C21" s="9" t="s">
        <v>85</v>
      </c>
      <c r="D21" s="9" t="s">
        <v>85</v>
      </c>
      <c r="E21" s="9">
        <v>0.582734</v>
      </c>
      <c r="F21" s="9" t="s">
        <v>85</v>
      </c>
      <c r="G21" s="9" t="s">
        <v>85</v>
      </c>
      <c r="H21" s="9">
        <v>0.302158</v>
      </c>
      <c r="I21" s="9" t="s">
        <v>85</v>
      </c>
      <c r="J21" s="9" t="s">
        <v>85</v>
      </c>
      <c r="K21" s="9">
        <v>0.669065</v>
      </c>
      <c r="L21" s="9" t="s">
        <v>85</v>
      </c>
      <c r="M21" s="9" t="s">
        <v>85</v>
      </c>
      <c r="N21" s="9">
        <v>0.676259</v>
      </c>
      <c r="O21" s="9" t="s">
        <v>85</v>
      </c>
      <c r="P21" s="9" t="s">
        <v>85</v>
      </c>
      <c r="Q21" s="9">
        <v>0.640288</v>
      </c>
      <c r="R21" s="9" t="s">
        <v>85</v>
      </c>
      <c r="S21" s="9" t="s">
        <v>85</v>
      </c>
      <c r="T21" s="9">
        <v>0.597122</v>
      </c>
      <c r="U21" s="9" t="s">
        <v>85</v>
      </c>
      <c r="V21" s="9" t="s">
        <v>85</v>
      </c>
      <c r="W21" s="9">
        <v>0.669065</v>
      </c>
      <c r="X21" s="9" t="s">
        <v>85</v>
      </c>
      <c r="Y21" s="9" t="s">
        <v>85</v>
      </c>
      <c r="Z21" s="9">
        <v>0.669065</v>
      </c>
      <c r="AA21" s="10" t="s">
        <v>85</v>
      </c>
      <c r="AB21" s="10" t="s">
        <v>85</v>
      </c>
      <c r="AC21" s="9">
        <v>0.654676</v>
      </c>
      <c r="AD21" s="9" t="s">
        <v>85</v>
      </c>
      <c r="AE21" s="9" t="s">
        <v>85</v>
      </c>
      <c r="AF21" s="9">
        <v>0.633094</v>
      </c>
      <c r="AG21" s="9" t="s">
        <v>85</v>
      </c>
      <c r="AH21" s="9" t="s">
        <v>85</v>
      </c>
      <c r="AI21" s="9">
        <v>0.654676</v>
      </c>
      <c r="AJ21" s="9" t="s">
        <v>85</v>
      </c>
      <c r="AK21" s="9" t="s">
        <v>85</v>
      </c>
      <c r="AL21" s="9">
        <v>0.582734</v>
      </c>
      <c r="AM21" s="9" t="s">
        <v>85</v>
      </c>
      <c r="AN21" s="9" t="s">
        <v>85</v>
      </c>
      <c r="AO21" s="9">
        <v>0.690647</v>
      </c>
      <c r="AP21" s="9" t="s">
        <v>85</v>
      </c>
      <c r="AQ21" s="9" t="s">
        <v>85</v>
      </c>
      <c r="AR21" s="9">
        <v>0.654676</v>
      </c>
      <c r="AS21" s="9" t="s">
        <v>85</v>
      </c>
      <c r="AT21" s="9" t="s">
        <v>85</v>
      </c>
      <c r="AU21" s="9">
        <v>0.676259</v>
      </c>
      <c r="AV21" s="9" t="s">
        <v>85</v>
      </c>
      <c r="AW21" s="9" t="s">
        <v>85</v>
      </c>
      <c r="AX21" s="9">
        <v>0.654676</v>
      </c>
      <c r="AY21" s="9" t="s">
        <v>85</v>
      </c>
      <c r="AZ21" s="9" t="s">
        <v>85</v>
      </c>
      <c r="BA21" s="9">
        <v>0.625899</v>
      </c>
      <c r="BB21" s="10" t="s">
        <v>85</v>
      </c>
      <c r="BC21" s="10" t="s">
        <v>85</v>
      </c>
      <c r="BD21" s="9">
        <v>0.625899</v>
      </c>
      <c r="BE21" s="9" t="s">
        <v>85</v>
      </c>
      <c r="BF21" s="9" t="s">
        <v>85</v>
      </c>
      <c r="BG21" s="9">
        <v>0.690647</v>
      </c>
      <c r="BH21" s="6"/>
      <c r="BI21" s="6" t="str">
        <f t="shared" si="1"/>
        <v>12B_One_Acc</v>
      </c>
      <c r="BJ21" s="6" t="str">
        <f t="shared" si="2"/>
        <v>12B_One_Acc</v>
      </c>
      <c r="BK21" s="6" t="str">
        <f t="shared" si="3"/>
        <v>5VB_One_Acc</v>
      </c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</row>
    <row r="22" ht="15.75" customHeight="1">
      <c r="A22" s="1" t="s">
        <v>116</v>
      </c>
      <c r="B22" s="17">
        <v>512.0</v>
      </c>
      <c r="C22" s="9" t="s">
        <v>85</v>
      </c>
      <c r="D22" s="9" t="s">
        <v>85</v>
      </c>
      <c r="E22" s="9">
        <v>0.741007</v>
      </c>
      <c r="F22" s="9" t="s">
        <v>85</v>
      </c>
      <c r="G22" s="9" t="s">
        <v>85</v>
      </c>
      <c r="H22" s="9">
        <v>0.748201</v>
      </c>
      <c r="I22" s="9" t="s">
        <v>85</v>
      </c>
      <c r="J22" s="9" t="s">
        <v>85</v>
      </c>
      <c r="K22" s="9">
        <v>0.748201</v>
      </c>
      <c r="L22" s="9" t="s">
        <v>85</v>
      </c>
      <c r="M22" s="9" t="s">
        <v>85</v>
      </c>
      <c r="N22" s="9">
        <v>0.748201</v>
      </c>
      <c r="O22" s="9" t="s">
        <v>85</v>
      </c>
      <c r="P22" s="9" t="s">
        <v>85</v>
      </c>
      <c r="Q22" s="9">
        <v>0.748201</v>
      </c>
      <c r="R22" s="9" t="s">
        <v>85</v>
      </c>
      <c r="S22" s="9" t="s">
        <v>85</v>
      </c>
      <c r="T22" s="9">
        <v>0.748201</v>
      </c>
      <c r="U22" s="9" t="s">
        <v>85</v>
      </c>
      <c r="V22" s="9" t="s">
        <v>85</v>
      </c>
      <c r="W22" s="9">
        <v>0.748201</v>
      </c>
      <c r="X22" s="9" t="s">
        <v>85</v>
      </c>
      <c r="Y22" s="9" t="s">
        <v>85</v>
      </c>
      <c r="Z22" s="9">
        <v>0.748201</v>
      </c>
      <c r="AA22" s="10" t="s">
        <v>85</v>
      </c>
      <c r="AB22" s="10" t="s">
        <v>85</v>
      </c>
      <c r="AC22" s="9">
        <v>0.741007</v>
      </c>
      <c r="AD22" s="9" t="s">
        <v>85</v>
      </c>
      <c r="AE22" s="9" t="s">
        <v>85</v>
      </c>
      <c r="AF22" s="9">
        <v>0.748201</v>
      </c>
      <c r="AG22" s="9" t="s">
        <v>85</v>
      </c>
      <c r="AH22" s="9" t="s">
        <v>85</v>
      </c>
      <c r="AI22" s="9">
        <v>0.748201</v>
      </c>
      <c r="AJ22" s="9" t="s">
        <v>85</v>
      </c>
      <c r="AK22" s="9" t="s">
        <v>85</v>
      </c>
      <c r="AL22" s="9">
        <v>0.748201</v>
      </c>
      <c r="AM22" s="9" t="s">
        <v>85</v>
      </c>
      <c r="AN22" s="9" t="s">
        <v>85</v>
      </c>
      <c r="AO22" s="9">
        <v>0.705036</v>
      </c>
      <c r="AP22" s="9" t="s">
        <v>85</v>
      </c>
      <c r="AQ22" s="9" t="s">
        <v>85</v>
      </c>
      <c r="AR22" s="9">
        <v>0.748201</v>
      </c>
      <c r="AS22" s="9" t="s">
        <v>85</v>
      </c>
      <c r="AT22" s="9" t="s">
        <v>85</v>
      </c>
      <c r="AU22" s="9">
        <v>0.748201</v>
      </c>
      <c r="AV22" s="9" t="s">
        <v>85</v>
      </c>
      <c r="AW22" s="9" t="s">
        <v>85</v>
      </c>
      <c r="AX22" s="9">
        <v>0.748201</v>
      </c>
      <c r="AY22" s="9" t="s">
        <v>85</v>
      </c>
      <c r="AZ22" s="9" t="s">
        <v>85</v>
      </c>
      <c r="BA22" s="9">
        <v>0.748201</v>
      </c>
      <c r="BB22" s="10" t="s">
        <v>85</v>
      </c>
      <c r="BC22" s="10" t="s">
        <v>85</v>
      </c>
      <c r="BD22" s="9">
        <v>0.748201</v>
      </c>
      <c r="BE22" s="9" t="s">
        <v>85</v>
      </c>
      <c r="BF22" s="9" t="s">
        <v>85</v>
      </c>
      <c r="BG22" s="9">
        <v>0.66187</v>
      </c>
      <c r="BH22" s="6"/>
      <c r="BI22" s="6" t="str">
        <f t="shared" si="1"/>
        <v>5BN_One_Acc</v>
      </c>
      <c r="BJ22" s="6" t="str">
        <f t="shared" si="2"/>
        <v>5BN_One_Acc</v>
      </c>
      <c r="BK22" s="6" t="str">
        <f t="shared" si="3"/>
        <v>5BN_One_Acc</v>
      </c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</row>
    <row r="23" ht="15.75" customHeight="1">
      <c r="A23" s="1" t="s">
        <v>117</v>
      </c>
      <c r="B23" s="17">
        <v>96.0</v>
      </c>
      <c r="C23" s="9" t="s">
        <v>85</v>
      </c>
      <c r="D23" s="9" t="s">
        <v>85</v>
      </c>
      <c r="E23" s="9">
        <v>0.64</v>
      </c>
      <c r="F23" s="9" t="s">
        <v>85</v>
      </c>
      <c r="G23" s="9" t="s">
        <v>85</v>
      </c>
      <c r="H23" s="9">
        <v>0.64</v>
      </c>
      <c r="I23" s="9" t="s">
        <v>85</v>
      </c>
      <c r="J23" s="9" t="s">
        <v>85</v>
      </c>
      <c r="K23" s="9">
        <v>0.64</v>
      </c>
      <c r="L23" s="9" t="s">
        <v>85</v>
      </c>
      <c r="M23" s="9" t="s">
        <v>85</v>
      </c>
      <c r="N23" s="9">
        <v>0.64</v>
      </c>
      <c r="O23" s="9" t="s">
        <v>85</v>
      </c>
      <c r="P23" s="9" t="s">
        <v>85</v>
      </c>
      <c r="Q23" s="9">
        <v>0.64</v>
      </c>
      <c r="R23" s="9" t="s">
        <v>85</v>
      </c>
      <c r="S23" s="9" t="s">
        <v>85</v>
      </c>
      <c r="T23" s="9">
        <v>0.64</v>
      </c>
      <c r="U23" s="9" t="s">
        <v>85</v>
      </c>
      <c r="V23" s="9" t="s">
        <v>85</v>
      </c>
      <c r="W23" s="9">
        <v>0.64</v>
      </c>
      <c r="X23" s="9" t="s">
        <v>85</v>
      </c>
      <c r="Y23" s="9" t="s">
        <v>85</v>
      </c>
      <c r="Z23" s="9">
        <v>0.64</v>
      </c>
      <c r="AA23" s="10" t="s">
        <v>85</v>
      </c>
      <c r="AB23" s="10" t="s">
        <v>85</v>
      </c>
      <c r="AC23" s="9">
        <v>0.64</v>
      </c>
      <c r="AD23" s="9" t="s">
        <v>85</v>
      </c>
      <c r="AE23" s="9" t="s">
        <v>85</v>
      </c>
      <c r="AF23" s="9">
        <v>0.64</v>
      </c>
      <c r="AG23" s="9" t="s">
        <v>85</v>
      </c>
      <c r="AH23" s="9" t="s">
        <v>85</v>
      </c>
      <c r="AI23" s="9">
        <v>0.64</v>
      </c>
      <c r="AJ23" s="9" t="s">
        <v>85</v>
      </c>
      <c r="AK23" s="9" t="s">
        <v>85</v>
      </c>
      <c r="AL23" s="9">
        <v>0.64</v>
      </c>
      <c r="AM23" s="9" t="s">
        <v>85</v>
      </c>
      <c r="AN23" s="9" t="s">
        <v>85</v>
      </c>
      <c r="AO23" s="9">
        <v>0.64</v>
      </c>
      <c r="AP23" s="9" t="s">
        <v>85</v>
      </c>
      <c r="AQ23" s="9" t="s">
        <v>85</v>
      </c>
      <c r="AR23" s="9">
        <v>0.64</v>
      </c>
      <c r="AS23" s="9" t="s">
        <v>85</v>
      </c>
      <c r="AT23" s="9" t="s">
        <v>85</v>
      </c>
      <c r="AU23" s="9">
        <v>0.64</v>
      </c>
      <c r="AV23" s="9" t="s">
        <v>85</v>
      </c>
      <c r="AW23" s="9" t="s">
        <v>85</v>
      </c>
      <c r="AX23" s="9">
        <v>0.64</v>
      </c>
      <c r="AY23" s="9" t="s">
        <v>85</v>
      </c>
      <c r="AZ23" s="9" t="s">
        <v>85</v>
      </c>
      <c r="BA23" s="9">
        <v>0.64</v>
      </c>
      <c r="BB23" s="10" t="s">
        <v>85</v>
      </c>
      <c r="BC23" s="10" t="s">
        <v>85</v>
      </c>
      <c r="BD23" s="9">
        <v>0.64</v>
      </c>
      <c r="BE23" s="9" t="s">
        <v>85</v>
      </c>
      <c r="BF23" s="9" t="s">
        <v>85</v>
      </c>
      <c r="BG23" s="9">
        <v>0.64</v>
      </c>
      <c r="BH23" s="6"/>
      <c r="BI23" s="6" t="str">
        <f t="shared" si="1"/>
        <v>5B_One_Acc</v>
      </c>
      <c r="BJ23" s="6" t="str">
        <f t="shared" si="2"/>
        <v>5B_One_Acc</v>
      </c>
      <c r="BK23" s="6" t="str">
        <f t="shared" si="3"/>
        <v>5B_One_Acc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</row>
    <row r="24" ht="15.75" customHeight="1">
      <c r="A24" s="1" t="s">
        <v>118</v>
      </c>
      <c r="B24" s="17">
        <v>140.0</v>
      </c>
      <c r="C24" s="9" t="s">
        <v>85</v>
      </c>
      <c r="D24" s="9" t="s">
        <v>85</v>
      </c>
      <c r="E24" s="9">
        <v>0.922444</v>
      </c>
      <c r="F24" s="9" t="s">
        <v>85</v>
      </c>
      <c r="G24" s="9" t="s">
        <v>85</v>
      </c>
      <c r="H24" s="9">
        <v>0.583778</v>
      </c>
      <c r="I24" s="9" t="s">
        <v>85</v>
      </c>
      <c r="J24" s="9" t="s">
        <v>85</v>
      </c>
      <c r="K24" s="9">
        <v>0.918444</v>
      </c>
      <c r="L24" s="9" t="s">
        <v>85</v>
      </c>
      <c r="M24" s="9" t="s">
        <v>85</v>
      </c>
      <c r="N24" s="9">
        <v>0.919556</v>
      </c>
      <c r="O24" s="9" t="s">
        <v>85</v>
      </c>
      <c r="P24" s="9" t="s">
        <v>85</v>
      </c>
      <c r="Q24" s="9">
        <v>0.922</v>
      </c>
      <c r="R24" s="9" t="s">
        <v>85</v>
      </c>
      <c r="S24" s="9" t="s">
        <v>85</v>
      </c>
      <c r="T24" s="9">
        <v>0.922</v>
      </c>
      <c r="U24" s="9" t="s">
        <v>85</v>
      </c>
      <c r="V24" s="9" t="s">
        <v>85</v>
      </c>
      <c r="W24" s="9">
        <v>0.921778</v>
      </c>
      <c r="X24" s="9" t="s">
        <v>85</v>
      </c>
      <c r="Y24" s="9" t="s">
        <v>85</v>
      </c>
      <c r="Z24" s="9">
        <v>0.925778</v>
      </c>
      <c r="AA24" s="10" t="s">
        <v>85</v>
      </c>
      <c r="AB24" s="10" t="s">
        <v>85</v>
      </c>
      <c r="AC24" s="9">
        <v>0.928444</v>
      </c>
      <c r="AD24" s="9" t="s">
        <v>85</v>
      </c>
      <c r="AE24" s="9" t="s">
        <v>85</v>
      </c>
      <c r="AF24" s="9">
        <v>0.924889</v>
      </c>
      <c r="AG24" s="9" t="s">
        <v>85</v>
      </c>
      <c r="AH24" s="9" t="s">
        <v>85</v>
      </c>
      <c r="AI24" s="9">
        <v>0.924</v>
      </c>
      <c r="AJ24" s="9" t="s">
        <v>85</v>
      </c>
      <c r="AK24" s="9" t="s">
        <v>85</v>
      </c>
      <c r="AL24" s="9">
        <v>0.924222</v>
      </c>
      <c r="AM24" s="9" t="s">
        <v>85</v>
      </c>
      <c r="AN24" s="9" t="s">
        <v>85</v>
      </c>
      <c r="AO24" s="9">
        <v>0.928222</v>
      </c>
      <c r="AP24" s="9" t="s">
        <v>85</v>
      </c>
      <c r="AQ24" s="9" t="s">
        <v>85</v>
      </c>
      <c r="AR24" s="9">
        <v>0.925333</v>
      </c>
      <c r="AS24" s="9" t="s">
        <v>85</v>
      </c>
      <c r="AT24" s="9" t="s">
        <v>85</v>
      </c>
      <c r="AU24" s="9">
        <v>0.924667</v>
      </c>
      <c r="AV24" s="9" t="s">
        <v>85</v>
      </c>
      <c r="AW24" s="9" t="s">
        <v>85</v>
      </c>
      <c r="AX24" s="9">
        <v>0.931111</v>
      </c>
      <c r="AY24" s="9" t="s">
        <v>85</v>
      </c>
      <c r="AZ24" s="9" t="s">
        <v>85</v>
      </c>
      <c r="BA24" s="9">
        <v>0.921556</v>
      </c>
      <c r="BB24" s="10" t="s">
        <v>85</v>
      </c>
      <c r="BC24" s="10" t="s">
        <v>85</v>
      </c>
      <c r="BD24" s="9">
        <v>0.926667</v>
      </c>
      <c r="BE24" s="9" t="s">
        <v>85</v>
      </c>
      <c r="BF24" s="9" t="s">
        <v>85</v>
      </c>
      <c r="BG24" s="9">
        <v>0.926444</v>
      </c>
      <c r="BH24" s="6"/>
      <c r="BI24" s="6" t="str">
        <f t="shared" si="1"/>
        <v>12VB_One_Acc</v>
      </c>
      <c r="BJ24" s="6" t="str">
        <f t="shared" si="2"/>
        <v>10B_One_Acc</v>
      </c>
      <c r="BK24" s="6" t="str">
        <f t="shared" si="3"/>
        <v>12B_One_Acc</v>
      </c>
      <c r="BL24" s="6"/>
      <c r="BM24" s="1" t="s">
        <v>215</v>
      </c>
      <c r="BN24" s="6" t="s">
        <v>212</v>
      </c>
      <c r="BO24" s="6"/>
      <c r="BP24" s="6"/>
      <c r="BQ24" s="6"/>
      <c r="BR24" s="6"/>
      <c r="BS24" s="6"/>
      <c r="BT24" s="6"/>
      <c r="BU24" s="6"/>
      <c r="BV24" s="6"/>
      <c r="BW24" s="6"/>
      <c r="BX24" s="6"/>
    </row>
    <row r="25" ht="15.75" customHeight="1">
      <c r="A25" s="1" t="s">
        <v>119</v>
      </c>
      <c r="B25" s="17">
        <v>136.0</v>
      </c>
      <c r="C25" s="9" t="s">
        <v>85</v>
      </c>
      <c r="D25" s="9" t="s">
        <v>85</v>
      </c>
      <c r="E25" s="9">
        <v>0.796748</v>
      </c>
      <c r="F25" s="9" t="s">
        <v>85</v>
      </c>
      <c r="G25" s="9" t="s">
        <v>85</v>
      </c>
      <c r="H25" s="9">
        <v>0.497096</v>
      </c>
      <c r="I25" s="9" t="s">
        <v>85</v>
      </c>
      <c r="J25" s="9" t="s">
        <v>85</v>
      </c>
      <c r="K25" s="9">
        <v>0.885017</v>
      </c>
      <c r="L25" s="9" t="s">
        <v>85</v>
      </c>
      <c r="M25" s="9" t="s">
        <v>85</v>
      </c>
      <c r="N25" s="9">
        <v>0.912892</v>
      </c>
      <c r="O25" s="9" t="s">
        <v>85</v>
      </c>
      <c r="P25" s="9" t="s">
        <v>85</v>
      </c>
      <c r="Q25" s="9">
        <v>0.789779</v>
      </c>
      <c r="R25" s="9" t="s">
        <v>85</v>
      </c>
      <c r="S25" s="9" t="s">
        <v>85</v>
      </c>
      <c r="T25" s="9">
        <v>0.81417</v>
      </c>
      <c r="U25" s="9" t="s">
        <v>85</v>
      </c>
      <c r="V25" s="9" t="s">
        <v>85</v>
      </c>
      <c r="W25" s="9">
        <v>0.872242</v>
      </c>
      <c r="X25" s="9" t="s">
        <v>85</v>
      </c>
      <c r="Y25" s="9" t="s">
        <v>85</v>
      </c>
      <c r="Z25" s="9">
        <v>0.875726</v>
      </c>
      <c r="AA25" s="10" t="s">
        <v>85</v>
      </c>
      <c r="AB25" s="10" t="s">
        <v>85</v>
      </c>
      <c r="AC25" s="9">
        <v>0.851336</v>
      </c>
      <c r="AD25" s="9" t="s">
        <v>85</v>
      </c>
      <c r="AE25" s="9" t="s">
        <v>85</v>
      </c>
      <c r="AF25" s="9">
        <v>0.84669</v>
      </c>
      <c r="AG25" s="9" t="s">
        <v>85</v>
      </c>
      <c r="AH25" s="9" t="s">
        <v>85</v>
      </c>
      <c r="AI25" s="9">
        <v>0.836237</v>
      </c>
      <c r="AJ25" s="9" t="s">
        <v>85</v>
      </c>
      <c r="AK25" s="9" t="s">
        <v>85</v>
      </c>
      <c r="AL25" s="9">
        <v>0.801394</v>
      </c>
      <c r="AM25" s="9" t="s">
        <v>85</v>
      </c>
      <c r="AN25" s="9" t="s">
        <v>85</v>
      </c>
      <c r="AO25" s="9">
        <v>0.826945</v>
      </c>
      <c r="AP25" s="9" t="s">
        <v>85</v>
      </c>
      <c r="AQ25" s="9" t="s">
        <v>85</v>
      </c>
      <c r="AR25" s="9">
        <v>0.811847</v>
      </c>
      <c r="AS25" s="9" t="s">
        <v>85</v>
      </c>
      <c r="AT25" s="9" t="s">
        <v>85</v>
      </c>
      <c r="AU25" s="9">
        <v>0.831591</v>
      </c>
      <c r="AV25" s="9" t="s">
        <v>85</v>
      </c>
      <c r="AW25" s="9" t="s">
        <v>85</v>
      </c>
      <c r="AX25" s="9">
        <v>0.824623</v>
      </c>
      <c r="AY25" s="9" t="s">
        <v>85</v>
      </c>
      <c r="AZ25" s="9" t="s">
        <v>85</v>
      </c>
      <c r="BA25" s="9">
        <v>0.8223</v>
      </c>
      <c r="BB25" s="10" t="s">
        <v>85</v>
      </c>
      <c r="BC25" s="10" t="s">
        <v>85</v>
      </c>
      <c r="BD25" s="9">
        <v>0.658537</v>
      </c>
      <c r="BE25" s="9" t="s">
        <v>85</v>
      </c>
      <c r="BF25" s="9" t="s">
        <v>85</v>
      </c>
      <c r="BG25" s="9">
        <v>0.816492</v>
      </c>
      <c r="BH25" s="6"/>
      <c r="BI25" s="6" t="str">
        <f t="shared" si="1"/>
        <v>5VB_One_Acc</v>
      </c>
      <c r="BJ25" s="6" t="str">
        <f t="shared" si="2"/>
        <v>5V_One_Acc</v>
      </c>
      <c r="BK25" s="6" t="str">
        <f t="shared" si="3"/>
        <v>8VB_One_Acc</v>
      </c>
      <c r="BL25" s="6"/>
      <c r="BN25" s="6" t="s">
        <v>221</v>
      </c>
      <c r="BO25" s="6" t="s">
        <v>222</v>
      </c>
      <c r="BP25" s="6" t="s">
        <v>223</v>
      </c>
      <c r="BQ25" s="6" t="s">
        <v>224</v>
      </c>
      <c r="BR25" s="6" t="s">
        <v>225</v>
      </c>
      <c r="BS25" s="6"/>
      <c r="BT25" s="6"/>
      <c r="BU25" s="6"/>
      <c r="BV25" s="6"/>
      <c r="BW25" s="6"/>
      <c r="BX25" s="6"/>
    </row>
    <row r="26" ht="15.75" customHeight="1">
      <c r="A26" s="1" t="s">
        <v>120</v>
      </c>
      <c r="B26" s="17">
        <v>96.0</v>
      </c>
      <c r="C26" s="9" t="s">
        <v>85</v>
      </c>
      <c r="D26" s="9" t="s">
        <v>85</v>
      </c>
      <c r="E26" s="9">
        <v>0.632343</v>
      </c>
      <c r="F26" s="9" t="s">
        <v>85</v>
      </c>
      <c r="G26" s="9" t="s">
        <v>85</v>
      </c>
      <c r="H26" s="9">
        <v>0.242381</v>
      </c>
      <c r="I26" s="9" t="s">
        <v>85</v>
      </c>
      <c r="J26" s="9" t="s">
        <v>85</v>
      </c>
      <c r="K26" s="9">
        <v>0.607574</v>
      </c>
      <c r="L26" s="9" t="s">
        <v>85</v>
      </c>
      <c r="M26" s="9" t="s">
        <v>85</v>
      </c>
      <c r="N26" s="9">
        <v>0.650499</v>
      </c>
      <c r="O26" s="9" t="s">
        <v>85</v>
      </c>
      <c r="P26" s="9" t="s">
        <v>85</v>
      </c>
      <c r="Q26" s="9">
        <v>0.677474</v>
      </c>
      <c r="R26" s="9" t="s">
        <v>85</v>
      </c>
      <c r="S26" s="9" t="s">
        <v>85</v>
      </c>
      <c r="T26" s="9">
        <v>0.670341</v>
      </c>
      <c r="U26" s="9" t="s">
        <v>85</v>
      </c>
      <c r="V26" s="9" t="s">
        <v>85</v>
      </c>
      <c r="W26" s="9">
        <v>0.643237</v>
      </c>
      <c r="X26" s="9" t="s">
        <v>85</v>
      </c>
      <c r="Y26" s="9" t="s">
        <v>85</v>
      </c>
      <c r="Z26" s="9">
        <v>0.606017</v>
      </c>
      <c r="AA26" s="10" t="s">
        <v>85</v>
      </c>
      <c r="AB26" s="10" t="s">
        <v>85</v>
      </c>
      <c r="AC26" s="9">
        <v>0.627415</v>
      </c>
      <c r="AD26" s="9" t="s">
        <v>85</v>
      </c>
      <c r="AE26" s="9" t="s">
        <v>85</v>
      </c>
      <c r="AF26" s="9">
        <v>0.66671</v>
      </c>
      <c r="AG26" s="9" t="s">
        <v>85</v>
      </c>
      <c r="AH26" s="9" t="s">
        <v>85</v>
      </c>
      <c r="AI26" s="9">
        <v>0.652445</v>
      </c>
      <c r="AJ26" s="9" t="s">
        <v>85</v>
      </c>
      <c r="AK26" s="9" t="s">
        <v>85</v>
      </c>
      <c r="AL26" s="9">
        <v>0.634937</v>
      </c>
      <c r="AM26" s="9" t="s">
        <v>85</v>
      </c>
      <c r="AN26" s="9" t="s">
        <v>85</v>
      </c>
      <c r="AO26" s="9">
        <v>0.67488</v>
      </c>
      <c r="AP26" s="9" t="s">
        <v>85</v>
      </c>
      <c r="AQ26" s="9" t="s">
        <v>85</v>
      </c>
      <c r="AR26" s="9">
        <v>0.638568</v>
      </c>
      <c r="AS26" s="9" t="s">
        <v>85</v>
      </c>
      <c r="AT26" s="9" t="s">
        <v>85</v>
      </c>
      <c r="AU26" s="9">
        <v>0.626248</v>
      </c>
      <c r="AV26" s="9" t="s">
        <v>85</v>
      </c>
      <c r="AW26" s="9" t="s">
        <v>85</v>
      </c>
      <c r="AX26" s="9">
        <v>0.658151</v>
      </c>
      <c r="AY26" s="9" t="s">
        <v>85</v>
      </c>
      <c r="AZ26" s="9" t="s">
        <v>85</v>
      </c>
      <c r="BA26" s="9">
        <v>0.609519</v>
      </c>
      <c r="BB26" s="10" t="s">
        <v>85</v>
      </c>
      <c r="BC26" s="10" t="s">
        <v>85</v>
      </c>
      <c r="BD26" s="9">
        <v>0.600571</v>
      </c>
      <c r="BE26" s="9" t="s">
        <v>85</v>
      </c>
      <c r="BF26" s="9" t="s">
        <v>85</v>
      </c>
      <c r="BG26" s="9">
        <v>0.610686</v>
      </c>
      <c r="BH26" s="6"/>
      <c r="BI26" s="6" t="str">
        <f t="shared" si="1"/>
        <v>8B_One_Acc</v>
      </c>
      <c r="BJ26" s="6" t="str">
        <f t="shared" si="2"/>
        <v>12B_One_Acc</v>
      </c>
      <c r="BK26" s="6" t="str">
        <f t="shared" si="3"/>
        <v>8BN_One_Acc</v>
      </c>
      <c r="BL26" s="6"/>
      <c r="BM26" s="6"/>
      <c r="BN26" s="6">
        <f>COUNTIF(B3:B118,"&lt;=100")</f>
        <v>22</v>
      </c>
      <c r="BO26" s="6">
        <f>COUNTIFS(B3:B118,"&gt;100",B3:B118,"&lt;=200")</f>
        <v>17</v>
      </c>
      <c r="BP26" s="6">
        <f>COUNTIFS(B3:B118,"&gt;200",B3:B118,"&lt;500")</f>
        <v>21</v>
      </c>
      <c r="BQ26" s="6">
        <f>COUNTIFS(B3:B118,"&gt;=500",B3:B118,"&lt;1000")</f>
        <v>20</v>
      </c>
      <c r="BR26" s="6">
        <f>COUNTIF(B3:B118,"&gt;=1000")</f>
        <v>18</v>
      </c>
      <c r="BS26" s="6"/>
      <c r="BT26" s="6"/>
      <c r="BU26" s="6"/>
      <c r="BV26" s="6"/>
      <c r="BW26" s="6"/>
      <c r="BX26" s="6"/>
    </row>
    <row r="27" ht="15.75" customHeight="1">
      <c r="A27" s="1" t="s">
        <v>121</v>
      </c>
      <c r="B27" s="17">
        <v>1751.0</v>
      </c>
      <c r="C27" s="9" t="s">
        <v>85</v>
      </c>
      <c r="D27" s="9" t="s">
        <v>85</v>
      </c>
      <c r="E27" s="9">
        <v>0.248</v>
      </c>
      <c r="F27" s="9" t="s">
        <v>85</v>
      </c>
      <c r="G27" s="9" t="s">
        <v>85</v>
      </c>
      <c r="H27" s="9">
        <v>0.252</v>
      </c>
      <c r="I27" s="9" t="s">
        <v>85</v>
      </c>
      <c r="J27" s="9" t="s">
        <v>85</v>
      </c>
      <c r="K27" s="9">
        <v>0.248</v>
      </c>
      <c r="L27" s="9" t="s">
        <v>85</v>
      </c>
      <c r="M27" s="9" t="s">
        <v>85</v>
      </c>
      <c r="N27" s="9">
        <v>0.276</v>
      </c>
      <c r="O27" s="9" t="s">
        <v>85</v>
      </c>
      <c r="P27" s="9" t="s">
        <v>85</v>
      </c>
      <c r="Q27" s="9">
        <v>0.252</v>
      </c>
      <c r="R27" s="9" t="s">
        <v>85</v>
      </c>
      <c r="S27" s="9" t="s">
        <v>85</v>
      </c>
      <c r="T27" s="9">
        <v>0.248</v>
      </c>
      <c r="U27" s="9" t="s">
        <v>85</v>
      </c>
      <c r="V27" s="9" t="s">
        <v>85</v>
      </c>
      <c r="W27" s="9">
        <v>0.248</v>
      </c>
      <c r="X27" s="9" t="s">
        <v>85</v>
      </c>
      <c r="Y27" s="9" t="s">
        <v>85</v>
      </c>
      <c r="Z27" s="9">
        <v>0.248</v>
      </c>
      <c r="AA27" s="10" t="s">
        <v>85</v>
      </c>
      <c r="AB27" s="10" t="s">
        <v>85</v>
      </c>
      <c r="AC27" s="9">
        <v>0.248</v>
      </c>
      <c r="AD27" s="9" t="s">
        <v>85</v>
      </c>
      <c r="AE27" s="9" t="s">
        <v>85</v>
      </c>
      <c r="AF27" s="9">
        <v>0.252</v>
      </c>
      <c r="AG27" s="9" t="s">
        <v>85</v>
      </c>
      <c r="AH27" s="9" t="s">
        <v>85</v>
      </c>
      <c r="AI27" s="9">
        <v>0.38</v>
      </c>
      <c r="AJ27" s="9" t="s">
        <v>85</v>
      </c>
      <c r="AK27" s="9" t="s">
        <v>85</v>
      </c>
      <c r="AL27" s="9">
        <v>0.402</v>
      </c>
      <c r="AM27" s="9" t="s">
        <v>85</v>
      </c>
      <c r="AN27" s="9" t="s">
        <v>85</v>
      </c>
      <c r="AO27" s="9">
        <v>0.258</v>
      </c>
      <c r="AP27" s="9" t="s">
        <v>85</v>
      </c>
      <c r="AQ27" s="9" t="s">
        <v>85</v>
      </c>
      <c r="AR27" s="9">
        <v>0.286</v>
      </c>
      <c r="AS27" s="9" t="s">
        <v>85</v>
      </c>
      <c r="AT27" s="9" t="s">
        <v>85</v>
      </c>
      <c r="AU27" s="9">
        <v>0.288</v>
      </c>
      <c r="AV27" s="9" t="s">
        <v>85</v>
      </c>
      <c r="AW27" s="9" t="s">
        <v>85</v>
      </c>
      <c r="AX27" s="9">
        <v>0.248</v>
      </c>
      <c r="AY27" s="9" t="s">
        <v>85</v>
      </c>
      <c r="AZ27" s="9" t="s">
        <v>85</v>
      </c>
      <c r="BA27" s="9">
        <v>0.278</v>
      </c>
      <c r="BB27" s="10" t="s">
        <v>85</v>
      </c>
      <c r="BC27" s="10" t="s">
        <v>85</v>
      </c>
      <c r="BD27" s="9">
        <v>0.252</v>
      </c>
      <c r="BE27" s="9" t="s">
        <v>85</v>
      </c>
      <c r="BF27" s="9" t="s">
        <v>85</v>
      </c>
      <c r="BG27" s="9">
        <v>0.272</v>
      </c>
      <c r="BH27" s="6"/>
      <c r="BI27" s="6" t="str">
        <f t="shared" si="1"/>
        <v>10VB_One_Acc</v>
      </c>
      <c r="BJ27" s="6" t="str">
        <f t="shared" si="2"/>
        <v>10V_One_Acc</v>
      </c>
      <c r="BK27" s="6" t="str">
        <f t="shared" si="3"/>
        <v>12V_One_Acc</v>
      </c>
      <c r="BL27" s="6"/>
      <c r="BM27" s="6" t="s">
        <v>226</v>
      </c>
      <c r="BN27" s="18">
        <f t="shared" ref="BN27:BR27" si="8">MINUS(BN26,SUM(BN28,BN29))</f>
        <v>7</v>
      </c>
      <c r="BO27" s="18">
        <f t="shared" si="8"/>
        <v>6</v>
      </c>
      <c r="BP27" s="18">
        <f t="shared" si="8"/>
        <v>12</v>
      </c>
      <c r="BQ27" s="18">
        <f t="shared" si="8"/>
        <v>15</v>
      </c>
      <c r="BR27" s="18">
        <f t="shared" si="8"/>
        <v>6</v>
      </c>
      <c r="BS27" s="6">
        <f t="shared" ref="BS27:BS29" si="9">SUM(BN27:BR27)</f>
        <v>46</v>
      </c>
      <c r="BT27" s="6"/>
      <c r="BU27" s="6"/>
      <c r="BV27" s="6"/>
      <c r="BW27" s="6"/>
      <c r="BX27" s="6"/>
    </row>
    <row r="28" ht="15.75" customHeight="1">
      <c r="A28" s="1" t="s">
        <v>122</v>
      </c>
      <c r="B28" s="17">
        <v>131.0</v>
      </c>
      <c r="C28" s="9" t="s">
        <v>85</v>
      </c>
      <c r="D28" s="9" t="s">
        <v>85</v>
      </c>
      <c r="E28" s="9">
        <v>0.466864</v>
      </c>
      <c r="F28" s="9" t="s">
        <v>85</v>
      </c>
      <c r="G28" s="9" t="s">
        <v>85</v>
      </c>
      <c r="H28" s="9">
        <v>0.064497</v>
      </c>
      <c r="I28" s="9" t="s">
        <v>85</v>
      </c>
      <c r="J28" s="9" t="s">
        <v>85</v>
      </c>
      <c r="K28" s="9">
        <v>0.602959</v>
      </c>
      <c r="L28" s="9" t="s">
        <v>85</v>
      </c>
      <c r="M28" s="9" t="s">
        <v>85</v>
      </c>
      <c r="N28" s="9">
        <v>0.624852</v>
      </c>
      <c r="O28" s="9" t="s">
        <v>85</v>
      </c>
      <c r="P28" s="9" t="s">
        <v>85</v>
      </c>
      <c r="Q28" s="9">
        <v>0.632544</v>
      </c>
      <c r="R28" s="9" t="s">
        <v>85</v>
      </c>
      <c r="S28" s="9" t="s">
        <v>85</v>
      </c>
      <c r="T28" s="9">
        <v>0.63787</v>
      </c>
      <c r="U28" s="9" t="s">
        <v>85</v>
      </c>
      <c r="V28" s="9" t="s">
        <v>85</v>
      </c>
      <c r="W28" s="9">
        <v>0.704142</v>
      </c>
      <c r="X28" s="9" t="s">
        <v>85</v>
      </c>
      <c r="Y28" s="9" t="s">
        <v>85</v>
      </c>
      <c r="Z28" s="9">
        <v>0.516568</v>
      </c>
      <c r="AA28" s="10" t="s">
        <v>85</v>
      </c>
      <c r="AB28" s="10" t="s">
        <v>85</v>
      </c>
      <c r="AC28" s="9">
        <v>0.552663</v>
      </c>
      <c r="AD28" s="9" t="s">
        <v>85</v>
      </c>
      <c r="AE28" s="9" t="s">
        <v>85</v>
      </c>
      <c r="AF28" s="9">
        <v>0.676331</v>
      </c>
      <c r="AG28" s="9" t="s">
        <v>85</v>
      </c>
      <c r="AH28" s="9" t="s">
        <v>85</v>
      </c>
      <c r="AI28" s="9">
        <v>0.436686</v>
      </c>
      <c r="AJ28" s="9" t="s">
        <v>85</v>
      </c>
      <c r="AK28" s="9" t="s">
        <v>85</v>
      </c>
      <c r="AL28" s="9">
        <v>0.671006</v>
      </c>
      <c r="AM28" s="9" t="s">
        <v>85</v>
      </c>
      <c r="AN28" s="9" t="s">
        <v>85</v>
      </c>
      <c r="AO28" s="9">
        <v>0.36213</v>
      </c>
      <c r="AP28" s="9" t="s">
        <v>85</v>
      </c>
      <c r="AQ28" s="9" t="s">
        <v>85</v>
      </c>
      <c r="AR28" s="9">
        <v>0.613018</v>
      </c>
      <c r="AS28" s="9" t="s">
        <v>85</v>
      </c>
      <c r="AT28" s="9" t="s">
        <v>85</v>
      </c>
      <c r="AU28" s="9">
        <v>0.646746</v>
      </c>
      <c r="AV28" s="9" t="s">
        <v>85</v>
      </c>
      <c r="AW28" s="9" t="s">
        <v>85</v>
      </c>
      <c r="AX28" s="9">
        <v>0.539645</v>
      </c>
      <c r="AY28" s="9" t="s">
        <v>85</v>
      </c>
      <c r="AZ28" s="9" t="s">
        <v>85</v>
      </c>
      <c r="BA28" s="9">
        <v>0.605325</v>
      </c>
      <c r="BB28" s="10" t="s">
        <v>85</v>
      </c>
      <c r="BC28" s="10" t="s">
        <v>85</v>
      </c>
      <c r="BD28" s="9">
        <v>0.390533</v>
      </c>
      <c r="BE28" s="9" t="s">
        <v>85</v>
      </c>
      <c r="BF28" s="9" t="s">
        <v>85</v>
      </c>
      <c r="BG28" s="9">
        <v>0.13787</v>
      </c>
      <c r="BH28" s="6"/>
      <c r="BI28" s="6" t="str">
        <f t="shared" si="1"/>
        <v>8V_One_Acc</v>
      </c>
      <c r="BJ28" s="6" t="str">
        <f t="shared" si="2"/>
        <v>10BN_One_Acc</v>
      </c>
      <c r="BK28" s="6" t="str">
        <f t="shared" si="3"/>
        <v>10VB_One_Acc</v>
      </c>
      <c r="BL28" s="6"/>
      <c r="BM28" s="6" t="s">
        <v>227</v>
      </c>
      <c r="BN28" s="18">
        <f>COUNTIFS(BK3:BK118,"*V*",B3:B118,"&lt;=100")</f>
        <v>15</v>
      </c>
      <c r="BO28" s="19">
        <f>COUNTIFS(BK3:BK118,"*V*",B3:B118,"&gt;100",B3:B118,"&lt;=200")</f>
        <v>11</v>
      </c>
      <c r="BP28" s="18">
        <f>COUNTIFS(BK3:BK118,"*V*",B3:B118,"&gt;200",B3:B118,"&lt;500")</f>
        <v>9</v>
      </c>
      <c r="BQ28" s="18">
        <f>COUNTIFS(BK3:BK118,"*V*",B3:B118,"&gt;=500",B3:B118,"&lt;1000")</f>
        <v>5</v>
      </c>
      <c r="BR28" s="18">
        <f>COUNTIFS(BK3:BK118,"*V*",B3:B118,"&gt;=1000")</f>
        <v>12</v>
      </c>
      <c r="BS28" s="6">
        <f t="shared" si="9"/>
        <v>52</v>
      </c>
      <c r="BT28" s="6"/>
      <c r="BU28" s="6"/>
      <c r="BV28" s="6"/>
      <c r="BW28" s="6"/>
      <c r="BX28" s="6"/>
    </row>
    <row r="29" ht="15.75" customHeight="1">
      <c r="A29" s="1" t="s">
        <v>123</v>
      </c>
      <c r="B29" s="17">
        <v>350.0</v>
      </c>
      <c r="C29" s="9" t="s">
        <v>85</v>
      </c>
      <c r="D29" s="9" t="s">
        <v>85</v>
      </c>
      <c r="E29" s="9">
        <v>0.465909</v>
      </c>
      <c r="F29" s="9" t="s">
        <v>85</v>
      </c>
      <c r="G29" s="9" t="s">
        <v>85</v>
      </c>
      <c r="H29" s="9">
        <v>0.159091</v>
      </c>
      <c r="I29" s="9" t="s">
        <v>85</v>
      </c>
      <c r="J29" s="9" t="s">
        <v>85</v>
      </c>
      <c r="K29" s="9">
        <v>0.647727</v>
      </c>
      <c r="L29" s="9" t="s">
        <v>85</v>
      </c>
      <c r="M29" s="9" t="s">
        <v>85</v>
      </c>
      <c r="N29" s="9">
        <v>0.738636</v>
      </c>
      <c r="O29" s="9" t="s">
        <v>85</v>
      </c>
      <c r="P29" s="9" t="s">
        <v>85</v>
      </c>
      <c r="Q29" s="9">
        <v>0.613636</v>
      </c>
      <c r="R29" s="9" t="s">
        <v>85</v>
      </c>
      <c r="S29" s="9" t="s">
        <v>85</v>
      </c>
      <c r="T29" s="9">
        <v>0.556818</v>
      </c>
      <c r="U29" s="9" t="s">
        <v>85</v>
      </c>
      <c r="V29" s="9" t="s">
        <v>85</v>
      </c>
      <c r="W29" s="9">
        <v>0.579545</v>
      </c>
      <c r="X29" s="9" t="s">
        <v>85</v>
      </c>
      <c r="Y29" s="9" t="s">
        <v>85</v>
      </c>
      <c r="Z29" s="9">
        <v>0.784091</v>
      </c>
      <c r="AA29" s="10" t="s">
        <v>85</v>
      </c>
      <c r="AB29" s="10" t="s">
        <v>85</v>
      </c>
      <c r="AC29" s="9">
        <v>0.545455</v>
      </c>
      <c r="AD29" s="9" t="s">
        <v>85</v>
      </c>
      <c r="AE29" s="9" t="s">
        <v>85</v>
      </c>
      <c r="AF29" s="9">
        <v>0.5</v>
      </c>
      <c r="AG29" s="9" t="s">
        <v>85</v>
      </c>
      <c r="AH29" s="9" t="s">
        <v>85</v>
      </c>
      <c r="AI29" s="9">
        <v>0.75</v>
      </c>
      <c r="AJ29" s="9" t="s">
        <v>85</v>
      </c>
      <c r="AK29" s="9" t="s">
        <v>85</v>
      </c>
      <c r="AL29" s="9">
        <v>0.693182</v>
      </c>
      <c r="AM29" s="9" t="s">
        <v>85</v>
      </c>
      <c r="AN29" s="9" t="s">
        <v>85</v>
      </c>
      <c r="AO29" s="9">
        <v>0.715909</v>
      </c>
      <c r="AP29" s="9" t="s">
        <v>85</v>
      </c>
      <c r="AQ29" s="9" t="s">
        <v>85</v>
      </c>
      <c r="AR29" s="9">
        <v>0.681818</v>
      </c>
      <c r="AS29" s="9" t="s">
        <v>85</v>
      </c>
      <c r="AT29" s="9" t="s">
        <v>85</v>
      </c>
      <c r="AU29" s="9">
        <v>0.659091</v>
      </c>
      <c r="AV29" s="9" t="s">
        <v>85</v>
      </c>
      <c r="AW29" s="9" t="s">
        <v>85</v>
      </c>
      <c r="AX29" s="9">
        <v>0.818182</v>
      </c>
      <c r="AY29" s="9" t="s">
        <v>85</v>
      </c>
      <c r="AZ29" s="9" t="s">
        <v>85</v>
      </c>
      <c r="BA29" s="9">
        <v>0.704545</v>
      </c>
      <c r="BB29" s="10" t="s">
        <v>85</v>
      </c>
      <c r="BC29" s="10" t="s">
        <v>85</v>
      </c>
      <c r="BD29" s="9">
        <v>0.840909</v>
      </c>
      <c r="BE29" s="9" t="s">
        <v>85</v>
      </c>
      <c r="BF29" s="9" t="s">
        <v>85</v>
      </c>
      <c r="BG29" s="9">
        <v>0.590909</v>
      </c>
      <c r="BH29" s="6"/>
      <c r="BI29" s="6" t="str">
        <f t="shared" si="1"/>
        <v>20V_One_Acc</v>
      </c>
      <c r="BJ29" s="6" t="str">
        <f t="shared" si="2"/>
        <v>12VB_One_Acc</v>
      </c>
      <c r="BK29" s="6" t="str">
        <f t="shared" si="3"/>
        <v>8VB_One_Acc</v>
      </c>
      <c r="BL29" s="6"/>
      <c r="BM29" s="6" t="s">
        <v>20</v>
      </c>
      <c r="BN29" s="18">
        <f>COUNTIFS(BK3:BK118,"*D*",B3:B118,"&lt;=100")</f>
        <v>0</v>
      </c>
      <c r="BO29" s="19">
        <f>COUNTIFS(BK3:BK118,"*D*",B3:B118,"&gt;100",B3:B118,"&lt;=200")</f>
        <v>0</v>
      </c>
      <c r="BP29" s="18">
        <f>COUNTIFS(BK3:BK118,"*D*",B3:B118,"&gt;200",B3:B118,"&lt;500")</f>
        <v>0</v>
      </c>
      <c r="BQ29" s="18">
        <f>COUNTIFS(BK3:BK118,"*D*",B3:B118,"&gt;=500",B3:B118,"&lt;1000")</f>
        <v>0</v>
      </c>
      <c r="BR29" s="18">
        <f>COUNTIFS(BK3:BK118,"*D*",B3:B118,"&gt;=1000")</f>
        <v>0</v>
      </c>
      <c r="BS29" s="6">
        <f t="shared" si="9"/>
        <v>0</v>
      </c>
      <c r="BT29" s="6"/>
      <c r="BU29" s="6"/>
      <c r="BV29" s="6"/>
      <c r="BW29" s="6"/>
      <c r="BX29" s="6"/>
    </row>
    <row r="30" ht="15.75" customHeight="1">
      <c r="A30" s="1" t="s">
        <v>124</v>
      </c>
      <c r="B30" s="17">
        <v>131.0</v>
      </c>
      <c r="C30" s="9" t="s">
        <v>85</v>
      </c>
      <c r="D30" s="9" t="s">
        <v>85</v>
      </c>
      <c r="E30" s="9">
        <v>0.560976</v>
      </c>
      <c r="F30" s="9" t="s">
        <v>85</v>
      </c>
      <c r="G30" s="9" t="s">
        <v>85</v>
      </c>
      <c r="H30" s="9">
        <v>0.143415</v>
      </c>
      <c r="I30" s="9" t="s">
        <v>85</v>
      </c>
      <c r="J30" s="9" t="s">
        <v>85</v>
      </c>
      <c r="K30" s="9">
        <v>0.570732</v>
      </c>
      <c r="L30" s="9" t="s">
        <v>85</v>
      </c>
      <c r="M30" s="9" t="s">
        <v>85</v>
      </c>
      <c r="N30" s="9">
        <v>0.49122</v>
      </c>
      <c r="O30" s="9" t="s">
        <v>85</v>
      </c>
      <c r="P30" s="9" t="s">
        <v>85</v>
      </c>
      <c r="Q30" s="9">
        <v>0.630244</v>
      </c>
      <c r="R30" s="9" t="s">
        <v>85</v>
      </c>
      <c r="S30" s="9" t="s">
        <v>85</v>
      </c>
      <c r="T30" s="9">
        <v>0.638537</v>
      </c>
      <c r="U30" s="9" t="s">
        <v>85</v>
      </c>
      <c r="V30" s="9" t="s">
        <v>85</v>
      </c>
      <c r="W30" s="9">
        <v>0.686341</v>
      </c>
      <c r="X30" s="9" t="s">
        <v>85</v>
      </c>
      <c r="Y30" s="9" t="s">
        <v>85</v>
      </c>
      <c r="Z30" s="9">
        <v>0.574146</v>
      </c>
      <c r="AA30" s="10" t="s">
        <v>85</v>
      </c>
      <c r="AB30" s="10" t="s">
        <v>85</v>
      </c>
      <c r="AC30" s="9">
        <v>0.7</v>
      </c>
      <c r="AD30" s="9" t="s">
        <v>85</v>
      </c>
      <c r="AE30" s="9" t="s">
        <v>85</v>
      </c>
      <c r="AF30" s="9">
        <v>0.607805</v>
      </c>
      <c r="AG30" s="9" t="s">
        <v>85</v>
      </c>
      <c r="AH30" s="9" t="s">
        <v>85</v>
      </c>
      <c r="AI30" s="9">
        <v>0.690244</v>
      </c>
      <c r="AJ30" s="9" t="s">
        <v>85</v>
      </c>
      <c r="AK30" s="9" t="s">
        <v>85</v>
      </c>
      <c r="AL30" s="9">
        <v>0.415122</v>
      </c>
      <c r="AM30" s="9" t="s">
        <v>85</v>
      </c>
      <c r="AN30" s="9" t="s">
        <v>85</v>
      </c>
      <c r="AO30" s="9">
        <v>0.561951</v>
      </c>
      <c r="AP30" s="9" t="s">
        <v>85</v>
      </c>
      <c r="AQ30" s="9" t="s">
        <v>85</v>
      </c>
      <c r="AR30" s="9">
        <v>0.679024</v>
      </c>
      <c r="AS30" s="9" t="s">
        <v>85</v>
      </c>
      <c r="AT30" s="9" t="s">
        <v>85</v>
      </c>
      <c r="AU30" s="9">
        <v>0.601951</v>
      </c>
      <c r="AV30" s="9" t="s">
        <v>85</v>
      </c>
      <c r="AW30" s="9" t="s">
        <v>85</v>
      </c>
      <c r="AX30" s="9">
        <v>0.369756</v>
      </c>
      <c r="AY30" s="9" t="s">
        <v>85</v>
      </c>
      <c r="AZ30" s="9" t="s">
        <v>85</v>
      </c>
      <c r="BA30" s="9">
        <v>0.665366</v>
      </c>
      <c r="BB30" s="10" t="s">
        <v>85</v>
      </c>
      <c r="BC30" s="10" t="s">
        <v>85</v>
      </c>
      <c r="BD30" s="9">
        <v>0.570244</v>
      </c>
      <c r="BE30" s="9" t="s">
        <v>85</v>
      </c>
      <c r="BF30" s="9" t="s">
        <v>85</v>
      </c>
      <c r="BG30" s="9">
        <v>0.396098</v>
      </c>
      <c r="BH30" s="6"/>
      <c r="BI30" s="6" t="str">
        <f t="shared" si="1"/>
        <v>10B_One_Acc</v>
      </c>
      <c r="BJ30" s="6" t="str">
        <f t="shared" si="2"/>
        <v>10V_One_Acc</v>
      </c>
      <c r="BK30" s="6" t="str">
        <f t="shared" si="3"/>
        <v>8V_One_Acc</v>
      </c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</row>
    <row r="31" ht="15.75" customHeight="1">
      <c r="A31" s="1" t="s">
        <v>125</v>
      </c>
      <c r="B31" s="17">
        <v>270.0</v>
      </c>
      <c r="C31" s="9" t="s">
        <v>85</v>
      </c>
      <c r="D31" s="9" t="s">
        <v>85</v>
      </c>
      <c r="E31" s="9">
        <v>0.404396</v>
      </c>
      <c r="F31" s="9" t="s">
        <v>85</v>
      </c>
      <c r="G31" s="9" t="s">
        <v>85</v>
      </c>
      <c r="H31" s="9">
        <v>0.125275</v>
      </c>
      <c r="I31" s="9" t="s">
        <v>85</v>
      </c>
      <c r="J31" s="9" t="s">
        <v>85</v>
      </c>
      <c r="K31" s="9">
        <v>0.353846</v>
      </c>
      <c r="L31" s="9" t="s">
        <v>85</v>
      </c>
      <c r="M31" s="9" t="s">
        <v>85</v>
      </c>
      <c r="N31" s="9">
        <v>0.272527</v>
      </c>
      <c r="O31" s="9" t="s">
        <v>85</v>
      </c>
      <c r="P31" s="9" t="s">
        <v>85</v>
      </c>
      <c r="Q31" s="9">
        <v>0.492308</v>
      </c>
      <c r="R31" s="9" t="s">
        <v>85</v>
      </c>
      <c r="S31" s="9" t="s">
        <v>85</v>
      </c>
      <c r="T31" s="9">
        <v>0.505495</v>
      </c>
      <c r="U31" s="9" t="s">
        <v>85</v>
      </c>
      <c r="V31" s="9" t="s">
        <v>85</v>
      </c>
      <c r="W31" s="9">
        <v>0.254945</v>
      </c>
      <c r="X31" s="9" t="s">
        <v>85</v>
      </c>
      <c r="Y31" s="9" t="s">
        <v>85</v>
      </c>
      <c r="Z31" s="9">
        <v>0.340659</v>
      </c>
      <c r="AA31" s="10" t="s">
        <v>85</v>
      </c>
      <c r="AB31" s="10" t="s">
        <v>85</v>
      </c>
      <c r="AC31" s="9">
        <v>0.452747</v>
      </c>
      <c r="AD31" s="9" t="s">
        <v>85</v>
      </c>
      <c r="AE31" s="9" t="s">
        <v>85</v>
      </c>
      <c r="AF31" s="9">
        <v>0.540659</v>
      </c>
      <c r="AG31" s="9" t="s">
        <v>85</v>
      </c>
      <c r="AH31" s="9" t="s">
        <v>85</v>
      </c>
      <c r="AI31" s="9">
        <v>0.389011</v>
      </c>
      <c r="AJ31" s="9" t="s">
        <v>85</v>
      </c>
      <c r="AK31" s="9" t="s">
        <v>85</v>
      </c>
      <c r="AL31" s="9">
        <v>0.426374</v>
      </c>
      <c r="AM31" s="9" t="s">
        <v>85</v>
      </c>
      <c r="AN31" s="9" t="s">
        <v>85</v>
      </c>
      <c r="AO31" s="9">
        <v>0.492308</v>
      </c>
      <c r="AP31" s="9" t="s">
        <v>85</v>
      </c>
      <c r="AQ31" s="9" t="s">
        <v>85</v>
      </c>
      <c r="AR31" s="9">
        <v>0.432967</v>
      </c>
      <c r="AS31" s="9" t="s">
        <v>85</v>
      </c>
      <c r="AT31" s="9" t="s">
        <v>85</v>
      </c>
      <c r="AU31" s="9">
        <v>0.252747</v>
      </c>
      <c r="AV31" s="9" t="s">
        <v>85</v>
      </c>
      <c r="AW31" s="9" t="s">
        <v>85</v>
      </c>
      <c r="AX31" s="9">
        <v>0.364835</v>
      </c>
      <c r="AY31" s="9" t="s">
        <v>85</v>
      </c>
      <c r="AZ31" s="9" t="s">
        <v>85</v>
      </c>
      <c r="BA31" s="9">
        <v>0.356044</v>
      </c>
      <c r="BB31" s="10" t="s">
        <v>85</v>
      </c>
      <c r="BC31" s="10" t="s">
        <v>85</v>
      </c>
      <c r="BD31" s="9">
        <v>0.457143</v>
      </c>
      <c r="BE31" s="9" t="s">
        <v>85</v>
      </c>
      <c r="BF31" s="9" t="s">
        <v>85</v>
      </c>
      <c r="BG31" s="9">
        <v>0.465934</v>
      </c>
      <c r="BH31" s="6"/>
      <c r="BI31" s="6" t="str">
        <f t="shared" si="1"/>
        <v>10BN_One_Acc</v>
      </c>
      <c r="BJ31" s="6" t="str">
        <f t="shared" si="2"/>
        <v>8BN_One_Acc</v>
      </c>
      <c r="BK31" s="6" t="str">
        <f t="shared" si="3"/>
        <v>8B_One_Acc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</row>
    <row r="32" ht="15.75" customHeight="1">
      <c r="A32" s="1" t="s">
        <v>126</v>
      </c>
      <c r="B32" s="17">
        <v>463.0</v>
      </c>
      <c r="C32" s="9" t="s">
        <v>85</v>
      </c>
      <c r="D32" s="9" t="s">
        <v>85</v>
      </c>
      <c r="E32" s="9">
        <v>0.491429</v>
      </c>
      <c r="F32" s="9" t="s">
        <v>85</v>
      </c>
      <c r="G32" s="9" t="s">
        <v>85</v>
      </c>
      <c r="H32" s="9">
        <v>0.137143</v>
      </c>
      <c r="I32" s="9" t="s">
        <v>85</v>
      </c>
      <c r="J32" s="9" t="s">
        <v>85</v>
      </c>
      <c r="K32" s="9">
        <v>0.531429</v>
      </c>
      <c r="L32" s="9" t="s">
        <v>85</v>
      </c>
      <c r="M32" s="9" t="s">
        <v>85</v>
      </c>
      <c r="N32" s="9">
        <v>0.748571</v>
      </c>
      <c r="O32" s="9" t="s">
        <v>85</v>
      </c>
      <c r="P32" s="9" t="s">
        <v>85</v>
      </c>
      <c r="Q32" s="9">
        <v>0.668571</v>
      </c>
      <c r="R32" s="9" t="s">
        <v>85</v>
      </c>
      <c r="S32" s="9" t="s">
        <v>85</v>
      </c>
      <c r="T32" s="9">
        <v>0.622857</v>
      </c>
      <c r="U32" s="9" t="s">
        <v>85</v>
      </c>
      <c r="V32" s="9" t="s">
        <v>85</v>
      </c>
      <c r="W32" s="9">
        <v>0.594286</v>
      </c>
      <c r="X32" s="9" t="s">
        <v>85</v>
      </c>
      <c r="Y32" s="9" t="s">
        <v>85</v>
      </c>
      <c r="Z32" s="9">
        <v>0.52</v>
      </c>
      <c r="AA32" s="10" t="s">
        <v>85</v>
      </c>
      <c r="AB32" s="10" t="s">
        <v>85</v>
      </c>
      <c r="AC32" s="9">
        <v>0.611429</v>
      </c>
      <c r="AD32" s="9" t="s">
        <v>85</v>
      </c>
      <c r="AE32" s="9" t="s">
        <v>85</v>
      </c>
      <c r="AF32" s="9">
        <v>0.645714</v>
      </c>
      <c r="AG32" s="9" t="s">
        <v>85</v>
      </c>
      <c r="AH32" s="9" t="s">
        <v>85</v>
      </c>
      <c r="AI32" s="9">
        <v>0.634286</v>
      </c>
      <c r="AJ32" s="9" t="s">
        <v>85</v>
      </c>
      <c r="AK32" s="9" t="s">
        <v>85</v>
      </c>
      <c r="AL32" s="9">
        <v>0.508571</v>
      </c>
      <c r="AM32" s="9" t="s">
        <v>85</v>
      </c>
      <c r="AN32" s="9" t="s">
        <v>85</v>
      </c>
      <c r="AO32" s="9">
        <v>0.514286</v>
      </c>
      <c r="AP32" s="9" t="s">
        <v>85</v>
      </c>
      <c r="AQ32" s="9" t="s">
        <v>85</v>
      </c>
      <c r="AR32" s="9">
        <v>0.662857</v>
      </c>
      <c r="AS32" s="9" t="s">
        <v>85</v>
      </c>
      <c r="AT32" s="9" t="s">
        <v>85</v>
      </c>
      <c r="AU32" s="9">
        <v>0.525714</v>
      </c>
      <c r="AV32" s="9" t="s">
        <v>85</v>
      </c>
      <c r="AW32" s="9" t="s">
        <v>85</v>
      </c>
      <c r="AX32" s="9">
        <v>0.605714</v>
      </c>
      <c r="AY32" s="9" t="s">
        <v>85</v>
      </c>
      <c r="AZ32" s="9" t="s">
        <v>85</v>
      </c>
      <c r="BA32" s="9">
        <v>0.662857</v>
      </c>
      <c r="BB32" s="10" t="s">
        <v>85</v>
      </c>
      <c r="BC32" s="10" t="s">
        <v>85</v>
      </c>
      <c r="BD32" s="9">
        <v>0.731429</v>
      </c>
      <c r="BE32" s="9" t="s">
        <v>85</v>
      </c>
      <c r="BF32" s="9" t="s">
        <v>85</v>
      </c>
      <c r="BG32" s="9">
        <v>0.64</v>
      </c>
      <c r="BH32" s="6"/>
      <c r="BI32" s="6" t="str">
        <f t="shared" si="1"/>
        <v>5VB_One_Acc</v>
      </c>
      <c r="BJ32" s="6" t="str">
        <f t="shared" si="2"/>
        <v>20V_One_Acc</v>
      </c>
      <c r="BK32" s="6" t="str">
        <f t="shared" si="3"/>
        <v>8B_One_Acc</v>
      </c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</row>
    <row r="33" ht="15.75" customHeight="1">
      <c r="A33" s="1" t="s">
        <v>127</v>
      </c>
      <c r="B33" s="17">
        <v>500.0</v>
      </c>
      <c r="C33" s="9" t="s">
        <v>85</v>
      </c>
      <c r="D33" s="9" t="s">
        <v>85</v>
      </c>
      <c r="E33" s="9">
        <v>0.484091</v>
      </c>
      <c r="F33" s="9" t="s">
        <v>85</v>
      </c>
      <c r="G33" s="9" t="s">
        <v>85</v>
      </c>
      <c r="H33" s="9">
        <v>0.484091</v>
      </c>
      <c r="I33" s="9" t="s">
        <v>85</v>
      </c>
      <c r="J33" s="9" t="s">
        <v>85</v>
      </c>
      <c r="K33" s="9">
        <v>0.484091</v>
      </c>
      <c r="L33" s="9" t="s">
        <v>85</v>
      </c>
      <c r="M33" s="9" t="s">
        <v>85</v>
      </c>
      <c r="N33" s="9">
        <v>0.484091</v>
      </c>
      <c r="O33" s="9" t="s">
        <v>85</v>
      </c>
      <c r="P33" s="9" t="s">
        <v>85</v>
      </c>
      <c r="Q33" s="9">
        <v>0.484091</v>
      </c>
      <c r="R33" s="9" t="s">
        <v>85</v>
      </c>
      <c r="S33" s="9" t="s">
        <v>85</v>
      </c>
      <c r="T33" s="9">
        <v>0.484091</v>
      </c>
      <c r="U33" s="9" t="s">
        <v>85</v>
      </c>
      <c r="V33" s="9" t="s">
        <v>85</v>
      </c>
      <c r="W33" s="9">
        <v>0.484091</v>
      </c>
      <c r="X33" s="9" t="s">
        <v>85</v>
      </c>
      <c r="Y33" s="9" t="s">
        <v>85</v>
      </c>
      <c r="Z33" s="9">
        <v>0.484091</v>
      </c>
      <c r="AA33" s="10" t="s">
        <v>85</v>
      </c>
      <c r="AB33" s="10" t="s">
        <v>85</v>
      </c>
      <c r="AC33" s="9">
        <v>0.484091</v>
      </c>
      <c r="AD33" s="9" t="s">
        <v>85</v>
      </c>
      <c r="AE33" s="9" t="s">
        <v>85</v>
      </c>
      <c r="AF33" s="9">
        <v>0.484091</v>
      </c>
      <c r="AG33" s="9" t="s">
        <v>85</v>
      </c>
      <c r="AH33" s="9" t="s">
        <v>85</v>
      </c>
      <c r="AI33" s="9">
        <v>0.484091</v>
      </c>
      <c r="AJ33" s="9" t="s">
        <v>85</v>
      </c>
      <c r="AK33" s="9" t="s">
        <v>85</v>
      </c>
      <c r="AL33" s="9">
        <v>0.484091</v>
      </c>
      <c r="AM33" s="9" t="s">
        <v>85</v>
      </c>
      <c r="AN33" s="9" t="s">
        <v>85</v>
      </c>
      <c r="AO33" s="9">
        <v>0.484091</v>
      </c>
      <c r="AP33" s="9" t="s">
        <v>85</v>
      </c>
      <c r="AQ33" s="9" t="s">
        <v>85</v>
      </c>
      <c r="AR33" s="9">
        <v>0.484091</v>
      </c>
      <c r="AS33" s="9" t="s">
        <v>85</v>
      </c>
      <c r="AT33" s="9" t="s">
        <v>85</v>
      </c>
      <c r="AU33" s="9">
        <v>0.484091</v>
      </c>
      <c r="AV33" s="9" t="s">
        <v>85</v>
      </c>
      <c r="AW33" s="9" t="s">
        <v>85</v>
      </c>
      <c r="AX33" s="9">
        <v>0.484091</v>
      </c>
      <c r="AY33" s="9" t="s">
        <v>85</v>
      </c>
      <c r="AZ33" s="9" t="s">
        <v>85</v>
      </c>
      <c r="BA33" s="9">
        <v>0.484091</v>
      </c>
      <c r="BB33" s="10" t="s">
        <v>85</v>
      </c>
      <c r="BC33" s="10" t="s">
        <v>85</v>
      </c>
      <c r="BD33" s="9">
        <v>0.484091</v>
      </c>
      <c r="BE33" s="9" t="s">
        <v>85</v>
      </c>
      <c r="BF33" s="9" t="s">
        <v>85</v>
      </c>
      <c r="BG33" s="9">
        <v>0.484091</v>
      </c>
      <c r="BH33" s="6"/>
      <c r="BI33" s="6" t="str">
        <f t="shared" si="1"/>
        <v>5B_One_Acc</v>
      </c>
      <c r="BJ33" s="6" t="str">
        <f t="shared" si="2"/>
        <v>5B_One_Acc</v>
      </c>
      <c r="BK33" s="6" t="str">
        <f t="shared" si="3"/>
        <v>5B_One_Acc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</row>
    <row r="34" ht="15.75" customHeight="1">
      <c r="A34" s="14" t="s">
        <v>128</v>
      </c>
      <c r="B34" s="17">
        <v>500.0</v>
      </c>
      <c r="C34" s="9" t="s">
        <v>85</v>
      </c>
      <c r="D34" s="9" t="s">
        <v>85</v>
      </c>
      <c r="E34" s="9">
        <v>0.504938</v>
      </c>
      <c r="F34" s="9" t="s">
        <v>85</v>
      </c>
      <c r="G34" s="9" t="s">
        <v>85</v>
      </c>
      <c r="H34" s="9">
        <v>0.504938</v>
      </c>
      <c r="I34" s="9" t="s">
        <v>85</v>
      </c>
      <c r="J34" s="9" t="s">
        <v>85</v>
      </c>
      <c r="K34" s="9">
        <v>0.504938</v>
      </c>
      <c r="L34" s="9" t="s">
        <v>85</v>
      </c>
      <c r="M34" s="9" t="s">
        <v>85</v>
      </c>
      <c r="N34" s="9">
        <v>0.504938</v>
      </c>
      <c r="O34" s="9" t="s">
        <v>85</v>
      </c>
      <c r="P34" s="9" t="s">
        <v>85</v>
      </c>
      <c r="Q34" s="9">
        <v>0.504938</v>
      </c>
      <c r="R34" s="9" t="s">
        <v>85</v>
      </c>
      <c r="S34" s="9" t="s">
        <v>85</v>
      </c>
      <c r="T34" s="9">
        <v>0.504938</v>
      </c>
      <c r="U34" s="9" t="s">
        <v>85</v>
      </c>
      <c r="V34" s="9" t="s">
        <v>85</v>
      </c>
      <c r="W34" s="9">
        <v>0.504938</v>
      </c>
      <c r="X34" s="9" t="s">
        <v>85</v>
      </c>
      <c r="Y34" s="9" t="s">
        <v>85</v>
      </c>
      <c r="Z34" s="9">
        <v>0.504938</v>
      </c>
      <c r="AA34" s="10" t="s">
        <v>85</v>
      </c>
      <c r="AB34" s="10" t="s">
        <v>85</v>
      </c>
      <c r="AC34" s="9">
        <v>0.504938</v>
      </c>
      <c r="AD34" s="9" t="s">
        <v>85</v>
      </c>
      <c r="AE34" s="9" t="s">
        <v>85</v>
      </c>
      <c r="AF34" s="9">
        <v>0.504938</v>
      </c>
      <c r="AG34" s="9" t="s">
        <v>85</v>
      </c>
      <c r="AH34" s="9" t="s">
        <v>85</v>
      </c>
      <c r="AI34" s="9">
        <v>0.504938</v>
      </c>
      <c r="AJ34" s="9" t="s">
        <v>85</v>
      </c>
      <c r="AK34" s="9" t="s">
        <v>85</v>
      </c>
      <c r="AL34" s="9">
        <v>0.504938</v>
      </c>
      <c r="AM34" s="9" t="s">
        <v>85</v>
      </c>
      <c r="AN34" s="9" t="s">
        <v>85</v>
      </c>
      <c r="AO34" s="9">
        <v>0.504938</v>
      </c>
      <c r="AP34" s="9" t="s">
        <v>85</v>
      </c>
      <c r="AQ34" s="9" t="s">
        <v>85</v>
      </c>
      <c r="AR34" s="9">
        <v>0.504938</v>
      </c>
      <c r="AS34" s="9" t="s">
        <v>85</v>
      </c>
      <c r="AT34" s="9" t="s">
        <v>85</v>
      </c>
      <c r="AU34" s="9">
        <v>0.504938</v>
      </c>
      <c r="AV34" s="9" t="s">
        <v>85</v>
      </c>
      <c r="AW34" s="9" t="s">
        <v>85</v>
      </c>
      <c r="AX34" s="9">
        <v>0.504938</v>
      </c>
      <c r="AY34" s="9" t="s">
        <v>85</v>
      </c>
      <c r="AZ34" s="9" t="s">
        <v>85</v>
      </c>
      <c r="BA34" s="9">
        <v>0.504938</v>
      </c>
      <c r="BB34" s="10" t="s">
        <v>85</v>
      </c>
      <c r="BC34" s="10" t="s">
        <v>85</v>
      </c>
      <c r="BD34" s="9">
        <v>0.504938</v>
      </c>
      <c r="BE34" s="9" t="s">
        <v>85</v>
      </c>
      <c r="BF34" s="9" t="s">
        <v>85</v>
      </c>
      <c r="BG34" s="9">
        <v>0.504938</v>
      </c>
      <c r="BH34" s="6"/>
      <c r="BI34" s="6" t="str">
        <f t="shared" si="1"/>
        <v>5B_One_Acc</v>
      </c>
      <c r="BJ34" s="6" t="str">
        <f t="shared" si="2"/>
        <v>5B_One_Acc</v>
      </c>
      <c r="BK34" s="6" t="str">
        <f t="shared" si="3"/>
        <v>5B_One_Acc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</row>
    <row r="35" ht="15.75" customHeight="1">
      <c r="A35" s="1" t="s">
        <v>129</v>
      </c>
      <c r="B35" s="17">
        <v>301.0</v>
      </c>
      <c r="C35" s="9" t="s">
        <v>85</v>
      </c>
      <c r="D35" s="9" t="s">
        <v>85</v>
      </c>
      <c r="E35" s="9">
        <v>0.968421</v>
      </c>
      <c r="F35" s="9" t="s">
        <v>85</v>
      </c>
      <c r="G35" s="9" t="s">
        <v>85</v>
      </c>
      <c r="H35" s="9">
        <v>0.5</v>
      </c>
      <c r="I35" s="9" t="s">
        <v>85</v>
      </c>
      <c r="J35" s="9" t="s">
        <v>85</v>
      </c>
      <c r="K35" s="9">
        <v>0.947719</v>
      </c>
      <c r="L35" s="9" t="s">
        <v>85</v>
      </c>
      <c r="M35" s="9" t="s">
        <v>85</v>
      </c>
      <c r="N35" s="9">
        <v>0.95193</v>
      </c>
      <c r="O35" s="9" t="s">
        <v>85</v>
      </c>
      <c r="P35" s="9" t="s">
        <v>85</v>
      </c>
      <c r="Q35" s="9">
        <v>0.969825</v>
      </c>
      <c r="R35" s="9" t="s">
        <v>85</v>
      </c>
      <c r="S35" s="9" t="s">
        <v>85</v>
      </c>
      <c r="T35" s="9">
        <v>0.971579</v>
      </c>
      <c r="U35" s="9" t="s">
        <v>85</v>
      </c>
      <c r="V35" s="9" t="s">
        <v>85</v>
      </c>
      <c r="W35" s="9">
        <v>0.981754</v>
      </c>
      <c r="X35" s="9" t="s">
        <v>85</v>
      </c>
      <c r="Y35" s="9" t="s">
        <v>85</v>
      </c>
      <c r="Z35" s="9">
        <v>0.980351</v>
      </c>
      <c r="AA35" s="10" t="s">
        <v>85</v>
      </c>
      <c r="AB35" s="10" t="s">
        <v>85</v>
      </c>
      <c r="AC35" s="9">
        <v>0.976491</v>
      </c>
      <c r="AD35" s="9" t="s">
        <v>85</v>
      </c>
      <c r="AE35" s="9" t="s">
        <v>85</v>
      </c>
      <c r="AF35" s="9">
        <v>0.972281</v>
      </c>
      <c r="AG35" s="9" t="s">
        <v>85</v>
      </c>
      <c r="AH35" s="9" t="s">
        <v>85</v>
      </c>
      <c r="AI35" s="9">
        <v>0.960351</v>
      </c>
      <c r="AJ35" s="9" t="s">
        <v>85</v>
      </c>
      <c r="AK35" s="9" t="s">
        <v>85</v>
      </c>
      <c r="AL35" s="9">
        <v>0.964561</v>
      </c>
      <c r="AM35" s="9" t="s">
        <v>85</v>
      </c>
      <c r="AN35" s="9" t="s">
        <v>85</v>
      </c>
      <c r="AO35" s="9">
        <v>0.96807</v>
      </c>
      <c r="AP35" s="9" t="s">
        <v>85</v>
      </c>
      <c r="AQ35" s="9" t="s">
        <v>85</v>
      </c>
      <c r="AR35" s="9">
        <v>0.964912</v>
      </c>
      <c r="AS35" s="9" t="s">
        <v>85</v>
      </c>
      <c r="AT35" s="9" t="s">
        <v>85</v>
      </c>
      <c r="AU35" s="9">
        <v>0.963158</v>
      </c>
      <c r="AV35" s="9" t="s">
        <v>85</v>
      </c>
      <c r="AW35" s="9" t="s">
        <v>85</v>
      </c>
      <c r="AX35" s="9">
        <v>0.961754</v>
      </c>
      <c r="AY35" s="9" t="s">
        <v>85</v>
      </c>
      <c r="AZ35" s="9" t="s">
        <v>85</v>
      </c>
      <c r="BA35" s="9">
        <v>0.971228</v>
      </c>
      <c r="BB35" s="10" t="s">
        <v>85</v>
      </c>
      <c r="BC35" s="10" t="s">
        <v>85</v>
      </c>
      <c r="BD35" s="9">
        <v>0.947018</v>
      </c>
      <c r="BE35" s="9" t="s">
        <v>85</v>
      </c>
      <c r="BF35" s="9" t="s">
        <v>85</v>
      </c>
      <c r="BG35" s="9">
        <v>0.853684</v>
      </c>
      <c r="BH35" s="6"/>
      <c r="BI35" s="6" t="str">
        <f t="shared" si="1"/>
        <v>8V_One_Acc</v>
      </c>
      <c r="BJ35" s="6" t="str">
        <f t="shared" si="2"/>
        <v>8VB_One_Acc</v>
      </c>
      <c r="BK35" s="6" t="str">
        <f t="shared" si="3"/>
        <v>10B_One_Acc</v>
      </c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</row>
    <row r="36" ht="15.75" customHeight="1">
      <c r="A36" s="1" t="s">
        <v>130</v>
      </c>
      <c r="B36" s="17">
        <v>301.0</v>
      </c>
      <c r="C36" s="9" t="s">
        <v>85</v>
      </c>
      <c r="D36" s="9" t="s">
        <v>85</v>
      </c>
      <c r="E36" s="9">
        <v>0.961403</v>
      </c>
      <c r="F36" s="9" t="s">
        <v>85</v>
      </c>
      <c r="G36" s="9" t="s">
        <v>85</v>
      </c>
      <c r="H36" s="9">
        <v>0.5</v>
      </c>
      <c r="I36" s="9" t="s">
        <v>85</v>
      </c>
      <c r="J36" s="9" t="s">
        <v>85</v>
      </c>
      <c r="K36" s="9">
        <v>0.807719</v>
      </c>
      <c r="L36" s="9" t="s">
        <v>85</v>
      </c>
      <c r="M36" s="9" t="s">
        <v>85</v>
      </c>
      <c r="N36" s="9">
        <v>0.801053</v>
      </c>
      <c r="O36" s="9" t="s">
        <v>85</v>
      </c>
      <c r="P36" s="9" t="s">
        <v>85</v>
      </c>
      <c r="Q36" s="9">
        <v>0.949825</v>
      </c>
      <c r="R36" s="9" t="s">
        <v>85</v>
      </c>
      <c r="S36" s="9" t="s">
        <v>85</v>
      </c>
      <c r="T36" s="9">
        <v>0.948772</v>
      </c>
      <c r="U36" s="9" t="s">
        <v>85</v>
      </c>
      <c r="V36" s="9" t="s">
        <v>85</v>
      </c>
      <c r="W36" s="9">
        <v>0.906316</v>
      </c>
      <c r="X36" s="9" t="s">
        <v>85</v>
      </c>
      <c r="Y36" s="9" t="s">
        <v>85</v>
      </c>
      <c r="Z36" s="9">
        <v>0.92386</v>
      </c>
      <c r="AA36" s="10" t="s">
        <v>85</v>
      </c>
      <c r="AB36" s="10" t="s">
        <v>85</v>
      </c>
      <c r="AC36" s="1" t="s">
        <v>85</v>
      </c>
      <c r="AD36" s="9" t="s">
        <v>85</v>
      </c>
      <c r="AE36" s="9" t="s">
        <v>85</v>
      </c>
      <c r="AF36" s="9">
        <v>0.94807</v>
      </c>
      <c r="AG36" s="9" t="s">
        <v>85</v>
      </c>
      <c r="AH36" s="9" t="s">
        <v>85</v>
      </c>
      <c r="AI36" s="9">
        <v>0.889123</v>
      </c>
      <c r="AJ36" s="9" t="s">
        <v>85</v>
      </c>
      <c r="AK36" s="9" t="s">
        <v>85</v>
      </c>
      <c r="AL36" s="9">
        <v>0.893333</v>
      </c>
      <c r="AM36" s="9" t="s">
        <v>85</v>
      </c>
      <c r="AN36" s="9" t="s">
        <v>85</v>
      </c>
      <c r="AO36" s="9">
        <v>0.952281</v>
      </c>
      <c r="AP36" s="9" t="s">
        <v>85</v>
      </c>
      <c r="AQ36" s="9" t="s">
        <v>85</v>
      </c>
      <c r="AR36" s="9">
        <v>0.95614</v>
      </c>
      <c r="AS36" s="9" t="s">
        <v>85</v>
      </c>
      <c r="AT36" s="9" t="s">
        <v>85</v>
      </c>
      <c r="AU36" s="9">
        <v>0.767719</v>
      </c>
      <c r="AV36" s="9" t="s">
        <v>85</v>
      </c>
      <c r="AW36" s="9" t="s">
        <v>85</v>
      </c>
      <c r="AX36" s="9">
        <v>0.823509</v>
      </c>
      <c r="AY36" s="9" t="s">
        <v>85</v>
      </c>
      <c r="AZ36" s="9" t="s">
        <v>85</v>
      </c>
      <c r="BA36" s="9">
        <v>0.967368</v>
      </c>
      <c r="BB36" s="10" t="s">
        <v>85</v>
      </c>
      <c r="BC36" s="10" t="s">
        <v>85</v>
      </c>
      <c r="BD36" s="9">
        <v>0.896491</v>
      </c>
      <c r="BE36" s="9" t="s">
        <v>85</v>
      </c>
      <c r="BF36" s="9" t="s">
        <v>85</v>
      </c>
      <c r="BG36" s="9">
        <v>0.694386</v>
      </c>
      <c r="BH36" s="6"/>
      <c r="BI36" s="6" t="str">
        <f t="shared" si="1"/>
        <v>20B_One_Acc</v>
      </c>
      <c r="BJ36" s="6" t="str">
        <f t="shared" si="2"/>
        <v>5B_One_Acc</v>
      </c>
      <c r="BK36" s="6" t="str">
        <f t="shared" si="3"/>
        <v>12BN_One_Acc</v>
      </c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</row>
    <row r="37" ht="15.75" customHeight="1">
      <c r="A37" s="1" t="s">
        <v>131</v>
      </c>
      <c r="B37" s="17">
        <v>150.0</v>
      </c>
      <c r="C37" s="9" t="s">
        <v>85</v>
      </c>
      <c r="D37" s="9" t="s">
        <v>85</v>
      </c>
      <c r="E37" s="9">
        <v>0.92</v>
      </c>
      <c r="F37" s="9" t="s">
        <v>85</v>
      </c>
      <c r="G37" s="9" t="s">
        <v>85</v>
      </c>
      <c r="H37" s="9">
        <v>0.493333</v>
      </c>
      <c r="I37" s="9" t="s">
        <v>85</v>
      </c>
      <c r="J37" s="9" t="s">
        <v>85</v>
      </c>
      <c r="K37" s="9">
        <v>0.906667</v>
      </c>
      <c r="L37" s="9" t="s">
        <v>85</v>
      </c>
      <c r="M37" s="9" t="s">
        <v>85</v>
      </c>
      <c r="N37" s="9">
        <v>0.92</v>
      </c>
      <c r="O37" s="9" t="s">
        <v>85</v>
      </c>
      <c r="P37" s="9" t="s">
        <v>85</v>
      </c>
      <c r="Q37" s="9">
        <v>0.973333</v>
      </c>
      <c r="R37" s="9" t="s">
        <v>85</v>
      </c>
      <c r="S37" s="9" t="s">
        <v>85</v>
      </c>
      <c r="T37" s="9">
        <v>0.966667</v>
      </c>
      <c r="U37" s="9" t="s">
        <v>85</v>
      </c>
      <c r="V37" s="9" t="s">
        <v>85</v>
      </c>
      <c r="W37" s="9">
        <v>0.893333</v>
      </c>
      <c r="X37" s="9" t="s">
        <v>85</v>
      </c>
      <c r="Y37" s="9" t="s">
        <v>85</v>
      </c>
      <c r="Z37" s="9">
        <v>0.873333</v>
      </c>
      <c r="AA37" s="10" t="s">
        <v>85</v>
      </c>
      <c r="AB37" s="10" t="s">
        <v>85</v>
      </c>
      <c r="AC37" s="9">
        <v>0.953333</v>
      </c>
      <c r="AD37" s="9" t="s">
        <v>85</v>
      </c>
      <c r="AE37" s="9" t="s">
        <v>85</v>
      </c>
      <c r="AF37" s="9">
        <v>0.946667</v>
      </c>
      <c r="AG37" s="9" t="s">
        <v>85</v>
      </c>
      <c r="AH37" s="9" t="s">
        <v>85</v>
      </c>
      <c r="AI37" s="9">
        <v>0.84</v>
      </c>
      <c r="AJ37" s="9" t="s">
        <v>85</v>
      </c>
      <c r="AK37" s="9" t="s">
        <v>85</v>
      </c>
      <c r="AL37" s="9">
        <v>0.846667</v>
      </c>
      <c r="AM37" s="9" t="s">
        <v>85</v>
      </c>
      <c r="AN37" s="9" t="s">
        <v>85</v>
      </c>
      <c r="AO37" s="9">
        <v>0.92</v>
      </c>
      <c r="AP37" s="9" t="s">
        <v>85</v>
      </c>
      <c r="AQ37" s="9" t="s">
        <v>85</v>
      </c>
      <c r="AR37" s="9">
        <v>0.94</v>
      </c>
      <c r="AS37" s="9" t="s">
        <v>85</v>
      </c>
      <c r="AT37" s="9" t="s">
        <v>85</v>
      </c>
      <c r="AU37" s="9">
        <v>0.9</v>
      </c>
      <c r="AV37" s="9" t="s">
        <v>85</v>
      </c>
      <c r="AW37" s="9" t="s">
        <v>85</v>
      </c>
      <c r="AX37" s="9">
        <v>0.873333</v>
      </c>
      <c r="AY37" s="9" t="s">
        <v>85</v>
      </c>
      <c r="AZ37" s="9" t="s">
        <v>85</v>
      </c>
      <c r="BA37" s="9">
        <v>0.953333</v>
      </c>
      <c r="BB37" s="10" t="s">
        <v>85</v>
      </c>
      <c r="BC37" s="10" t="s">
        <v>85</v>
      </c>
      <c r="BD37" s="9">
        <v>0.913333</v>
      </c>
      <c r="BE37" s="9" t="s">
        <v>85</v>
      </c>
      <c r="BF37" s="9" t="s">
        <v>85</v>
      </c>
      <c r="BG37" s="9">
        <v>0.786667</v>
      </c>
      <c r="BH37" s="6"/>
      <c r="BI37" s="6" t="str">
        <f t="shared" si="1"/>
        <v>8B_One_Acc</v>
      </c>
      <c r="BJ37" s="6" t="str">
        <f t="shared" si="2"/>
        <v>8BN_One_Acc</v>
      </c>
      <c r="BK37" s="6" t="str">
        <f t="shared" si="3"/>
        <v>10B_One_Acc</v>
      </c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</row>
    <row r="38" ht="15.75" customHeight="1">
      <c r="A38" s="1" t="s">
        <v>132</v>
      </c>
      <c r="B38" s="17">
        <v>150.0</v>
      </c>
      <c r="C38" s="9" t="s">
        <v>85</v>
      </c>
      <c r="D38" s="9" t="s">
        <v>85</v>
      </c>
      <c r="E38" s="9">
        <v>0.974684</v>
      </c>
      <c r="F38" s="9" t="s">
        <v>85</v>
      </c>
      <c r="G38" s="9" t="s">
        <v>85</v>
      </c>
      <c r="H38" s="9">
        <v>0.493671</v>
      </c>
      <c r="I38" s="9" t="s">
        <v>85</v>
      </c>
      <c r="J38" s="9" t="s">
        <v>85</v>
      </c>
      <c r="K38" s="9">
        <v>0.936709</v>
      </c>
      <c r="L38" s="9" t="s">
        <v>85</v>
      </c>
      <c r="M38" s="9" t="s">
        <v>85</v>
      </c>
      <c r="N38" s="9">
        <v>0.955696</v>
      </c>
      <c r="O38" s="9" t="s">
        <v>85</v>
      </c>
      <c r="P38" s="9" t="s">
        <v>85</v>
      </c>
      <c r="Q38" s="9">
        <v>0.952532</v>
      </c>
      <c r="R38" s="9" t="s">
        <v>85</v>
      </c>
      <c r="S38" s="9" t="s">
        <v>85</v>
      </c>
      <c r="T38" s="9">
        <v>0.96519</v>
      </c>
      <c r="U38" s="9" t="s">
        <v>85</v>
      </c>
      <c r="V38" s="9" t="s">
        <v>85</v>
      </c>
      <c r="W38" s="9">
        <v>0.901899</v>
      </c>
      <c r="X38" s="9" t="s">
        <v>85</v>
      </c>
      <c r="Y38" s="9" t="s">
        <v>85</v>
      </c>
      <c r="Z38" s="9">
        <v>0.917722</v>
      </c>
      <c r="AA38" s="10" t="s">
        <v>85</v>
      </c>
      <c r="AB38" s="10" t="s">
        <v>85</v>
      </c>
      <c r="AC38" s="9">
        <v>0.955696</v>
      </c>
      <c r="AD38" s="9" t="s">
        <v>85</v>
      </c>
      <c r="AE38" s="9" t="s">
        <v>85</v>
      </c>
      <c r="AF38" s="9">
        <v>0.949367</v>
      </c>
      <c r="AG38" s="9" t="s">
        <v>85</v>
      </c>
      <c r="AH38" s="9" t="s">
        <v>85</v>
      </c>
      <c r="AI38" s="9">
        <v>0.924051</v>
      </c>
      <c r="AJ38" s="9" t="s">
        <v>85</v>
      </c>
      <c r="AK38" s="9" t="s">
        <v>85</v>
      </c>
      <c r="AL38" s="9">
        <v>0.924051</v>
      </c>
      <c r="AM38" s="9" t="s">
        <v>85</v>
      </c>
      <c r="AN38" s="9" t="s">
        <v>85</v>
      </c>
      <c r="AO38" s="9">
        <v>0.933544</v>
      </c>
      <c r="AP38" s="9" t="s">
        <v>85</v>
      </c>
      <c r="AQ38" s="9" t="s">
        <v>85</v>
      </c>
      <c r="AR38" s="9">
        <v>0.946203</v>
      </c>
      <c r="AS38" s="9" t="s">
        <v>85</v>
      </c>
      <c r="AT38" s="9" t="s">
        <v>85</v>
      </c>
      <c r="AU38" s="9">
        <v>0.914557</v>
      </c>
      <c r="AV38" s="9" t="s">
        <v>85</v>
      </c>
      <c r="AW38" s="9" t="s">
        <v>85</v>
      </c>
      <c r="AX38" s="9">
        <v>0.93038</v>
      </c>
      <c r="AY38" s="9" t="s">
        <v>85</v>
      </c>
      <c r="AZ38" s="9" t="s">
        <v>85</v>
      </c>
      <c r="BA38" s="9">
        <v>0.927215</v>
      </c>
      <c r="BB38" s="10" t="s">
        <v>85</v>
      </c>
      <c r="BC38" s="10" t="s">
        <v>85</v>
      </c>
      <c r="BD38" s="9">
        <v>0.924051</v>
      </c>
      <c r="BE38" s="9" t="s">
        <v>85</v>
      </c>
      <c r="BF38" s="9" t="s">
        <v>85</v>
      </c>
      <c r="BG38" s="9">
        <v>0.506329</v>
      </c>
      <c r="BH38" s="6"/>
      <c r="BI38" s="6" t="str">
        <f t="shared" si="1"/>
        <v>5B_One_Acc</v>
      </c>
      <c r="BJ38" s="6" t="str">
        <f t="shared" si="2"/>
        <v>8BN_One_Acc</v>
      </c>
      <c r="BK38" s="6" t="str">
        <f t="shared" si="3"/>
        <v>5VB_One_Acc</v>
      </c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</row>
    <row r="39" ht="15.75" customHeight="1">
      <c r="A39" s="1" t="s">
        <v>133</v>
      </c>
      <c r="B39" s="17">
        <v>150.0</v>
      </c>
      <c r="C39" s="9" t="s">
        <v>85</v>
      </c>
      <c r="D39" s="9" t="s">
        <v>85</v>
      </c>
      <c r="E39" s="9">
        <v>0.974684</v>
      </c>
      <c r="F39" s="9" t="s">
        <v>85</v>
      </c>
      <c r="G39" s="9" t="s">
        <v>85</v>
      </c>
      <c r="H39" s="9">
        <v>0.474684</v>
      </c>
      <c r="I39" s="9" t="s">
        <v>85</v>
      </c>
      <c r="J39" s="9" t="s">
        <v>85</v>
      </c>
      <c r="K39" s="9">
        <v>0.962025</v>
      </c>
      <c r="L39" s="9" t="s">
        <v>85</v>
      </c>
      <c r="M39" s="9" t="s">
        <v>85</v>
      </c>
      <c r="N39" s="9">
        <v>0.977848</v>
      </c>
      <c r="O39" s="9" t="s">
        <v>85</v>
      </c>
      <c r="P39" s="9" t="s">
        <v>85</v>
      </c>
      <c r="Q39" s="9">
        <v>0.974684</v>
      </c>
      <c r="R39" s="9" t="s">
        <v>85</v>
      </c>
      <c r="S39" s="9" t="s">
        <v>85</v>
      </c>
      <c r="T39" s="9">
        <v>0.977848</v>
      </c>
      <c r="U39" s="9" t="s">
        <v>85</v>
      </c>
      <c r="V39" s="9" t="s">
        <v>85</v>
      </c>
      <c r="W39" s="9">
        <v>0.968354</v>
      </c>
      <c r="X39" s="9" t="s">
        <v>85</v>
      </c>
      <c r="Y39" s="9" t="s">
        <v>85</v>
      </c>
      <c r="Z39" s="9">
        <v>0.962025</v>
      </c>
      <c r="AA39" s="10" t="s">
        <v>85</v>
      </c>
      <c r="AB39" s="10" t="s">
        <v>85</v>
      </c>
      <c r="AC39" s="9">
        <v>0.981013</v>
      </c>
      <c r="AD39" s="9" t="s">
        <v>85</v>
      </c>
      <c r="AE39" s="9" t="s">
        <v>85</v>
      </c>
      <c r="AF39" s="9">
        <v>0.984177</v>
      </c>
      <c r="AG39" s="9" t="s">
        <v>85</v>
      </c>
      <c r="AH39" s="9" t="s">
        <v>85</v>
      </c>
      <c r="AI39" s="9">
        <v>0.987342</v>
      </c>
      <c r="AJ39" s="9" t="s">
        <v>85</v>
      </c>
      <c r="AK39" s="9" t="s">
        <v>85</v>
      </c>
      <c r="AL39" s="9">
        <v>0.984177</v>
      </c>
      <c r="AM39" s="9" t="s">
        <v>85</v>
      </c>
      <c r="AN39" s="9" t="s">
        <v>85</v>
      </c>
      <c r="AO39" s="9">
        <v>0.974684</v>
      </c>
      <c r="AP39" s="9" t="s">
        <v>85</v>
      </c>
      <c r="AQ39" s="9" t="s">
        <v>85</v>
      </c>
      <c r="AR39" s="9">
        <v>0.971519</v>
      </c>
      <c r="AS39" s="9" t="s">
        <v>85</v>
      </c>
      <c r="AT39" s="9" t="s">
        <v>85</v>
      </c>
      <c r="AU39" s="9">
        <v>0.996835</v>
      </c>
      <c r="AV39" s="9" t="s">
        <v>85</v>
      </c>
      <c r="AW39" s="9" t="s">
        <v>85</v>
      </c>
      <c r="AX39" s="9">
        <v>0.993671</v>
      </c>
      <c r="AY39" s="9" t="s">
        <v>85</v>
      </c>
      <c r="AZ39" s="9" t="s">
        <v>85</v>
      </c>
      <c r="BA39" s="9">
        <v>0.977848</v>
      </c>
      <c r="BB39" s="10" t="s">
        <v>85</v>
      </c>
      <c r="BC39" s="10" t="s">
        <v>85</v>
      </c>
      <c r="BD39" s="9">
        <v>0.974684</v>
      </c>
      <c r="BE39" s="9" t="s">
        <v>85</v>
      </c>
      <c r="BF39" s="9" t="s">
        <v>85</v>
      </c>
      <c r="BG39" s="9">
        <v>0.525316</v>
      </c>
      <c r="BH39" s="6"/>
      <c r="BI39" s="6" t="str">
        <f t="shared" si="1"/>
        <v>12V_One_Acc</v>
      </c>
      <c r="BJ39" s="6" t="str">
        <f t="shared" si="2"/>
        <v>12VB_One_Acc</v>
      </c>
      <c r="BK39" s="6" t="str">
        <f t="shared" si="3"/>
        <v>10V_One_Acc</v>
      </c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</row>
    <row r="40" ht="15.75" customHeight="1">
      <c r="A40" s="1" t="s">
        <v>134</v>
      </c>
      <c r="B40" s="17">
        <v>150.0</v>
      </c>
      <c r="C40" s="9" t="s">
        <v>85</v>
      </c>
      <c r="D40" s="9" t="s">
        <v>85</v>
      </c>
      <c r="E40" s="9">
        <v>0.961905</v>
      </c>
      <c r="F40" s="9" t="s">
        <v>85</v>
      </c>
      <c r="G40" s="9" t="s">
        <v>85</v>
      </c>
      <c r="H40" s="9">
        <v>0.52381</v>
      </c>
      <c r="I40" s="9" t="s">
        <v>85</v>
      </c>
      <c r="J40" s="9" t="s">
        <v>85</v>
      </c>
      <c r="K40" s="9">
        <v>0.942857</v>
      </c>
      <c r="L40" s="9" t="s">
        <v>85</v>
      </c>
      <c r="M40" s="9" t="s">
        <v>85</v>
      </c>
      <c r="N40" s="9">
        <v>0.942857</v>
      </c>
      <c r="O40" s="9" t="s">
        <v>85</v>
      </c>
      <c r="P40" s="9" t="s">
        <v>85</v>
      </c>
      <c r="Q40" s="9">
        <v>0.939683</v>
      </c>
      <c r="R40" s="9" t="s">
        <v>85</v>
      </c>
      <c r="S40" s="9" t="s">
        <v>85</v>
      </c>
      <c r="T40" s="9">
        <v>0.933333</v>
      </c>
      <c r="U40" s="9" t="s">
        <v>85</v>
      </c>
      <c r="V40" s="9" t="s">
        <v>85</v>
      </c>
      <c r="W40" s="9">
        <v>0.95873</v>
      </c>
      <c r="X40" s="9" t="s">
        <v>85</v>
      </c>
      <c r="Y40" s="9" t="s">
        <v>85</v>
      </c>
      <c r="Z40" s="9">
        <v>0.942857</v>
      </c>
      <c r="AA40" s="10" t="s">
        <v>85</v>
      </c>
      <c r="AB40" s="10" t="s">
        <v>85</v>
      </c>
      <c r="AC40" s="9">
        <v>0.952381</v>
      </c>
      <c r="AD40" s="9" t="s">
        <v>85</v>
      </c>
      <c r="AE40" s="9" t="s">
        <v>85</v>
      </c>
      <c r="AF40" s="9">
        <v>0.949206</v>
      </c>
      <c r="AG40" s="9" t="s">
        <v>85</v>
      </c>
      <c r="AH40" s="9" t="s">
        <v>85</v>
      </c>
      <c r="AI40" s="9">
        <v>0.911111</v>
      </c>
      <c r="AJ40" s="9" t="s">
        <v>85</v>
      </c>
      <c r="AK40" s="9" t="s">
        <v>85</v>
      </c>
      <c r="AL40" s="9">
        <v>0.914286</v>
      </c>
      <c r="AM40" s="9" t="s">
        <v>85</v>
      </c>
      <c r="AN40" s="9" t="s">
        <v>85</v>
      </c>
      <c r="AO40" s="9">
        <v>0.946032</v>
      </c>
      <c r="AP40" s="9" t="s">
        <v>85</v>
      </c>
      <c r="AQ40" s="9" t="s">
        <v>85</v>
      </c>
      <c r="AR40" s="9">
        <v>0.955556</v>
      </c>
      <c r="AS40" s="9" t="s">
        <v>85</v>
      </c>
      <c r="AT40" s="9" t="s">
        <v>85</v>
      </c>
      <c r="AU40" s="9">
        <v>0.91746</v>
      </c>
      <c r="AV40" s="9" t="s">
        <v>85</v>
      </c>
      <c r="AW40" s="9" t="s">
        <v>85</v>
      </c>
      <c r="AX40" s="9">
        <v>0.920635</v>
      </c>
      <c r="AY40" s="9" t="s">
        <v>85</v>
      </c>
      <c r="AZ40" s="9" t="s">
        <v>85</v>
      </c>
      <c r="BA40" s="9">
        <v>0.952381</v>
      </c>
      <c r="BB40" s="10" t="s">
        <v>85</v>
      </c>
      <c r="BC40" s="10" t="s">
        <v>85</v>
      </c>
      <c r="BD40" s="9">
        <v>0.911111</v>
      </c>
      <c r="BE40" s="9" t="s">
        <v>85</v>
      </c>
      <c r="BF40" s="9" t="s">
        <v>85</v>
      </c>
      <c r="BG40" s="9">
        <v>0.990476</v>
      </c>
      <c r="BH40" s="6"/>
      <c r="BI40" s="6" t="str">
        <f t="shared" si="1"/>
        <v>De_One_Acc</v>
      </c>
      <c r="BJ40" s="6" t="str">
        <f t="shared" si="2"/>
        <v>5B_One_Acc</v>
      </c>
      <c r="BK40" s="6" t="str">
        <f t="shared" si="3"/>
        <v>8V_One_Acc</v>
      </c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</row>
    <row r="41" ht="15.75" customHeight="1">
      <c r="A41" s="1" t="s">
        <v>135</v>
      </c>
      <c r="B41" s="17">
        <v>431.0</v>
      </c>
      <c r="C41" s="9" t="s">
        <v>85</v>
      </c>
      <c r="D41" s="9" t="s">
        <v>85</v>
      </c>
      <c r="E41" s="9">
        <v>0.504762</v>
      </c>
      <c r="F41" s="9" t="s">
        <v>85</v>
      </c>
      <c r="G41" s="9" t="s">
        <v>85</v>
      </c>
      <c r="H41" s="9">
        <v>0.52381</v>
      </c>
      <c r="I41" s="9" t="s">
        <v>85</v>
      </c>
      <c r="J41" s="9" t="s">
        <v>85</v>
      </c>
      <c r="K41" s="9">
        <v>0.52381</v>
      </c>
      <c r="L41" s="9" t="s">
        <v>85</v>
      </c>
      <c r="M41" s="9" t="s">
        <v>85</v>
      </c>
      <c r="N41" s="9">
        <v>0.495238</v>
      </c>
      <c r="O41" s="9" t="s">
        <v>85</v>
      </c>
      <c r="P41" s="9" t="s">
        <v>85</v>
      </c>
      <c r="Q41" s="9">
        <v>0.552381</v>
      </c>
      <c r="R41" s="9" t="s">
        <v>85</v>
      </c>
      <c r="S41" s="9" t="s">
        <v>85</v>
      </c>
      <c r="T41" s="9">
        <v>0.542857</v>
      </c>
      <c r="U41" s="9" t="s">
        <v>85</v>
      </c>
      <c r="V41" s="9" t="s">
        <v>85</v>
      </c>
      <c r="W41" s="9">
        <v>0.561905</v>
      </c>
      <c r="X41" s="9" t="s">
        <v>85</v>
      </c>
      <c r="Y41" s="9" t="s">
        <v>85</v>
      </c>
      <c r="Z41" s="9">
        <v>0.52381</v>
      </c>
      <c r="AA41" s="10" t="s">
        <v>85</v>
      </c>
      <c r="AB41" s="10" t="s">
        <v>85</v>
      </c>
      <c r="AC41" s="9">
        <v>0.552381</v>
      </c>
      <c r="AD41" s="9" t="s">
        <v>85</v>
      </c>
      <c r="AE41" s="9" t="s">
        <v>85</v>
      </c>
      <c r="AF41" s="9">
        <v>0.571429</v>
      </c>
      <c r="AG41" s="9" t="s">
        <v>85</v>
      </c>
      <c r="AH41" s="9" t="s">
        <v>85</v>
      </c>
      <c r="AI41" s="9">
        <v>0.6</v>
      </c>
      <c r="AJ41" s="9" t="s">
        <v>85</v>
      </c>
      <c r="AK41" s="9" t="s">
        <v>85</v>
      </c>
      <c r="AL41" s="9">
        <v>0.628571</v>
      </c>
      <c r="AM41" s="9" t="s">
        <v>85</v>
      </c>
      <c r="AN41" s="9" t="s">
        <v>85</v>
      </c>
      <c r="AO41" s="9">
        <v>0.590476</v>
      </c>
      <c r="AP41" s="9" t="s">
        <v>85</v>
      </c>
      <c r="AQ41" s="9" t="s">
        <v>85</v>
      </c>
      <c r="AR41" s="9">
        <v>0.542857</v>
      </c>
      <c r="AS41" s="9" t="s">
        <v>85</v>
      </c>
      <c r="AT41" s="9" t="s">
        <v>85</v>
      </c>
      <c r="AU41" s="9">
        <v>0.638095</v>
      </c>
      <c r="AV41" s="9" t="s">
        <v>85</v>
      </c>
      <c r="AW41" s="9" t="s">
        <v>85</v>
      </c>
      <c r="AX41" s="9">
        <v>0.619048</v>
      </c>
      <c r="AY41" s="9" t="s">
        <v>85</v>
      </c>
      <c r="AZ41" s="9" t="s">
        <v>85</v>
      </c>
      <c r="BA41" s="9">
        <v>0.609524</v>
      </c>
      <c r="BB41" s="10" t="s">
        <v>85</v>
      </c>
      <c r="BC41" s="10" t="s">
        <v>85</v>
      </c>
      <c r="BD41" s="9">
        <v>0.6</v>
      </c>
      <c r="BE41" s="9" t="s">
        <v>85</v>
      </c>
      <c r="BF41" s="9" t="s">
        <v>85</v>
      </c>
      <c r="BG41" s="9">
        <v>0.714286</v>
      </c>
      <c r="BH41" s="6"/>
      <c r="BI41" s="6" t="str">
        <f t="shared" si="1"/>
        <v>De_One_Acc</v>
      </c>
      <c r="BJ41" s="6" t="str">
        <f t="shared" si="2"/>
        <v>12V_One_Acc</v>
      </c>
      <c r="BK41" s="6" t="str">
        <f t="shared" si="3"/>
        <v>10VB_One_Acc</v>
      </c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</row>
    <row r="42" ht="15.75" customHeight="1">
      <c r="A42" s="1" t="s">
        <v>136</v>
      </c>
      <c r="B42" s="17">
        <v>1092.0</v>
      </c>
      <c r="C42" s="9" t="s">
        <v>85</v>
      </c>
      <c r="D42" s="9" t="s">
        <v>85</v>
      </c>
      <c r="E42" s="9">
        <v>0.37013</v>
      </c>
      <c r="F42" s="9" t="s">
        <v>85</v>
      </c>
      <c r="G42" s="9" t="s">
        <v>85</v>
      </c>
      <c r="H42" s="9">
        <v>0.191558</v>
      </c>
      <c r="I42" s="9" t="s">
        <v>85</v>
      </c>
      <c r="J42" s="9" t="s">
        <v>85</v>
      </c>
      <c r="K42" s="9">
        <v>0.409091</v>
      </c>
      <c r="L42" s="9" t="s">
        <v>85</v>
      </c>
      <c r="M42" s="9" t="s">
        <v>85</v>
      </c>
      <c r="N42" s="9">
        <v>0.246753</v>
      </c>
      <c r="O42" s="9" t="s">
        <v>85</v>
      </c>
      <c r="P42" s="9" t="s">
        <v>85</v>
      </c>
      <c r="Q42" s="9">
        <v>0.418831</v>
      </c>
      <c r="R42" s="9" t="s">
        <v>85</v>
      </c>
      <c r="S42" s="9" t="s">
        <v>85</v>
      </c>
      <c r="T42" s="9">
        <v>0.405844</v>
      </c>
      <c r="U42" s="9" t="s">
        <v>85</v>
      </c>
      <c r="V42" s="9" t="s">
        <v>85</v>
      </c>
      <c r="W42" s="9">
        <v>0.435065</v>
      </c>
      <c r="X42" s="9" t="s">
        <v>85</v>
      </c>
      <c r="Y42" s="9" t="s">
        <v>85</v>
      </c>
      <c r="Z42" s="9">
        <v>0.425325</v>
      </c>
      <c r="AA42" s="10" t="s">
        <v>85</v>
      </c>
      <c r="AB42" s="10" t="s">
        <v>85</v>
      </c>
      <c r="AC42" s="9">
        <v>0.402597</v>
      </c>
      <c r="AD42" s="9" t="s">
        <v>85</v>
      </c>
      <c r="AE42" s="9" t="s">
        <v>85</v>
      </c>
      <c r="AF42" s="9">
        <v>0.422078</v>
      </c>
      <c r="AG42" s="9" t="s">
        <v>85</v>
      </c>
      <c r="AH42" s="9" t="s">
        <v>85</v>
      </c>
      <c r="AI42" s="9">
        <v>0.461039</v>
      </c>
      <c r="AJ42" s="9" t="s">
        <v>85</v>
      </c>
      <c r="AK42" s="9" t="s">
        <v>85</v>
      </c>
      <c r="AL42" s="9">
        <v>0.399351</v>
      </c>
      <c r="AM42" s="9" t="s">
        <v>85</v>
      </c>
      <c r="AN42" s="9" t="s">
        <v>85</v>
      </c>
      <c r="AO42" s="9">
        <v>0.409091</v>
      </c>
      <c r="AP42" s="9" t="s">
        <v>85</v>
      </c>
      <c r="AQ42" s="9" t="s">
        <v>85</v>
      </c>
      <c r="AR42" s="9">
        <v>0.412338</v>
      </c>
      <c r="AS42" s="9" t="s">
        <v>85</v>
      </c>
      <c r="AT42" s="9" t="s">
        <v>85</v>
      </c>
      <c r="AU42" s="9">
        <v>0.467532</v>
      </c>
      <c r="AV42" s="9" t="s">
        <v>85</v>
      </c>
      <c r="AW42" s="9" t="s">
        <v>85</v>
      </c>
      <c r="AX42" s="9">
        <v>0.337662</v>
      </c>
      <c r="AY42" s="9" t="s">
        <v>85</v>
      </c>
      <c r="AZ42" s="9" t="s">
        <v>85</v>
      </c>
      <c r="BA42" s="9">
        <v>0.431818</v>
      </c>
      <c r="BB42" s="10" t="s">
        <v>85</v>
      </c>
      <c r="BC42" s="10" t="s">
        <v>85</v>
      </c>
      <c r="BD42" s="9">
        <v>0.438312</v>
      </c>
      <c r="BE42" s="9" t="s">
        <v>85</v>
      </c>
      <c r="BF42" s="9" t="s">
        <v>85</v>
      </c>
      <c r="BG42" s="9">
        <v>0.461039</v>
      </c>
      <c r="BH42" s="6"/>
      <c r="BI42" s="6" t="str">
        <f t="shared" si="1"/>
        <v>12V_One_Acc</v>
      </c>
      <c r="BJ42" s="6" t="str">
        <f t="shared" si="2"/>
        <v>10V_One_Acc</v>
      </c>
      <c r="BK42" s="6" t="str">
        <f t="shared" si="3"/>
        <v>10V_One_Acc</v>
      </c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</row>
    <row r="43" ht="15.75" customHeight="1">
      <c r="A43" s="1" t="s">
        <v>137</v>
      </c>
      <c r="B43" s="17">
        <v>512.0</v>
      </c>
      <c r="C43" s="9" t="s">
        <v>85</v>
      </c>
      <c r="D43" s="9" t="s">
        <v>85</v>
      </c>
      <c r="E43" s="9">
        <v>0.5625</v>
      </c>
      <c r="F43" s="9" t="s">
        <v>85</v>
      </c>
      <c r="G43" s="9" t="s">
        <v>85</v>
      </c>
      <c r="H43" s="9">
        <v>0.59375</v>
      </c>
      <c r="I43" s="9" t="s">
        <v>85</v>
      </c>
      <c r="J43" s="9" t="s">
        <v>85</v>
      </c>
      <c r="K43" s="9">
        <v>0.484375</v>
      </c>
      <c r="L43" s="9" t="s">
        <v>85</v>
      </c>
      <c r="M43" s="9" t="s">
        <v>85</v>
      </c>
      <c r="N43" s="9">
        <v>0.578125</v>
      </c>
      <c r="O43" s="9" t="s">
        <v>85</v>
      </c>
      <c r="P43" s="9" t="s">
        <v>85</v>
      </c>
      <c r="Q43" s="9">
        <v>0.484375</v>
      </c>
      <c r="R43" s="9" t="s">
        <v>85</v>
      </c>
      <c r="S43" s="9" t="s">
        <v>85</v>
      </c>
      <c r="T43" s="9">
        <v>0.4375</v>
      </c>
      <c r="U43" s="9" t="s">
        <v>85</v>
      </c>
      <c r="V43" s="9" t="s">
        <v>85</v>
      </c>
      <c r="W43" s="9">
        <v>0.5625</v>
      </c>
      <c r="X43" s="9" t="s">
        <v>85</v>
      </c>
      <c r="Y43" s="9" t="s">
        <v>85</v>
      </c>
      <c r="Z43" s="9">
        <v>0.484375</v>
      </c>
      <c r="AA43" s="10" t="s">
        <v>85</v>
      </c>
      <c r="AB43" s="10" t="s">
        <v>85</v>
      </c>
      <c r="AC43" s="9">
        <v>0.578125</v>
      </c>
      <c r="AD43" s="9" t="s">
        <v>85</v>
      </c>
      <c r="AE43" s="9" t="s">
        <v>85</v>
      </c>
      <c r="AF43" s="9">
        <v>0.5625</v>
      </c>
      <c r="AG43" s="9" t="s">
        <v>85</v>
      </c>
      <c r="AH43" s="9" t="s">
        <v>85</v>
      </c>
      <c r="AI43" s="9">
        <v>0.5625</v>
      </c>
      <c r="AJ43" s="9" t="s">
        <v>85</v>
      </c>
      <c r="AK43" s="9" t="s">
        <v>85</v>
      </c>
      <c r="AL43" s="9">
        <v>0.609375</v>
      </c>
      <c r="AM43" s="9" t="s">
        <v>85</v>
      </c>
      <c r="AN43" s="9" t="s">
        <v>85</v>
      </c>
      <c r="AO43" s="9">
        <v>0.484375</v>
      </c>
      <c r="AP43" s="9" t="s">
        <v>85</v>
      </c>
      <c r="AQ43" s="9" t="s">
        <v>85</v>
      </c>
      <c r="AR43" s="9">
        <v>0.484375</v>
      </c>
      <c r="AS43" s="9" t="s">
        <v>85</v>
      </c>
      <c r="AT43" s="9" t="s">
        <v>85</v>
      </c>
      <c r="AU43" s="9">
        <v>0.59375</v>
      </c>
      <c r="AV43" s="9" t="s">
        <v>85</v>
      </c>
      <c r="AW43" s="9" t="s">
        <v>85</v>
      </c>
      <c r="AX43" s="9">
        <v>0.625</v>
      </c>
      <c r="AY43" s="9" t="s">
        <v>85</v>
      </c>
      <c r="AZ43" s="9" t="s">
        <v>85</v>
      </c>
      <c r="BA43" s="9">
        <v>0.484375</v>
      </c>
      <c r="BB43" s="10" t="s">
        <v>85</v>
      </c>
      <c r="BC43" s="10" t="s">
        <v>85</v>
      </c>
      <c r="BD43" s="9">
        <v>0.59375</v>
      </c>
      <c r="BE43" s="9" t="s">
        <v>85</v>
      </c>
      <c r="BF43" s="9" t="s">
        <v>85</v>
      </c>
      <c r="BG43" s="9">
        <v>0.59375</v>
      </c>
      <c r="BH43" s="6"/>
      <c r="BI43" s="6" t="str">
        <f t="shared" si="1"/>
        <v>12VB_One_Acc</v>
      </c>
      <c r="BJ43" s="6" t="str">
        <f t="shared" si="2"/>
        <v>10VB_One_Acc</v>
      </c>
      <c r="BK43" s="6" t="str">
        <f t="shared" si="3"/>
        <v>5BN_One_Acc</v>
      </c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</row>
    <row r="44" ht="15.75" customHeight="1">
      <c r="A44" s="1" t="s">
        <v>138</v>
      </c>
      <c r="B44" s="17">
        <v>3000.0</v>
      </c>
      <c r="C44" s="9" t="s">
        <v>85</v>
      </c>
      <c r="D44" s="9" t="s">
        <v>85</v>
      </c>
      <c r="E44" s="9">
        <v>0.798319</v>
      </c>
      <c r="F44" s="9" t="s">
        <v>85</v>
      </c>
      <c r="G44" s="9" t="s">
        <v>85</v>
      </c>
      <c r="H44" s="9">
        <v>0.428571</v>
      </c>
      <c r="I44" s="9" t="s">
        <v>85</v>
      </c>
      <c r="J44" s="9" t="s">
        <v>85</v>
      </c>
      <c r="K44" s="9">
        <v>0.731092</v>
      </c>
      <c r="L44" s="9" t="s">
        <v>85</v>
      </c>
      <c r="M44" s="9" t="s">
        <v>85</v>
      </c>
      <c r="N44" s="9">
        <v>0.773109</v>
      </c>
      <c r="O44" s="9" t="s">
        <v>85</v>
      </c>
      <c r="P44" s="9" t="s">
        <v>85</v>
      </c>
      <c r="Q44" s="9">
        <v>0.84874</v>
      </c>
      <c r="R44" s="9" t="s">
        <v>85</v>
      </c>
      <c r="S44" s="9" t="s">
        <v>85</v>
      </c>
      <c r="T44" s="9">
        <v>0.831933</v>
      </c>
      <c r="U44" s="9" t="s">
        <v>85</v>
      </c>
      <c r="V44" s="9" t="s">
        <v>85</v>
      </c>
      <c r="W44" s="9">
        <v>0.747899</v>
      </c>
      <c r="X44" s="9" t="s">
        <v>85</v>
      </c>
      <c r="Y44" s="9" t="s">
        <v>85</v>
      </c>
      <c r="Z44" s="9">
        <v>0.756303</v>
      </c>
      <c r="AA44" s="10" t="s">
        <v>85</v>
      </c>
      <c r="AB44" s="10" t="s">
        <v>85</v>
      </c>
      <c r="AC44" s="9">
        <v>0.84874</v>
      </c>
      <c r="AD44" s="9" t="s">
        <v>85</v>
      </c>
      <c r="AE44" s="9" t="s">
        <v>85</v>
      </c>
      <c r="AF44" s="9">
        <v>0.865546</v>
      </c>
      <c r="AG44" s="9" t="s">
        <v>85</v>
      </c>
      <c r="AH44" s="9" t="s">
        <v>85</v>
      </c>
      <c r="AI44" s="9">
        <v>0.697479</v>
      </c>
      <c r="AJ44" s="9" t="s">
        <v>85</v>
      </c>
      <c r="AK44" s="9" t="s">
        <v>85</v>
      </c>
      <c r="AL44" s="9">
        <v>0.731092</v>
      </c>
      <c r="AM44" s="9" t="s">
        <v>85</v>
      </c>
      <c r="AN44" s="9" t="s">
        <v>85</v>
      </c>
      <c r="AO44" s="9">
        <v>0.89916</v>
      </c>
      <c r="AP44" s="9" t="s">
        <v>85</v>
      </c>
      <c r="AQ44" s="9" t="s">
        <v>85</v>
      </c>
      <c r="AR44" s="9">
        <v>0.890756</v>
      </c>
      <c r="AS44" s="9" t="s">
        <v>85</v>
      </c>
      <c r="AT44" s="9" t="s">
        <v>85</v>
      </c>
      <c r="AU44" s="9">
        <v>0.705882</v>
      </c>
      <c r="AV44" s="9" t="s">
        <v>85</v>
      </c>
      <c r="AW44" s="9" t="s">
        <v>85</v>
      </c>
      <c r="AX44" s="9">
        <v>0.781513</v>
      </c>
      <c r="AY44" s="9" t="s">
        <v>85</v>
      </c>
      <c r="AZ44" s="9" t="s">
        <v>85</v>
      </c>
      <c r="BA44" s="9">
        <v>0.882353</v>
      </c>
      <c r="BB44" s="10" t="s">
        <v>85</v>
      </c>
      <c r="BC44" s="10" t="s">
        <v>85</v>
      </c>
      <c r="BD44" s="9">
        <v>0.781513</v>
      </c>
      <c r="BE44" s="9" t="s">
        <v>85</v>
      </c>
      <c r="BF44" s="9" t="s">
        <v>85</v>
      </c>
      <c r="BG44" s="9">
        <v>0.579832</v>
      </c>
      <c r="BH44" s="6"/>
      <c r="BI44" s="6" t="str">
        <f t="shared" si="1"/>
        <v>12B_One_Acc</v>
      </c>
      <c r="BJ44" s="6" t="str">
        <f t="shared" si="2"/>
        <v>12BN_One_Acc</v>
      </c>
      <c r="BK44" s="6" t="str">
        <f t="shared" si="3"/>
        <v>20B_One_Acc</v>
      </c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</row>
    <row r="45" ht="15.75" customHeight="1">
      <c r="A45" s="1" t="s">
        <v>139</v>
      </c>
      <c r="B45" s="17">
        <v>1882.0</v>
      </c>
      <c r="C45" s="9" t="s">
        <v>85</v>
      </c>
      <c r="D45" s="9" t="s">
        <v>85</v>
      </c>
      <c r="E45" s="9">
        <v>0.325455</v>
      </c>
      <c r="F45" s="9" t="s">
        <v>85</v>
      </c>
      <c r="G45" s="9" t="s">
        <v>85</v>
      </c>
      <c r="H45" s="9">
        <v>0.183636</v>
      </c>
      <c r="I45" s="9" t="s">
        <v>85</v>
      </c>
      <c r="J45" s="9" t="s">
        <v>85</v>
      </c>
      <c r="K45" s="9">
        <v>0.261818</v>
      </c>
      <c r="L45" s="9" t="s">
        <v>85</v>
      </c>
      <c r="M45" s="9" t="s">
        <v>85</v>
      </c>
      <c r="N45" s="9">
        <v>0.321818</v>
      </c>
      <c r="O45" s="9" t="s">
        <v>85</v>
      </c>
      <c r="P45" s="9" t="s">
        <v>85</v>
      </c>
      <c r="Q45" s="9">
        <v>0.321818</v>
      </c>
      <c r="R45" s="9" t="s">
        <v>85</v>
      </c>
      <c r="S45" s="9" t="s">
        <v>85</v>
      </c>
      <c r="T45" s="9">
        <v>0.318182</v>
      </c>
      <c r="U45" s="9" t="s">
        <v>85</v>
      </c>
      <c r="V45" s="9" t="s">
        <v>85</v>
      </c>
      <c r="W45" s="9">
        <v>0.24</v>
      </c>
      <c r="X45" s="9" t="s">
        <v>85</v>
      </c>
      <c r="Y45" s="9" t="s">
        <v>85</v>
      </c>
      <c r="Z45" s="9">
        <v>0.3</v>
      </c>
      <c r="AA45" s="10" t="s">
        <v>85</v>
      </c>
      <c r="AB45" s="10" t="s">
        <v>85</v>
      </c>
      <c r="AC45" s="9">
        <v>0.272727</v>
      </c>
      <c r="AD45" s="9" t="s">
        <v>85</v>
      </c>
      <c r="AE45" s="9" t="s">
        <v>85</v>
      </c>
      <c r="AF45" s="9">
        <v>0.272727</v>
      </c>
      <c r="AG45" s="9" t="s">
        <v>85</v>
      </c>
      <c r="AH45" s="9" t="s">
        <v>85</v>
      </c>
      <c r="AI45" s="9">
        <v>0.258182</v>
      </c>
      <c r="AJ45" s="9" t="s">
        <v>85</v>
      </c>
      <c r="AK45" s="9" t="s">
        <v>85</v>
      </c>
      <c r="AL45" s="9">
        <v>0.232727</v>
      </c>
      <c r="AM45" s="9" t="s">
        <v>85</v>
      </c>
      <c r="AN45" s="9" t="s">
        <v>85</v>
      </c>
      <c r="AO45" s="9">
        <v>0.327273</v>
      </c>
      <c r="AP45" s="9" t="s">
        <v>85</v>
      </c>
      <c r="AQ45" s="9" t="s">
        <v>85</v>
      </c>
      <c r="AR45" s="9">
        <v>0.3</v>
      </c>
      <c r="AS45" s="9" t="s">
        <v>85</v>
      </c>
      <c r="AT45" s="9" t="s">
        <v>85</v>
      </c>
      <c r="AU45" s="9">
        <v>0.249091</v>
      </c>
      <c r="AV45" s="9" t="s">
        <v>85</v>
      </c>
      <c r="AW45" s="9" t="s">
        <v>85</v>
      </c>
      <c r="AX45" s="9">
        <v>0.263636</v>
      </c>
      <c r="AY45" s="9" t="s">
        <v>85</v>
      </c>
      <c r="AZ45" s="9" t="s">
        <v>85</v>
      </c>
      <c r="BA45" s="9">
        <v>0.314545</v>
      </c>
      <c r="BB45" s="10" t="s">
        <v>85</v>
      </c>
      <c r="BC45" s="10" t="s">
        <v>85</v>
      </c>
      <c r="BD45" s="9">
        <v>0.296364</v>
      </c>
      <c r="BE45" s="9" t="s">
        <v>85</v>
      </c>
      <c r="BF45" s="9" t="s">
        <v>85</v>
      </c>
      <c r="BG45" s="9">
        <v>0.187273</v>
      </c>
      <c r="BH45" s="6"/>
      <c r="BI45" s="6" t="str">
        <f t="shared" si="1"/>
        <v>12B_One_Acc</v>
      </c>
      <c r="BJ45" s="6" t="str">
        <f t="shared" si="2"/>
        <v>5B_One_Acc</v>
      </c>
      <c r="BK45" s="6" t="str">
        <f t="shared" si="3"/>
        <v>5VB_One_Acc</v>
      </c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</row>
    <row r="46" ht="15.75" customHeight="1">
      <c r="A46" s="1" t="s">
        <v>140</v>
      </c>
      <c r="B46" s="17">
        <v>601.0</v>
      </c>
      <c r="C46" s="9" t="s">
        <v>85</v>
      </c>
      <c r="D46" s="9" t="s">
        <v>85</v>
      </c>
      <c r="E46" s="9">
        <v>0.823293</v>
      </c>
      <c r="F46" s="9" t="s">
        <v>85</v>
      </c>
      <c r="G46" s="9" t="s">
        <v>85</v>
      </c>
      <c r="H46" s="9">
        <v>0.473896</v>
      </c>
      <c r="I46" s="9" t="s">
        <v>85</v>
      </c>
      <c r="J46" s="9" t="s">
        <v>85</v>
      </c>
      <c r="K46" s="9">
        <v>0.807229</v>
      </c>
      <c r="L46" s="9" t="s">
        <v>85</v>
      </c>
      <c r="M46" s="9" t="s">
        <v>85</v>
      </c>
      <c r="N46" s="9">
        <v>0.791165</v>
      </c>
      <c r="O46" s="9" t="s">
        <v>85</v>
      </c>
      <c r="P46" s="9" t="s">
        <v>85</v>
      </c>
      <c r="Q46" s="9">
        <v>0.815261</v>
      </c>
      <c r="R46" s="9" t="s">
        <v>85</v>
      </c>
      <c r="S46" s="9" t="s">
        <v>85</v>
      </c>
      <c r="T46" s="9">
        <v>0.839357</v>
      </c>
      <c r="U46" s="9" t="s">
        <v>85</v>
      </c>
      <c r="V46" s="9" t="s">
        <v>85</v>
      </c>
      <c r="W46" s="9">
        <v>0.823293</v>
      </c>
      <c r="X46" s="9" t="s">
        <v>85</v>
      </c>
      <c r="Y46" s="9" t="s">
        <v>85</v>
      </c>
      <c r="Z46" s="9">
        <v>0.823293</v>
      </c>
      <c r="AA46" s="10" t="s">
        <v>85</v>
      </c>
      <c r="AB46" s="10" t="s">
        <v>85</v>
      </c>
      <c r="AC46" s="9">
        <v>0.819277</v>
      </c>
      <c r="AD46" s="9" t="s">
        <v>85</v>
      </c>
      <c r="AE46" s="9" t="s">
        <v>85</v>
      </c>
      <c r="AF46" s="9">
        <v>0.807229</v>
      </c>
      <c r="AG46" s="9" t="s">
        <v>85</v>
      </c>
      <c r="AH46" s="9" t="s">
        <v>85</v>
      </c>
      <c r="AI46" s="9">
        <v>0.807229</v>
      </c>
      <c r="AJ46" s="9" t="s">
        <v>85</v>
      </c>
      <c r="AK46" s="9" t="s">
        <v>85</v>
      </c>
      <c r="AL46" s="9">
        <v>0.819277</v>
      </c>
      <c r="AM46" s="9" t="s">
        <v>85</v>
      </c>
      <c r="AN46" s="9" t="s">
        <v>85</v>
      </c>
      <c r="AO46" s="9">
        <v>0.827309</v>
      </c>
      <c r="AP46" s="9" t="s">
        <v>85</v>
      </c>
      <c r="AQ46" s="9" t="s">
        <v>85</v>
      </c>
      <c r="AR46" s="9">
        <v>0.827309</v>
      </c>
      <c r="AS46" s="9" t="s">
        <v>85</v>
      </c>
      <c r="AT46" s="9" t="s">
        <v>85</v>
      </c>
      <c r="AU46" s="9">
        <v>0.815261</v>
      </c>
      <c r="AV46" s="9" t="s">
        <v>85</v>
      </c>
      <c r="AW46" s="9" t="s">
        <v>85</v>
      </c>
      <c r="AX46" s="9">
        <v>0.811245</v>
      </c>
      <c r="AY46" s="9" t="s">
        <v>85</v>
      </c>
      <c r="AZ46" s="9" t="s">
        <v>85</v>
      </c>
      <c r="BA46" s="9">
        <v>0.819277</v>
      </c>
      <c r="BB46" s="10" t="s">
        <v>85</v>
      </c>
      <c r="BC46" s="10" t="s">
        <v>85</v>
      </c>
      <c r="BD46" s="9">
        <v>0.843373</v>
      </c>
      <c r="BE46" s="9" t="s">
        <v>85</v>
      </c>
      <c r="BF46" s="9" t="s">
        <v>85</v>
      </c>
      <c r="BG46" s="9">
        <v>1.0</v>
      </c>
      <c r="BH46" s="6"/>
      <c r="BI46" s="6" t="str">
        <f t="shared" si="1"/>
        <v>De_One_Acc</v>
      </c>
      <c r="BJ46" s="6" t="str">
        <f t="shared" si="2"/>
        <v>20V_One_Acc</v>
      </c>
      <c r="BK46" s="6" t="str">
        <f t="shared" si="3"/>
        <v>8BN_One_Acc</v>
      </c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</row>
    <row r="47" ht="15.75" customHeight="1">
      <c r="A47" s="1" t="s">
        <v>141</v>
      </c>
      <c r="B47" s="17">
        <v>601.0</v>
      </c>
      <c r="C47" s="9" t="s">
        <v>85</v>
      </c>
      <c r="D47" s="9" t="s">
        <v>85</v>
      </c>
      <c r="E47" s="9">
        <v>0.807229</v>
      </c>
      <c r="F47" s="9" t="s">
        <v>85</v>
      </c>
      <c r="G47" s="9" t="s">
        <v>85</v>
      </c>
      <c r="H47" s="9">
        <v>0.35743</v>
      </c>
      <c r="I47" s="9" t="s">
        <v>85</v>
      </c>
      <c r="J47" s="9" t="s">
        <v>85</v>
      </c>
      <c r="K47" s="9">
        <v>0.767068</v>
      </c>
      <c r="L47" s="9" t="s">
        <v>85</v>
      </c>
      <c r="M47" s="9" t="s">
        <v>85</v>
      </c>
      <c r="N47" s="9">
        <v>0.779116</v>
      </c>
      <c r="O47" s="9" t="s">
        <v>85</v>
      </c>
      <c r="P47" s="9" t="s">
        <v>85</v>
      </c>
      <c r="Q47" s="9">
        <v>0.803213</v>
      </c>
      <c r="R47" s="9" t="s">
        <v>85</v>
      </c>
      <c r="S47" s="9" t="s">
        <v>85</v>
      </c>
      <c r="T47" s="9">
        <v>0.795181</v>
      </c>
      <c r="U47" s="9" t="s">
        <v>85</v>
      </c>
      <c r="V47" s="9" t="s">
        <v>85</v>
      </c>
      <c r="W47" s="9">
        <v>0.787149</v>
      </c>
      <c r="X47" s="9" t="s">
        <v>85</v>
      </c>
      <c r="Y47" s="9" t="s">
        <v>85</v>
      </c>
      <c r="Z47" s="9">
        <v>0.783133</v>
      </c>
      <c r="AA47" s="10" t="s">
        <v>85</v>
      </c>
      <c r="AB47" s="10" t="s">
        <v>85</v>
      </c>
      <c r="AC47" s="9">
        <v>0.795181</v>
      </c>
      <c r="AD47" s="9" t="s">
        <v>85</v>
      </c>
      <c r="AE47" s="9" t="s">
        <v>85</v>
      </c>
      <c r="AF47" s="9">
        <v>0.799197</v>
      </c>
      <c r="AG47" s="9" t="s">
        <v>85</v>
      </c>
      <c r="AH47" s="9" t="s">
        <v>85</v>
      </c>
      <c r="AI47" s="9">
        <v>0.783133</v>
      </c>
      <c r="AJ47" s="9" t="s">
        <v>85</v>
      </c>
      <c r="AK47" s="9" t="s">
        <v>85</v>
      </c>
      <c r="AL47" s="9">
        <v>0.783133</v>
      </c>
      <c r="AM47" s="9" t="s">
        <v>85</v>
      </c>
      <c r="AN47" s="9" t="s">
        <v>85</v>
      </c>
      <c r="AO47" s="9">
        <v>0.803213</v>
      </c>
      <c r="AP47" s="9" t="s">
        <v>85</v>
      </c>
      <c r="AQ47" s="9" t="s">
        <v>85</v>
      </c>
      <c r="AR47" s="9">
        <v>0.795181</v>
      </c>
      <c r="AS47" s="9" t="s">
        <v>85</v>
      </c>
      <c r="AT47" s="9" t="s">
        <v>85</v>
      </c>
      <c r="AU47" s="9">
        <v>0.759036</v>
      </c>
      <c r="AV47" s="9" t="s">
        <v>85</v>
      </c>
      <c r="AW47" s="9" t="s">
        <v>85</v>
      </c>
      <c r="AX47" s="9">
        <v>0.7751</v>
      </c>
      <c r="AY47" s="9" t="s">
        <v>85</v>
      </c>
      <c r="AZ47" s="9" t="s">
        <v>85</v>
      </c>
      <c r="BA47" s="9">
        <v>0.795181</v>
      </c>
      <c r="BB47" s="10" t="s">
        <v>85</v>
      </c>
      <c r="BC47" s="10" t="s">
        <v>85</v>
      </c>
      <c r="BD47" s="9">
        <v>0.783133</v>
      </c>
      <c r="BE47" s="9" t="s">
        <v>85</v>
      </c>
      <c r="BF47" s="9" t="s">
        <v>85</v>
      </c>
      <c r="BG47" s="9">
        <v>1.0</v>
      </c>
      <c r="BH47" s="6"/>
      <c r="BI47" s="6" t="str">
        <f t="shared" si="1"/>
        <v>De_One_Acc</v>
      </c>
      <c r="BJ47" s="6" t="str">
        <f t="shared" si="2"/>
        <v>5B_One_Acc</v>
      </c>
      <c r="BK47" s="6" t="str">
        <f t="shared" si="3"/>
        <v>8B_One_Acc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</row>
    <row r="48" ht="15.75" customHeight="1">
      <c r="A48" s="1" t="s">
        <v>142</v>
      </c>
      <c r="B48" s="17">
        <v>24.0</v>
      </c>
      <c r="C48" s="9" t="s">
        <v>85</v>
      </c>
      <c r="D48" s="9" t="s">
        <v>85</v>
      </c>
      <c r="E48" s="9">
        <v>0.924198</v>
      </c>
      <c r="F48" s="9" t="s">
        <v>85</v>
      </c>
      <c r="G48" s="9" t="s">
        <v>85</v>
      </c>
      <c r="H48" s="9">
        <v>0.498542</v>
      </c>
      <c r="I48" s="9" t="s">
        <v>85</v>
      </c>
      <c r="J48" s="9" t="s">
        <v>85</v>
      </c>
      <c r="K48" s="9">
        <v>0.849368</v>
      </c>
      <c r="L48" s="9" t="s">
        <v>85</v>
      </c>
      <c r="M48" s="9" t="s">
        <v>85</v>
      </c>
      <c r="N48" s="9">
        <v>0.852284</v>
      </c>
      <c r="O48" s="9" t="s">
        <v>85</v>
      </c>
      <c r="P48" s="9" t="s">
        <v>85</v>
      </c>
      <c r="Q48" s="9">
        <v>0.923226</v>
      </c>
      <c r="R48" s="9" t="s">
        <v>85</v>
      </c>
      <c r="S48" s="9" t="s">
        <v>85</v>
      </c>
      <c r="T48" s="9">
        <v>0.924198</v>
      </c>
      <c r="U48" s="9" t="s">
        <v>85</v>
      </c>
      <c r="V48" s="9" t="s">
        <v>85</v>
      </c>
      <c r="W48" s="9">
        <v>0.940719</v>
      </c>
      <c r="X48" s="9" t="s">
        <v>85</v>
      </c>
      <c r="Y48" s="9" t="s">
        <v>85</v>
      </c>
      <c r="Z48" s="9">
        <v>0.949466</v>
      </c>
      <c r="AA48" s="10" t="s">
        <v>85</v>
      </c>
      <c r="AB48" s="10" t="s">
        <v>85</v>
      </c>
      <c r="AC48" s="9">
        <v>0.924198</v>
      </c>
      <c r="AD48" s="9" t="s">
        <v>85</v>
      </c>
      <c r="AE48" s="9" t="s">
        <v>85</v>
      </c>
      <c r="AF48" s="9">
        <v>0.926142</v>
      </c>
      <c r="AG48" s="9" t="s">
        <v>85</v>
      </c>
      <c r="AH48" s="9" t="s">
        <v>85</v>
      </c>
      <c r="AI48" s="9">
        <v>0.891156</v>
      </c>
      <c r="AJ48" s="9" t="s">
        <v>85</v>
      </c>
      <c r="AK48" s="9" t="s">
        <v>85</v>
      </c>
      <c r="AL48" s="9">
        <v>0.909621</v>
      </c>
      <c r="AM48" s="9" t="s">
        <v>85</v>
      </c>
      <c r="AN48" s="9" t="s">
        <v>85</v>
      </c>
      <c r="AO48" s="9">
        <v>0.931973</v>
      </c>
      <c r="AP48" s="9" t="s">
        <v>85</v>
      </c>
      <c r="AQ48" s="9" t="s">
        <v>85</v>
      </c>
      <c r="AR48" s="9">
        <v>0.927114</v>
      </c>
      <c r="AS48" s="9" t="s">
        <v>85</v>
      </c>
      <c r="AT48" s="9" t="s">
        <v>85</v>
      </c>
      <c r="AU48" s="9">
        <v>0.8931</v>
      </c>
      <c r="AV48" s="9" t="s">
        <v>85</v>
      </c>
      <c r="AW48" s="9" t="s">
        <v>85</v>
      </c>
      <c r="AX48" s="9">
        <v>0.90379</v>
      </c>
      <c r="AY48" s="9" t="s">
        <v>85</v>
      </c>
      <c r="AZ48" s="9" t="s">
        <v>85</v>
      </c>
      <c r="BA48" s="9">
        <v>0.889213</v>
      </c>
      <c r="BB48" s="10" t="s">
        <v>85</v>
      </c>
      <c r="BC48" s="10" t="s">
        <v>85</v>
      </c>
      <c r="BD48" s="9">
        <v>0.918367</v>
      </c>
      <c r="BE48" s="9" t="s">
        <v>85</v>
      </c>
      <c r="BF48" s="9" t="s">
        <v>85</v>
      </c>
      <c r="BG48" s="9">
        <v>0.969874</v>
      </c>
      <c r="BH48" s="6"/>
      <c r="BI48" s="6" t="str">
        <f t="shared" si="1"/>
        <v>De_One_Acc</v>
      </c>
      <c r="BJ48" s="6" t="str">
        <f t="shared" si="2"/>
        <v>8VB_One_Acc</v>
      </c>
      <c r="BK48" s="6" t="str">
        <f t="shared" si="3"/>
        <v>8V_One_Acc</v>
      </c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</row>
    <row r="49" ht="15.75" customHeight="1">
      <c r="A49" s="1" t="s">
        <v>143</v>
      </c>
      <c r="B49" s="17">
        <v>720.0</v>
      </c>
      <c r="C49" s="9" t="s">
        <v>85</v>
      </c>
      <c r="D49" s="9" t="s">
        <v>85</v>
      </c>
      <c r="E49" s="9">
        <v>0.709333</v>
      </c>
      <c r="F49" s="9" t="s">
        <v>85</v>
      </c>
      <c r="G49" s="9" t="s">
        <v>85</v>
      </c>
      <c r="H49" s="9">
        <v>0.333333</v>
      </c>
      <c r="I49" s="9" t="s">
        <v>85</v>
      </c>
      <c r="J49" s="9" t="s">
        <v>85</v>
      </c>
      <c r="K49" s="9">
        <v>0.592</v>
      </c>
      <c r="L49" s="9" t="s">
        <v>85</v>
      </c>
      <c r="M49" s="9" t="s">
        <v>85</v>
      </c>
      <c r="N49" s="9">
        <v>0.6</v>
      </c>
      <c r="O49" s="9" t="s">
        <v>85</v>
      </c>
      <c r="P49" s="9" t="s">
        <v>85</v>
      </c>
      <c r="Q49" s="9">
        <v>0.674667</v>
      </c>
      <c r="R49" s="9" t="s">
        <v>85</v>
      </c>
      <c r="S49" s="9" t="s">
        <v>85</v>
      </c>
      <c r="T49" s="9">
        <v>0.677333</v>
      </c>
      <c r="U49" s="9" t="s">
        <v>85</v>
      </c>
      <c r="V49" s="9" t="s">
        <v>85</v>
      </c>
      <c r="W49" s="9">
        <v>0.592</v>
      </c>
      <c r="X49" s="9" t="s">
        <v>85</v>
      </c>
      <c r="Y49" s="9" t="s">
        <v>85</v>
      </c>
      <c r="Z49" s="9">
        <v>0.613333</v>
      </c>
      <c r="AA49" s="10" t="s">
        <v>85</v>
      </c>
      <c r="AB49" s="10" t="s">
        <v>85</v>
      </c>
      <c r="AC49" s="9">
        <v>0.650667</v>
      </c>
      <c r="AD49" s="9" t="s">
        <v>85</v>
      </c>
      <c r="AE49" s="9" t="s">
        <v>85</v>
      </c>
      <c r="AF49" s="9">
        <v>0.666667</v>
      </c>
      <c r="AG49" s="9" t="s">
        <v>85</v>
      </c>
      <c r="AH49" s="9" t="s">
        <v>85</v>
      </c>
      <c r="AI49" s="9">
        <v>0.616</v>
      </c>
      <c r="AJ49" s="9" t="s">
        <v>85</v>
      </c>
      <c r="AK49" s="9" t="s">
        <v>85</v>
      </c>
      <c r="AL49" s="9">
        <v>0.616</v>
      </c>
      <c r="AM49" s="9" t="s">
        <v>85</v>
      </c>
      <c r="AN49" s="9" t="s">
        <v>85</v>
      </c>
      <c r="AO49" s="9">
        <v>0.685333</v>
      </c>
      <c r="AP49" s="9" t="s">
        <v>85</v>
      </c>
      <c r="AQ49" s="9" t="s">
        <v>85</v>
      </c>
      <c r="AR49" s="9">
        <v>0.685333</v>
      </c>
      <c r="AS49" s="9" t="s">
        <v>85</v>
      </c>
      <c r="AT49" s="9" t="s">
        <v>85</v>
      </c>
      <c r="AU49" s="9">
        <v>0.6</v>
      </c>
      <c r="AV49" s="9" t="s">
        <v>85</v>
      </c>
      <c r="AW49" s="9" t="s">
        <v>85</v>
      </c>
      <c r="AX49" s="9">
        <v>0.637333</v>
      </c>
      <c r="AY49" s="9" t="s">
        <v>85</v>
      </c>
      <c r="AZ49" s="9" t="s">
        <v>85</v>
      </c>
      <c r="BA49" s="9">
        <v>0.634667</v>
      </c>
      <c r="BB49" s="10" t="s">
        <v>85</v>
      </c>
      <c r="BC49" s="10" t="s">
        <v>85</v>
      </c>
      <c r="BD49" s="9">
        <v>0.642667</v>
      </c>
      <c r="BE49" s="9" t="s">
        <v>85</v>
      </c>
      <c r="BF49" s="9" t="s">
        <v>85</v>
      </c>
      <c r="BG49" s="9">
        <v>0.522667</v>
      </c>
      <c r="BH49" s="6"/>
      <c r="BI49" s="6" t="str">
        <f t="shared" si="1"/>
        <v>5B_One_Acc</v>
      </c>
      <c r="BJ49" s="6" t="str">
        <f t="shared" si="2"/>
        <v>12B_One_Acc</v>
      </c>
      <c r="BK49" s="6" t="str">
        <f t="shared" si="3"/>
        <v>12B_One_Acc</v>
      </c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</row>
    <row r="50" ht="15.75" customHeight="1">
      <c r="A50" s="1" t="s">
        <v>144</v>
      </c>
      <c r="B50" s="17">
        <v>637.0</v>
      </c>
      <c r="C50" s="9" t="s">
        <v>85</v>
      </c>
      <c r="D50" s="9" t="s">
        <v>85</v>
      </c>
      <c r="E50" s="9">
        <v>0.540984</v>
      </c>
      <c r="F50" s="9" t="s">
        <v>85</v>
      </c>
      <c r="G50" s="9" t="s">
        <v>85</v>
      </c>
      <c r="H50" s="9">
        <v>0.540984</v>
      </c>
      <c r="I50" s="9" t="s">
        <v>85</v>
      </c>
      <c r="J50" s="9" t="s">
        <v>85</v>
      </c>
      <c r="K50" s="9">
        <v>0.540984</v>
      </c>
      <c r="L50" s="9" t="s">
        <v>85</v>
      </c>
      <c r="M50" s="9" t="s">
        <v>85</v>
      </c>
      <c r="N50" s="9">
        <v>0.540984</v>
      </c>
      <c r="O50" s="9" t="s">
        <v>85</v>
      </c>
      <c r="P50" s="9" t="s">
        <v>85</v>
      </c>
      <c r="Q50" s="9">
        <v>0.540984</v>
      </c>
      <c r="R50" s="9" t="s">
        <v>85</v>
      </c>
      <c r="S50" s="9" t="s">
        <v>85</v>
      </c>
      <c r="T50" s="9">
        <v>0.540984</v>
      </c>
      <c r="U50" s="9" t="s">
        <v>85</v>
      </c>
      <c r="V50" s="9" t="s">
        <v>85</v>
      </c>
      <c r="W50" s="9">
        <v>0.540984</v>
      </c>
      <c r="X50" s="9" t="s">
        <v>85</v>
      </c>
      <c r="Y50" s="9" t="s">
        <v>85</v>
      </c>
      <c r="Z50" s="9">
        <v>0.540984</v>
      </c>
      <c r="AA50" s="10" t="s">
        <v>85</v>
      </c>
      <c r="AB50" s="10" t="s">
        <v>85</v>
      </c>
      <c r="AC50" s="9">
        <v>0.540984</v>
      </c>
      <c r="AD50" s="9" t="s">
        <v>85</v>
      </c>
      <c r="AE50" s="9" t="s">
        <v>85</v>
      </c>
      <c r="AF50" s="9">
        <v>0.540984</v>
      </c>
      <c r="AG50" s="9" t="s">
        <v>85</v>
      </c>
      <c r="AH50" s="9" t="s">
        <v>85</v>
      </c>
      <c r="AI50" s="9">
        <v>0.540984</v>
      </c>
      <c r="AJ50" s="9" t="s">
        <v>85</v>
      </c>
      <c r="AK50" s="9" t="s">
        <v>85</v>
      </c>
      <c r="AL50" s="9">
        <v>0.540984</v>
      </c>
      <c r="AM50" s="9" t="s">
        <v>85</v>
      </c>
      <c r="AN50" s="9" t="s">
        <v>85</v>
      </c>
      <c r="AO50" s="9">
        <v>0.540984</v>
      </c>
      <c r="AP50" s="9" t="s">
        <v>85</v>
      </c>
      <c r="AQ50" s="9" t="s">
        <v>85</v>
      </c>
      <c r="AR50" s="9">
        <v>0.540984</v>
      </c>
      <c r="AS50" s="9" t="s">
        <v>85</v>
      </c>
      <c r="AT50" s="9" t="s">
        <v>85</v>
      </c>
      <c r="AU50" s="9">
        <v>0.540984</v>
      </c>
      <c r="AV50" s="9" t="s">
        <v>85</v>
      </c>
      <c r="AW50" s="9" t="s">
        <v>85</v>
      </c>
      <c r="AX50" s="9">
        <v>0.540984</v>
      </c>
      <c r="AY50" s="9" t="s">
        <v>85</v>
      </c>
      <c r="AZ50" s="9" t="s">
        <v>85</v>
      </c>
      <c r="BA50" s="9">
        <v>0.540984</v>
      </c>
      <c r="BB50" s="10" t="s">
        <v>85</v>
      </c>
      <c r="BC50" s="10" t="s">
        <v>85</v>
      </c>
      <c r="BD50" s="9">
        <v>0.540984</v>
      </c>
      <c r="BE50" s="9" t="s">
        <v>85</v>
      </c>
      <c r="BF50" s="9" t="s">
        <v>85</v>
      </c>
      <c r="BG50" s="9">
        <v>0.540984</v>
      </c>
      <c r="BH50" s="6"/>
      <c r="BI50" s="6" t="str">
        <f t="shared" si="1"/>
        <v>5B_One_Acc</v>
      </c>
      <c r="BJ50" s="6" t="str">
        <f t="shared" si="2"/>
        <v>5B_One_Acc</v>
      </c>
      <c r="BK50" s="6" t="str">
        <f t="shared" si="3"/>
        <v>5B_One_Acc</v>
      </c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</row>
    <row r="51" ht="15.75" customHeight="1">
      <c r="A51" s="1" t="s">
        <v>145</v>
      </c>
      <c r="B51" s="17">
        <v>319.0</v>
      </c>
      <c r="C51" s="9" t="s">
        <v>85</v>
      </c>
      <c r="D51" s="9" t="s">
        <v>85</v>
      </c>
      <c r="E51" s="9">
        <v>0.60274</v>
      </c>
      <c r="F51" s="9" t="s">
        <v>85</v>
      </c>
      <c r="G51" s="9" t="s">
        <v>85</v>
      </c>
      <c r="H51" s="9">
        <v>0.260274</v>
      </c>
      <c r="I51" s="9" t="s">
        <v>85</v>
      </c>
      <c r="J51" s="9" t="s">
        <v>85</v>
      </c>
      <c r="K51" s="9">
        <v>0.589041</v>
      </c>
      <c r="L51" s="9" t="s">
        <v>85</v>
      </c>
      <c r="M51" s="9" t="s">
        <v>85</v>
      </c>
      <c r="N51" s="9">
        <v>0.630137</v>
      </c>
      <c r="O51" s="9" t="s">
        <v>85</v>
      </c>
      <c r="P51" s="9" t="s">
        <v>85</v>
      </c>
      <c r="Q51" s="9">
        <v>0.630137</v>
      </c>
      <c r="R51" s="9" t="s">
        <v>85</v>
      </c>
      <c r="S51" s="9" t="s">
        <v>85</v>
      </c>
      <c r="T51" s="9">
        <v>0.643836</v>
      </c>
      <c r="U51" s="9" t="s">
        <v>85</v>
      </c>
      <c r="V51" s="9" t="s">
        <v>85</v>
      </c>
      <c r="W51" s="9">
        <v>0.69863</v>
      </c>
      <c r="X51" s="9" t="s">
        <v>85</v>
      </c>
      <c r="Y51" s="9" t="s">
        <v>85</v>
      </c>
      <c r="Z51" s="9">
        <v>0.589041</v>
      </c>
      <c r="AA51" s="10" t="s">
        <v>85</v>
      </c>
      <c r="AB51" s="10" t="s">
        <v>85</v>
      </c>
      <c r="AC51" s="9">
        <v>0.589041</v>
      </c>
      <c r="AD51" s="9" t="s">
        <v>85</v>
      </c>
      <c r="AE51" s="9" t="s">
        <v>85</v>
      </c>
      <c r="AF51" s="9">
        <v>0.60274</v>
      </c>
      <c r="AG51" s="9" t="s">
        <v>85</v>
      </c>
      <c r="AH51" s="9" t="s">
        <v>85</v>
      </c>
      <c r="AI51" s="9">
        <v>0.643836</v>
      </c>
      <c r="AJ51" s="9" t="s">
        <v>85</v>
      </c>
      <c r="AK51" s="9" t="s">
        <v>85</v>
      </c>
      <c r="AL51" s="9">
        <v>0.630137</v>
      </c>
      <c r="AM51" s="9" t="s">
        <v>85</v>
      </c>
      <c r="AN51" s="9" t="s">
        <v>85</v>
      </c>
      <c r="AO51" s="9">
        <v>0.630137</v>
      </c>
      <c r="AP51" s="9" t="s">
        <v>85</v>
      </c>
      <c r="AQ51" s="9" t="s">
        <v>85</v>
      </c>
      <c r="AR51" s="9">
        <v>0.589041</v>
      </c>
      <c r="AS51" s="9" t="s">
        <v>85</v>
      </c>
      <c r="AT51" s="9" t="s">
        <v>85</v>
      </c>
      <c r="AU51" s="9">
        <v>0.657534</v>
      </c>
      <c r="AV51" s="9" t="s">
        <v>85</v>
      </c>
      <c r="AW51" s="9" t="s">
        <v>85</v>
      </c>
      <c r="AX51" s="9">
        <v>0.616438</v>
      </c>
      <c r="AY51" s="9" t="s">
        <v>85</v>
      </c>
      <c r="AZ51" s="9" t="s">
        <v>85</v>
      </c>
      <c r="BA51" s="9">
        <v>0.589041</v>
      </c>
      <c r="BB51" s="10" t="s">
        <v>85</v>
      </c>
      <c r="BC51" s="10" t="s">
        <v>85</v>
      </c>
      <c r="BD51" s="9">
        <v>0.630137</v>
      </c>
      <c r="BE51" s="9" t="s">
        <v>85</v>
      </c>
      <c r="BF51" s="9" t="s">
        <v>85</v>
      </c>
      <c r="BG51" s="9">
        <v>0.616438</v>
      </c>
      <c r="BH51" s="6"/>
      <c r="BI51" s="6" t="str">
        <f t="shared" si="1"/>
        <v>8V_One_Acc</v>
      </c>
      <c r="BJ51" s="6" t="str">
        <f t="shared" si="2"/>
        <v>12V_One_Acc</v>
      </c>
      <c r="BK51" s="6" t="str">
        <f t="shared" si="3"/>
        <v>8BN_One_Acc</v>
      </c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</row>
    <row r="52" ht="15.75" customHeight="1">
      <c r="A52" s="1" t="s">
        <v>146</v>
      </c>
      <c r="B52" s="17">
        <v>1024.0</v>
      </c>
      <c r="C52" s="9" t="s">
        <v>85</v>
      </c>
      <c r="D52" s="9" t="s">
        <v>85</v>
      </c>
      <c r="E52" s="9">
        <v>0.672921</v>
      </c>
      <c r="F52" s="9" t="s">
        <v>85</v>
      </c>
      <c r="G52" s="9" t="s">
        <v>85</v>
      </c>
      <c r="H52" s="9">
        <v>0.123241</v>
      </c>
      <c r="I52" s="9" t="s">
        <v>85</v>
      </c>
      <c r="J52" s="9" t="s">
        <v>85</v>
      </c>
      <c r="K52" s="9">
        <v>0.742004</v>
      </c>
      <c r="L52" s="9" t="s">
        <v>85</v>
      </c>
      <c r="M52" s="9" t="s">
        <v>85</v>
      </c>
      <c r="N52" s="9">
        <v>0.673774</v>
      </c>
      <c r="O52" s="9" t="s">
        <v>85</v>
      </c>
      <c r="P52" s="9" t="s">
        <v>85</v>
      </c>
      <c r="Q52" s="9">
        <v>0.61791</v>
      </c>
      <c r="R52" s="9" t="s">
        <v>85</v>
      </c>
      <c r="S52" s="9" t="s">
        <v>85</v>
      </c>
      <c r="T52" s="9">
        <v>0.732623</v>
      </c>
      <c r="U52" s="9" t="s">
        <v>85</v>
      </c>
      <c r="V52" s="9" t="s">
        <v>85</v>
      </c>
      <c r="W52" s="9">
        <v>0.502772</v>
      </c>
      <c r="X52" s="9" t="s">
        <v>85</v>
      </c>
      <c r="Y52" s="9" t="s">
        <v>85</v>
      </c>
      <c r="Z52" s="9">
        <v>0.438806</v>
      </c>
      <c r="AA52" s="10" t="s">
        <v>85</v>
      </c>
      <c r="AB52" s="10" t="s">
        <v>85</v>
      </c>
      <c r="AC52" s="9">
        <v>0.710021</v>
      </c>
      <c r="AD52" s="9" t="s">
        <v>85</v>
      </c>
      <c r="AE52" s="9" t="s">
        <v>85</v>
      </c>
      <c r="AF52" s="9">
        <v>0.696802</v>
      </c>
      <c r="AG52" s="9" t="s">
        <v>85</v>
      </c>
      <c r="AH52" s="9" t="s">
        <v>85</v>
      </c>
      <c r="AI52" s="9">
        <v>0.580384</v>
      </c>
      <c r="AJ52" s="9" t="s">
        <v>85</v>
      </c>
      <c r="AK52" s="9" t="s">
        <v>85</v>
      </c>
      <c r="AL52" s="9">
        <v>0.486567</v>
      </c>
      <c r="AM52" s="9" t="s">
        <v>85</v>
      </c>
      <c r="AN52" s="9" t="s">
        <v>85</v>
      </c>
      <c r="AO52" s="9">
        <v>0.696802</v>
      </c>
      <c r="AP52" s="9" t="s">
        <v>85</v>
      </c>
      <c r="AQ52" s="9" t="s">
        <v>85</v>
      </c>
      <c r="AR52" s="9">
        <v>0.731343</v>
      </c>
      <c r="AS52" s="9" t="s">
        <v>85</v>
      </c>
      <c r="AT52" s="9" t="s">
        <v>85</v>
      </c>
      <c r="AU52" s="9">
        <v>0.55565</v>
      </c>
      <c r="AV52" s="9" t="s">
        <v>85</v>
      </c>
      <c r="AW52" s="9" t="s">
        <v>85</v>
      </c>
      <c r="AX52" s="9">
        <v>0.373987</v>
      </c>
      <c r="AY52" s="9" t="s">
        <v>85</v>
      </c>
      <c r="AZ52" s="9" t="s">
        <v>85</v>
      </c>
      <c r="BA52" s="9">
        <v>0.736034</v>
      </c>
      <c r="BB52" s="10" t="s">
        <v>85</v>
      </c>
      <c r="BC52" s="10" t="s">
        <v>85</v>
      </c>
      <c r="BD52" s="9">
        <v>0.499787</v>
      </c>
      <c r="BE52" s="9" t="s">
        <v>85</v>
      </c>
      <c r="BF52" s="9" t="s">
        <v>85</v>
      </c>
      <c r="BG52" s="9">
        <v>0.448188</v>
      </c>
      <c r="BH52" s="6"/>
      <c r="BI52" s="6" t="str">
        <f t="shared" si="1"/>
        <v>5V_One_Acc</v>
      </c>
      <c r="BJ52" s="6" t="str">
        <f t="shared" si="2"/>
        <v>20B_One_Acc</v>
      </c>
      <c r="BK52" s="6" t="str">
        <f t="shared" si="3"/>
        <v>8BN_One_Acc</v>
      </c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</row>
    <row r="53" ht="15.75" customHeight="1">
      <c r="A53" s="1" t="s">
        <v>147</v>
      </c>
      <c r="B53" s="17">
        <v>448.0</v>
      </c>
      <c r="C53" s="9" t="s">
        <v>85</v>
      </c>
      <c r="D53" s="9" t="s">
        <v>85</v>
      </c>
      <c r="E53" s="9">
        <v>0.95</v>
      </c>
      <c r="F53" s="9" t="s">
        <v>85</v>
      </c>
      <c r="G53" s="9" t="s">
        <v>85</v>
      </c>
      <c r="H53" s="9">
        <v>0.316667</v>
      </c>
      <c r="I53" s="9" t="s">
        <v>85</v>
      </c>
      <c r="J53" s="9" t="s">
        <v>85</v>
      </c>
      <c r="K53" s="9">
        <v>0.566667</v>
      </c>
      <c r="L53" s="9" t="s">
        <v>85</v>
      </c>
      <c r="M53" s="9" t="s">
        <v>85</v>
      </c>
      <c r="N53" s="9">
        <v>0.633333</v>
      </c>
      <c r="O53" s="9" t="s">
        <v>85</v>
      </c>
      <c r="P53" s="9" t="s">
        <v>85</v>
      </c>
      <c r="Q53" s="9">
        <v>0.916667</v>
      </c>
      <c r="R53" s="9" t="s">
        <v>85</v>
      </c>
      <c r="S53" s="9" t="s">
        <v>85</v>
      </c>
      <c r="T53" s="9">
        <v>0.916667</v>
      </c>
      <c r="U53" s="9" t="s">
        <v>85</v>
      </c>
      <c r="V53" s="9" t="s">
        <v>85</v>
      </c>
      <c r="W53" s="9">
        <v>0.6</v>
      </c>
      <c r="X53" s="9" t="s">
        <v>85</v>
      </c>
      <c r="Y53" s="9" t="s">
        <v>85</v>
      </c>
      <c r="Z53" s="9">
        <v>0.566667</v>
      </c>
      <c r="AA53" s="10" t="s">
        <v>85</v>
      </c>
      <c r="AB53" s="10" t="s">
        <v>85</v>
      </c>
      <c r="AC53" s="9">
        <v>0.95</v>
      </c>
      <c r="AD53" s="9" t="s">
        <v>85</v>
      </c>
      <c r="AE53" s="9" t="s">
        <v>85</v>
      </c>
      <c r="AF53" s="9">
        <v>0.9</v>
      </c>
      <c r="AG53" s="9" t="s">
        <v>85</v>
      </c>
      <c r="AH53" s="9" t="s">
        <v>85</v>
      </c>
      <c r="AI53" s="9">
        <v>0.75</v>
      </c>
      <c r="AJ53" s="9" t="s">
        <v>85</v>
      </c>
      <c r="AK53" s="9" t="s">
        <v>85</v>
      </c>
      <c r="AL53" s="9">
        <v>0.883333</v>
      </c>
      <c r="AM53" s="9" t="s">
        <v>85</v>
      </c>
      <c r="AN53" s="9" t="s">
        <v>85</v>
      </c>
      <c r="AO53" s="9">
        <v>0.933333</v>
      </c>
      <c r="AP53" s="9" t="s">
        <v>85</v>
      </c>
      <c r="AQ53" s="9" t="s">
        <v>85</v>
      </c>
      <c r="AR53" s="9">
        <v>0.65</v>
      </c>
      <c r="AS53" s="9" t="s">
        <v>85</v>
      </c>
      <c r="AT53" s="9" t="s">
        <v>85</v>
      </c>
      <c r="AU53" s="9">
        <v>0.55</v>
      </c>
      <c r="AV53" s="9" t="s">
        <v>85</v>
      </c>
      <c r="AW53" s="9" t="s">
        <v>85</v>
      </c>
      <c r="AX53" s="9">
        <v>0.416667</v>
      </c>
      <c r="AY53" s="9" t="s">
        <v>85</v>
      </c>
      <c r="AZ53" s="9" t="s">
        <v>85</v>
      </c>
      <c r="BA53" s="9">
        <v>0.933333</v>
      </c>
      <c r="BB53" s="10" t="s">
        <v>85</v>
      </c>
      <c r="BC53" s="10" t="s">
        <v>85</v>
      </c>
      <c r="BD53" s="9">
        <v>0.55</v>
      </c>
      <c r="BE53" s="9" t="s">
        <v>85</v>
      </c>
      <c r="BF53" s="9" t="s">
        <v>85</v>
      </c>
      <c r="BG53" s="9">
        <v>0.666667</v>
      </c>
      <c r="BH53" s="6"/>
      <c r="BI53" s="6" t="str">
        <f t="shared" si="1"/>
        <v>5B_One_Acc</v>
      </c>
      <c r="BJ53" s="6" t="str">
        <f t="shared" si="2"/>
        <v>5B_One_Acc</v>
      </c>
      <c r="BK53" s="6" t="str">
        <f t="shared" si="3"/>
        <v>12B_One_Acc</v>
      </c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</row>
    <row r="54" ht="15.75" customHeight="1">
      <c r="A54" s="1" t="s">
        <v>148</v>
      </c>
      <c r="B54" s="17">
        <v>99.0</v>
      </c>
      <c r="C54" s="9" t="s">
        <v>85</v>
      </c>
      <c r="D54" s="9" t="s">
        <v>85</v>
      </c>
      <c r="E54" s="9">
        <v>0.526316</v>
      </c>
      <c r="F54" s="9" t="s">
        <v>85</v>
      </c>
      <c r="G54" s="9" t="s">
        <v>85</v>
      </c>
      <c r="H54" s="9">
        <v>0.514474</v>
      </c>
      <c r="I54" s="9" t="s">
        <v>85</v>
      </c>
      <c r="J54" s="9" t="s">
        <v>85</v>
      </c>
      <c r="K54" s="9">
        <v>0.572368</v>
      </c>
      <c r="L54" s="9" t="s">
        <v>85</v>
      </c>
      <c r="M54" s="9" t="s">
        <v>85</v>
      </c>
      <c r="N54" s="9">
        <v>0.610526</v>
      </c>
      <c r="O54" s="9" t="s">
        <v>85</v>
      </c>
      <c r="P54" s="9" t="s">
        <v>85</v>
      </c>
      <c r="Q54" s="9">
        <v>0.596053</v>
      </c>
      <c r="R54" s="9" t="s">
        <v>85</v>
      </c>
      <c r="S54" s="9" t="s">
        <v>85</v>
      </c>
      <c r="T54" s="9">
        <v>0.546053</v>
      </c>
      <c r="U54" s="9" t="s">
        <v>85</v>
      </c>
      <c r="V54" s="9" t="s">
        <v>85</v>
      </c>
      <c r="W54" s="9">
        <v>0.586842</v>
      </c>
      <c r="X54" s="9" t="s">
        <v>85</v>
      </c>
      <c r="Y54" s="9" t="s">
        <v>85</v>
      </c>
      <c r="Z54" s="9">
        <v>0.586842</v>
      </c>
      <c r="AA54" s="10" t="s">
        <v>85</v>
      </c>
      <c r="AB54" s="10" t="s">
        <v>85</v>
      </c>
      <c r="AC54" s="9">
        <v>0.573684</v>
      </c>
      <c r="AD54" s="9" t="s">
        <v>85</v>
      </c>
      <c r="AE54" s="9" t="s">
        <v>85</v>
      </c>
      <c r="AF54" s="9">
        <v>0.586842</v>
      </c>
      <c r="AG54" s="9" t="s">
        <v>85</v>
      </c>
      <c r="AH54" s="9" t="s">
        <v>85</v>
      </c>
      <c r="AI54" s="9">
        <v>0.564474</v>
      </c>
      <c r="AJ54" s="9" t="s">
        <v>85</v>
      </c>
      <c r="AK54" s="9" t="s">
        <v>85</v>
      </c>
      <c r="AL54" s="9">
        <v>0.555263</v>
      </c>
      <c r="AM54" s="9" t="s">
        <v>85</v>
      </c>
      <c r="AN54" s="9" t="s">
        <v>85</v>
      </c>
      <c r="AO54" s="9">
        <v>0.584211</v>
      </c>
      <c r="AP54" s="9" t="s">
        <v>85</v>
      </c>
      <c r="AQ54" s="9" t="s">
        <v>85</v>
      </c>
      <c r="AR54" s="9">
        <v>0.610526</v>
      </c>
      <c r="AS54" s="9" t="s">
        <v>85</v>
      </c>
      <c r="AT54" s="9" t="s">
        <v>85</v>
      </c>
      <c r="AU54" s="9">
        <v>0.607895</v>
      </c>
      <c r="AV54" s="9" t="s">
        <v>85</v>
      </c>
      <c r="AW54" s="9" t="s">
        <v>85</v>
      </c>
      <c r="AX54" s="9">
        <v>0.617105</v>
      </c>
      <c r="AY54" s="9" t="s">
        <v>85</v>
      </c>
      <c r="AZ54" s="9" t="s">
        <v>85</v>
      </c>
      <c r="BA54" s="9">
        <v>0.607895</v>
      </c>
      <c r="BB54" s="10" t="s">
        <v>85</v>
      </c>
      <c r="BC54" s="10" t="s">
        <v>85</v>
      </c>
      <c r="BD54" s="9">
        <v>0.597368</v>
      </c>
      <c r="BE54" s="9" t="s">
        <v>85</v>
      </c>
      <c r="BF54" s="9" t="s">
        <v>85</v>
      </c>
      <c r="BG54" s="9">
        <v>0.560526</v>
      </c>
      <c r="BH54" s="6"/>
      <c r="BI54" s="6" t="str">
        <f t="shared" si="1"/>
        <v>12VB_One_Acc</v>
      </c>
      <c r="BJ54" s="6" t="str">
        <f t="shared" si="2"/>
        <v>5VB_One_Acc</v>
      </c>
      <c r="BK54" s="6" t="str">
        <f t="shared" si="3"/>
        <v>5VB_One_Acc</v>
      </c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</row>
    <row r="55" ht="15.75" customHeight="1">
      <c r="A55" s="1" t="s">
        <v>149</v>
      </c>
      <c r="B55" s="17">
        <v>80.0</v>
      </c>
      <c r="C55" s="9" t="s">
        <v>85</v>
      </c>
      <c r="D55" s="9" t="s">
        <v>85</v>
      </c>
      <c r="E55" s="9">
        <v>0.519481</v>
      </c>
      <c r="F55" s="9" t="s">
        <v>85</v>
      </c>
      <c r="G55" s="9" t="s">
        <v>85</v>
      </c>
      <c r="H55" s="9">
        <v>0.188312</v>
      </c>
      <c r="I55" s="9" t="s">
        <v>85</v>
      </c>
      <c r="J55" s="9" t="s">
        <v>85</v>
      </c>
      <c r="K55" s="9">
        <v>0.506494</v>
      </c>
      <c r="L55" s="9" t="s">
        <v>85</v>
      </c>
      <c r="M55" s="9" t="s">
        <v>85</v>
      </c>
      <c r="N55" s="9">
        <v>0.506494</v>
      </c>
      <c r="O55" s="9" t="s">
        <v>85</v>
      </c>
      <c r="P55" s="9" t="s">
        <v>85</v>
      </c>
      <c r="Q55" s="9">
        <v>0.571429</v>
      </c>
      <c r="R55" s="9" t="s">
        <v>85</v>
      </c>
      <c r="S55" s="9" t="s">
        <v>85</v>
      </c>
      <c r="T55" s="9">
        <v>0.512987</v>
      </c>
      <c r="U55" s="9" t="s">
        <v>85</v>
      </c>
      <c r="V55" s="9" t="s">
        <v>85</v>
      </c>
      <c r="W55" s="9">
        <v>0.564935</v>
      </c>
      <c r="X55" s="9" t="s">
        <v>85</v>
      </c>
      <c r="Y55" s="9" t="s">
        <v>85</v>
      </c>
      <c r="Z55" s="9">
        <v>0.577922</v>
      </c>
      <c r="AA55" s="10" t="s">
        <v>85</v>
      </c>
      <c r="AB55" s="10" t="s">
        <v>85</v>
      </c>
      <c r="AC55" s="9">
        <v>0.597403</v>
      </c>
      <c r="AD55" s="9" t="s">
        <v>85</v>
      </c>
      <c r="AE55" s="9" t="s">
        <v>85</v>
      </c>
      <c r="AF55" s="9">
        <v>0.564935</v>
      </c>
      <c r="AG55" s="9" t="s">
        <v>85</v>
      </c>
      <c r="AH55" s="9" t="s">
        <v>85</v>
      </c>
      <c r="AI55" s="9">
        <v>0.564935</v>
      </c>
      <c r="AJ55" s="9" t="s">
        <v>85</v>
      </c>
      <c r="AK55" s="9" t="s">
        <v>85</v>
      </c>
      <c r="AL55" s="9">
        <v>0.558442</v>
      </c>
      <c r="AM55" s="9" t="s">
        <v>85</v>
      </c>
      <c r="AN55" s="9" t="s">
        <v>85</v>
      </c>
      <c r="AO55" s="9">
        <v>0.616883</v>
      </c>
      <c r="AP55" s="9" t="s">
        <v>85</v>
      </c>
      <c r="AQ55" s="9" t="s">
        <v>85</v>
      </c>
      <c r="AR55" s="9">
        <v>0.603896</v>
      </c>
      <c r="AS55" s="9" t="s">
        <v>85</v>
      </c>
      <c r="AT55" s="9" t="s">
        <v>85</v>
      </c>
      <c r="AU55" s="9">
        <v>0.577922</v>
      </c>
      <c r="AV55" s="9" t="s">
        <v>85</v>
      </c>
      <c r="AW55" s="9" t="s">
        <v>85</v>
      </c>
      <c r="AX55" s="9">
        <v>0.577922</v>
      </c>
      <c r="AY55" s="9" t="s">
        <v>85</v>
      </c>
      <c r="AZ55" s="9" t="s">
        <v>85</v>
      </c>
      <c r="BA55" s="9">
        <v>0.62987</v>
      </c>
      <c r="BB55" s="10" t="s">
        <v>85</v>
      </c>
      <c r="BC55" s="10" t="s">
        <v>85</v>
      </c>
      <c r="BD55" s="9">
        <v>0.564935</v>
      </c>
      <c r="BE55" s="9" t="s">
        <v>85</v>
      </c>
      <c r="BF55" s="9" t="s">
        <v>85</v>
      </c>
      <c r="BG55" s="9">
        <v>0.616883</v>
      </c>
      <c r="BH55" s="6"/>
      <c r="BI55" s="6" t="str">
        <f t="shared" si="1"/>
        <v>20B_One_Acc</v>
      </c>
      <c r="BJ55" s="6" t="str">
        <f t="shared" si="2"/>
        <v>12B_One_Acc</v>
      </c>
      <c r="BK55" s="6" t="str">
        <f t="shared" si="3"/>
        <v>12B_One_Acc</v>
      </c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</row>
    <row r="56" ht="15.75" customHeight="1">
      <c r="A56" s="1" t="s">
        <v>150</v>
      </c>
      <c r="B56" s="17">
        <v>80.0</v>
      </c>
      <c r="C56" s="9" t="s">
        <v>85</v>
      </c>
      <c r="D56" s="9" t="s">
        <v>85</v>
      </c>
      <c r="E56" s="9">
        <v>0.666667</v>
      </c>
      <c r="F56" s="9" t="s">
        <v>85</v>
      </c>
      <c r="G56" s="9" t="s">
        <v>85</v>
      </c>
      <c r="H56" s="9">
        <v>0.570447</v>
      </c>
      <c r="I56" s="9" t="s">
        <v>85</v>
      </c>
      <c r="J56" s="9" t="s">
        <v>85</v>
      </c>
      <c r="K56" s="9">
        <v>0.790378</v>
      </c>
      <c r="L56" s="9" t="s">
        <v>85</v>
      </c>
      <c r="M56" s="9" t="s">
        <v>85</v>
      </c>
      <c r="N56" s="9">
        <v>0.75945</v>
      </c>
      <c r="O56" s="9" t="s">
        <v>85</v>
      </c>
      <c r="P56" s="9" t="s">
        <v>85</v>
      </c>
      <c r="Q56" s="9">
        <v>0.762887</v>
      </c>
      <c r="R56" s="9" t="s">
        <v>85</v>
      </c>
      <c r="S56" s="9" t="s">
        <v>85</v>
      </c>
      <c r="T56" s="9">
        <v>0.718213</v>
      </c>
      <c r="U56" s="9" t="s">
        <v>85</v>
      </c>
      <c r="V56" s="9" t="s">
        <v>85</v>
      </c>
      <c r="W56" s="9">
        <v>0.766323</v>
      </c>
      <c r="X56" s="9" t="s">
        <v>85</v>
      </c>
      <c r="Y56" s="9" t="s">
        <v>85</v>
      </c>
      <c r="Z56" s="9">
        <v>0.766323</v>
      </c>
      <c r="AA56" s="10" t="s">
        <v>85</v>
      </c>
      <c r="AB56" s="10" t="s">
        <v>85</v>
      </c>
      <c r="AC56" s="9">
        <v>0.725086</v>
      </c>
      <c r="AD56" s="9" t="s">
        <v>85</v>
      </c>
      <c r="AE56" s="9" t="s">
        <v>85</v>
      </c>
      <c r="AF56" s="9">
        <v>0.728522</v>
      </c>
      <c r="AG56" s="9" t="s">
        <v>85</v>
      </c>
      <c r="AH56" s="9" t="s">
        <v>85</v>
      </c>
      <c r="AI56" s="9">
        <v>0.800687</v>
      </c>
      <c r="AJ56" s="9" t="s">
        <v>85</v>
      </c>
      <c r="AK56" s="9" t="s">
        <v>85</v>
      </c>
      <c r="AL56" s="9">
        <v>0.570447</v>
      </c>
      <c r="AM56" s="9" t="s">
        <v>85</v>
      </c>
      <c r="AN56" s="9" t="s">
        <v>85</v>
      </c>
      <c r="AO56" s="9">
        <v>0.71134</v>
      </c>
      <c r="AP56" s="9" t="s">
        <v>85</v>
      </c>
      <c r="AQ56" s="9" t="s">
        <v>85</v>
      </c>
      <c r="AR56" s="9">
        <v>0.728522</v>
      </c>
      <c r="AS56" s="9" t="s">
        <v>85</v>
      </c>
      <c r="AT56" s="9" t="s">
        <v>85</v>
      </c>
      <c r="AU56" s="9">
        <v>0.800687</v>
      </c>
      <c r="AV56" s="9" t="s">
        <v>85</v>
      </c>
      <c r="AW56" s="9" t="s">
        <v>85</v>
      </c>
      <c r="AX56" s="9">
        <v>0.790378</v>
      </c>
      <c r="AY56" s="9" t="s">
        <v>85</v>
      </c>
      <c r="AZ56" s="9" t="s">
        <v>85</v>
      </c>
      <c r="BA56" s="9">
        <v>0.683849</v>
      </c>
      <c r="BB56" s="10" t="s">
        <v>85</v>
      </c>
      <c r="BC56" s="10" t="s">
        <v>85</v>
      </c>
      <c r="BD56" s="9">
        <v>0.817869</v>
      </c>
      <c r="BE56" s="9" t="s">
        <v>85</v>
      </c>
      <c r="BF56" s="9" t="s">
        <v>85</v>
      </c>
      <c r="BG56" s="9">
        <v>0.790378</v>
      </c>
      <c r="BH56" s="6"/>
      <c r="BI56" s="6" t="str">
        <f t="shared" si="1"/>
        <v>20V_One_Acc</v>
      </c>
      <c r="BJ56" s="6" t="str">
        <f t="shared" si="2"/>
        <v>10V_One_Acc</v>
      </c>
      <c r="BK56" s="6" t="str">
        <f t="shared" si="3"/>
        <v>10V_One_Acc</v>
      </c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</row>
    <row r="57" ht="15.75" customHeight="1">
      <c r="A57" s="1" t="s">
        <v>151</v>
      </c>
      <c r="B57" s="17">
        <v>80.0</v>
      </c>
      <c r="C57" s="9" t="s">
        <v>85</v>
      </c>
      <c r="D57" s="9" t="s">
        <v>85</v>
      </c>
      <c r="E57" s="9">
        <v>0.525974</v>
      </c>
      <c r="F57" s="9" t="s">
        <v>85</v>
      </c>
      <c r="G57" s="9" t="s">
        <v>85</v>
      </c>
      <c r="H57" s="9">
        <v>0.272727</v>
      </c>
      <c r="I57" s="9" t="s">
        <v>85</v>
      </c>
      <c r="J57" s="9" t="s">
        <v>85</v>
      </c>
      <c r="K57" s="9">
        <v>0.590909</v>
      </c>
      <c r="L57" s="9" t="s">
        <v>85</v>
      </c>
      <c r="M57" s="9" t="s">
        <v>85</v>
      </c>
      <c r="N57" s="9">
        <v>0.558442</v>
      </c>
      <c r="O57" s="9" t="s">
        <v>85</v>
      </c>
      <c r="P57" s="9" t="s">
        <v>85</v>
      </c>
      <c r="Q57" s="9">
        <v>0.545455</v>
      </c>
      <c r="R57" s="9" t="s">
        <v>85</v>
      </c>
      <c r="S57" s="9" t="s">
        <v>85</v>
      </c>
      <c r="T57" s="9">
        <v>0.474026</v>
      </c>
      <c r="U57" s="9" t="s">
        <v>85</v>
      </c>
      <c r="V57" s="9" t="s">
        <v>85</v>
      </c>
      <c r="W57" s="9">
        <v>0.558442</v>
      </c>
      <c r="X57" s="9" t="s">
        <v>85</v>
      </c>
      <c r="Y57" s="9" t="s">
        <v>85</v>
      </c>
      <c r="Z57" s="9">
        <v>0.558442</v>
      </c>
      <c r="AA57" s="10" t="s">
        <v>85</v>
      </c>
      <c r="AB57" s="10" t="s">
        <v>85</v>
      </c>
      <c r="AC57" s="9">
        <v>0.506494</v>
      </c>
      <c r="AD57" s="9" t="s">
        <v>85</v>
      </c>
      <c r="AE57" s="9" t="s">
        <v>85</v>
      </c>
      <c r="AF57" s="9">
        <v>0.519481</v>
      </c>
      <c r="AG57" s="9" t="s">
        <v>85</v>
      </c>
      <c r="AH57" s="9" t="s">
        <v>85</v>
      </c>
      <c r="AI57" s="9">
        <v>0.571429</v>
      </c>
      <c r="AJ57" s="9" t="s">
        <v>85</v>
      </c>
      <c r="AK57" s="9" t="s">
        <v>85</v>
      </c>
      <c r="AL57" s="9">
        <v>0.558442</v>
      </c>
      <c r="AM57" s="9" t="s">
        <v>85</v>
      </c>
      <c r="AN57" s="9" t="s">
        <v>85</v>
      </c>
      <c r="AO57" s="9">
        <v>0.506494</v>
      </c>
      <c r="AP57" s="9" t="s">
        <v>85</v>
      </c>
      <c r="AQ57" s="9" t="s">
        <v>85</v>
      </c>
      <c r="AR57" s="9">
        <v>0.590909</v>
      </c>
      <c r="AS57" s="9" t="s">
        <v>85</v>
      </c>
      <c r="AT57" s="9" t="s">
        <v>85</v>
      </c>
      <c r="AU57" s="9">
        <v>0.558442</v>
      </c>
      <c r="AV57" s="9" t="s">
        <v>85</v>
      </c>
      <c r="AW57" s="9" t="s">
        <v>85</v>
      </c>
      <c r="AX57" s="9">
        <v>0.558442</v>
      </c>
      <c r="AY57" s="9" t="s">
        <v>85</v>
      </c>
      <c r="AZ57" s="9" t="s">
        <v>85</v>
      </c>
      <c r="BA57" s="9">
        <v>0.538961</v>
      </c>
      <c r="BB57" s="10" t="s">
        <v>85</v>
      </c>
      <c r="BC57" s="10" t="s">
        <v>85</v>
      </c>
      <c r="BD57" s="9">
        <v>0.558442</v>
      </c>
      <c r="BE57" s="9" t="s">
        <v>85</v>
      </c>
      <c r="BF57" s="9" t="s">
        <v>85</v>
      </c>
      <c r="BG57" s="9">
        <v>0.558442</v>
      </c>
      <c r="BH57" s="6"/>
      <c r="BI57" s="6" t="str">
        <f t="shared" si="1"/>
        <v>5V_One_Acc</v>
      </c>
      <c r="BJ57" s="6" t="str">
        <f t="shared" si="2"/>
        <v>5V_One_Acc</v>
      </c>
      <c r="BK57" s="6" t="str">
        <f t="shared" si="3"/>
        <v>10V_One_Acc</v>
      </c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</row>
    <row r="58" ht="15.75" customHeight="1">
      <c r="A58" s="1" t="s">
        <v>152</v>
      </c>
      <c r="B58" s="17">
        <v>1024.0</v>
      </c>
      <c r="C58" s="9" t="s">
        <v>85</v>
      </c>
      <c r="D58" s="9" t="s">
        <v>85</v>
      </c>
      <c r="E58" s="9">
        <v>0.822268</v>
      </c>
      <c r="F58" s="9" t="s">
        <v>85</v>
      </c>
      <c r="G58" s="9" t="s">
        <v>85</v>
      </c>
      <c r="H58" s="9">
        <v>0.188866</v>
      </c>
      <c r="I58" s="9" t="s">
        <v>85</v>
      </c>
      <c r="J58" s="9" t="s">
        <v>85</v>
      </c>
      <c r="K58" s="9">
        <v>0.858969</v>
      </c>
      <c r="L58" s="9" t="s">
        <v>85</v>
      </c>
      <c r="M58" s="9" t="s">
        <v>85</v>
      </c>
      <c r="N58" s="9">
        <v>0.854021</v>
      </c>
      <c r="O58" s="9" t="s">
        <v>85</v>
      </c>
      <c r="P58" s="9" t="s">
        <v>85</v>
      </c>
      <c r="Q58" s="9">
        <v>0.863505</v>
      </c>
      <c r="R58" s="9" t="s">
        <v>85</v>
      </c>
      <c r="S58" s="9" t="s">
        <v>85</v>
      </c>
      <c r="T58" s="9">
        <v>0.85732</v>
      </c>
      <c r="U58" s="9" t="s">
        <v>85</v>
      </c>
      <c r="V58" s="9" t="s">
        <v>85</v>
      </c>
      <c r="W58" s="9">
        <v>0.875052</v>
      </c>
      <c r="X58" s="9" t="s">
        <v>85</v>
      </c>
      <c r="Y58" s="9" t="s">
        <v>85</v>
      </c>
      <c r="Z58" s="9">
        <v>0.86268</v>
      </c>
      <c r="AA58" s="10" t="s">
        <v>85</v>
      </c>
      <c r="AB58" s="10" t="s">
        <v>85</v>
      </c>
      <c r="AC58" s="9">
        <v>0.863505</v>
      </c>
      <c r="AD58" s="9" t="s">
        <v>85</v>
      </c>
      <c r="AE58" s="9" t="s">
        <v>85</v>
      </c>
      <c r="AF58" s="9">
        <v>0.861031</v>
      </c>
      <c r="AG58" s="9" t="s">
        <v>85</v>
      </c>
      <c r="AH58" s="9" t="s">
        <v>85</v>
      </c>
      <c r="AI58" s="9">
        <v>0.852371</v>
      </c>
      <c r="AJ58" s="9" t="s">
        <v>85</v>
      </c>
      <c r="AK58" s="9" t="s">
        <v>85</v>
      </c>
      <c r="AL58" s="9">
        <v>0.870103</v>
      </c>
      <c r="AM58" s="9" t="s">
        <v>85</v>
      </c>
      <c r="AN58" s="9" t="s">
        <v>85</v>
      </c>
      <c r="AO58" s="9">
        <v>0.863093</v>
      </c>
      <c r="AP58" s="9" t="s">
        <v>85</v>
      </c>
      <c r="AQ58" s="9" t="s">
        <v>85</v>
      </c>
      <c r="AR58" s="9">
        <v>0.862268</v>
      </c>
      <c r="AS58" s="9" t="s">
        <v>85</v>
      </c>
      <c r="AT58" s="9" t="s">
        <v>85</v>
      </c>
      <c r="AU58" s="9">
        <v>0.863918</v>
      </c>
      <c r="AV58" s="9" t="s">
        <v>85</v>
      </c>
      <c r="AW58" s="9" t="s">
        <v>85</v>
      </c>
      <c r="AX58" s="9">
        <v>0.872577</v>
      </c>
      <c r="AY58" s="9" t="s">
        <v>85</v>
      </c>
      <c r="AZ58" s="9" t="s">
        <v>85</v>
      </c>
      <c r="BA58" s="9">
        <v>0.819381</v>
      </c>
      <c r="BB58" s="10" t="s">
        <v>85</v>
      </c>
      <c r="BC58" s="10" t="s">
        <v>85</v>
      </c>
      <c r="BD58" s="9">
        <v>0.890722</v>
      </c>
      <c r="BE58" s="9" t="s">
        <v>85</v>
      </c>
      <c r="BF58" s="9" t="s">
        <v>85</v>
      </c>
      <c r="BG58" s="9">
        <v>0.814021</v>
      </c>
      <c r="BH58" s="6"/>
      <c r="BI58" s="6" t="str">
        <f t="shared" si="1"/>
        <v>20V_One_Acc</v>
      </c>
      <c r="BJ58" s="6" t="str">
        <f t="shared" si="2"/>
        <v>8V_One_Acc</v>
      </c>
      <c r="BK58" s="6" t="str">
        <f t="shared" si="3"/>
        <v>12VB_One_Acc</v>
      </c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</row>
    <row r="59" ht="15.75" customHeight="1">
      <c r="A59" s="1" t="s">
        <v>153</v>
      </c>
      <c r="B59" s="17">
        <v>1024.0</v>
      </c>
      <c r="C59" s="9" t="s">
        <v>85</v>
      </c>
      <c r="D59" s="9" t="s">
        <v>85</v>
      </c>
      <c r="E59" s="9">
        <v>0.766186</v>
      </c>
      <c r="F59" s="9" t="s">
        <v>85</v>
      </c>
      <c r="G59" s="9" t="s">
        <v>85</v>
      </c>
      <c r="H59" s="9">
        <v>0.172371</v>
      </c>
      <c r="I59" s="9" t="s">
        <v>85</v>
      </c>
      <c r="J59" s="9" t="s">
        <v>85</v>
      </c>
      <c r="K59" s="9">
        <v>0.794227</v>
      </c>
      <c r="L59" s="9" t="s">
        <v>85</v>
      </c>
      <c r="M59" s="9" t="s">
        <v>85</v>
      </c>
      <c r="N59" s="9">
        <v>0.797938</v>
      </c>
      <c r="O59" s="9" t="s">
        <v>85</v>
      </c>
      <c r="P59" s="9" t="s">
        <v>85</v>
      </c>
      <c r="Q59" s="9">
        <v>0.814433</v>
      </c>
      <c r="R59" s="9" t="s">
        <v>85</v>
      </c>
      <c r="S59" s="9" t="s">
        <v>85</v>
      </c>
      <c r="T59" s="9">
        <v>0.803299</v>
      </c>
      <c r="U59" s="9" t="s">
        <v>85</v>
      </c>
      <c r="V59" s="9" t="s">
        <v>85</v>
      </c>
      <c r="W59" s="9">
        <v>0.814845</v>
      </c>
      <c r="X59" s="9" t="s">
        <v>85</v>
      </c>
      <c r="Y59" s="9" t="s">
        <v>85</v>
      </c>
      <c r="Z59" s="9">
        <v>0.795876</v>
      </c>
      <c r="AA59" s="10" t="s">
        <v>85</v>
      </c>
      <c r="AB59" s="10" t="s">
        <v>85</v>
      </c>
      <c r="AC59" s="9">
        <v>0.785567</v>
      </c>
      <c r="AD59" s="9" t="s">
        <v>85</v>
      </c>
      <c r="AE59" s="9" t="s">
        <v>85</v>
      </c>
      <c r="AF59" s="9">
        <v>0.806186</v>
      </c>
      <c r="AG59" s="9" t="s">
        <v>85</v>
      </c>
      <c r="AH59" s="9" t="s">
        <v>85</v>
      </c>
      <c r="AI59" s="9">
        <v>0.732371</v>
      </c>
      <c r="AJ59" s="9" t="s">
        <v>85</v>
      </c>
      <c r="AK59" s="9" t="s">
        <v>85</v>
      </c>
      <c r="AL59" s="9">
        <v>0.849897</v>
      </c>
      <c r="AM59" s="9" t="s">
        <v>85</v>
      </c>
      <c r="AN59" s="9" t="s">
        <v>85</v>
      </c>
      <c r="AO59" s="9">
        <v>0.804948</v>
      </c>
      <c r="AP59" s="9" t="s">
        <v>85</v>
      </c>
      <c r="AQ59" s="9" t="s">
        <v>85</v>
      </c>
      <c r="AR59" s="9">
        <v>0.813608</v>
      </c>
      <c r="AS59" s="9" t="s">
        <v>85</v>
      </c>
      <c r="AT59" s="9" t="s">
        <v>85</v>
      </c>
      <c r="AU59" s="9">
        <v>0.798351</v>
      </c>
      <c r="AV59" s="9" t="s">
        <v>85</v>
      </c>
      <c r="AW59" s="9" t="s">
        <v>85</v>
      </c>
      <c r="AX59" s="9">
        <v>0.835052</v>
      </c>
      <c r="AY59" s="9" t="s">
        <v>85</v>
      </c>
      <c r="AZ59" s="9" t="s">
        <v>85</v>
      </c>
      <c r="BA59" s="9">
        <v>0.816082</v>
      </c>
      <c r="BB59" s="10" t="s">
        <v>85</v>
      </c>
      <c r="BC59" s="10" t="s">
        <v>85</v>
      </c>
      <c r="BD59" s="9">
        <v>0.840825</v>
      </c>
      <c r="BE59" s="9" t="s">
        <v>85</v>
      </c>
      <c r="BF59" s="9" t="s">
        <v>85</v>
      </c>
      <c r="BG59" s="9">
        <v>0.719175</v>
      </c>
      <c r="BH59" s="6"/>
      <c r="BI59" s="6" t="str">
        <f t="shared" si="1"/>
        <v>10VB_One_Acc</v>
      </c>
      <c r="BJ59" s="6" t="str">
        <f t="shared" si="2"/>
        <v>20V_One_Acc</v>
      </c>
      <c r="BK59" s="6" t="str">
        <f t="shared" si="3"/>
        <v>12VB_One_Acc</v>
      </c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</row>
    <row r="60" ht="15.75" customHeight="1">
      <c r="A60" s="1" t="s">
        <v>154</v>
      </c>
      <c r="B60" s="17">
        <v>84.0</v>
      </c>
      <c r="C60" s="9" t="s">
        <v>85</v>
      </c>
      <c r="D60" s="9" t="s">
        <v>85</v>
      </c>
      <c r="E60" s="9">
        <v>0.789936</v>
      </c>
      <c r="F60" s="9" t="s">
        <v>85</v>
      </c>
      <c r="G60" s="9" t="s">
        <v>85</v>
      </c>
      <c r="H60" s="9">
        <v>0.539137</v>
      </c>
      <c r="I60" s="9" t="s">
        <v>85</v>
      </c>
      <c r="J60" s="9" t="s">
        <v>85</v>
      </c>
      <c r="K60" s="9">
        <v>0.841054</v>
      </c>
      <c r="L60" s="9" t="s">
        <v>85</v>
      </c>
      <c r="M60" s="9" t="s">
        <v>85</v>
      </c>
      <c r="N60" s="9">
        <v>0.828275</v>
      </c>
      <c r="O60" s="9" t="s">
        <v>85</v>
      </c>
      <c r="P60" s="9" t="s">
        <v>85</v>
      </c>
      <c r="Q60" s="9">
        <v>0.698083</v>
      </c>
      <c r="R60" s="9" t="s">
        <v>85</v>
      </c>
      <c r="S60" s="9" t="s">
        <v>85</v>
      </c>
      <c r="T60" s="9">
        <v>0.770767</v>
      </c>
      <c r="U60" s="9" t="s">
        <v>85</v>
      </c>
      <c r="V60" s="9" t="s">
        <v>85</v>
      </c>
      <c r="W60" s="9">
        <v>0.833067</v>
      </c>
      <c r="X60" s="9" t="s">
        <v>85</v>
      </c>
      <c r="Y60" s="9" t="s">
        <v>85</v>
      </c>
      <c r="Z60" s="9">
        <v>0.802716</v>
      </c>
      <c r="AA60" s="10" t="s">
        <v>85</v>
      </c>
      <c r="AB60" s="10" t="s">
        <v>85</v>
      </c>
      <c r="AC60" s="9">
        <v>0.759585</v>
      </c>
      <c r="AD60" s="9" t="s">
        <v>85</v>
      </c>
      <c r="AE60" s="9" t="s">
        <v>85</v>
      </c>
      <c r="AF60" s="9">
        <v>0.741214</v>
      </c>
      <c r="AG60" s="9" t="s">
        <v>85</v>
      </c>
      <c r="AH60" s="9" t="s">
        <v>85</v>
      </c>
      <c r="AI60" s="9">
        <v>0.829872</v>
      </c>
      <c r="AJ60" s="9" t="s">
        <v>85</v>
      </c>
      <c r="AK60" s="9" t="s">
        <v>85</v>
      </c>
      <c r="AL60" s="9">
        <v>0.83147</v>
      </c>
      <c r="AM60" s="9" t="s">
        <v>85</v>
      </c>
      <c r="AN60" s="9" t="s">
        <v>85</v>
      </c>
      <c r="AO60" s="9">
        <v>0.798722</v>
      </c>
      <c r="AP60" s="9" t="s">
        <v>85</v>
      </c>
      <c r="AQ60" s="9" t="s">
        <v>85</v>
      </c>
      <c r="AR60" s="9">
        <v>0.783546</v>
      </c>
      <c r="AS60" s="9" t="s">
        <v>85</v>
      </c>
      <c r="AT60" s="9" t="s">
        <v>85</v>
      </c>
      <c r="AU60" s="9">
        <v>0.826677</v>
      </c>
      <c r="AV60" s="9" t="s">
        <v>85</v>
      </c>
      <c r="AW60" s="9" t="s">
        <v>85</v>
      </c>
      <c r="AX60" s="9">
        <v>0.826677</v>
      </c>
      <c r="AY60" s="9" t="s">
        <v>85</v>
      </c>
      <c r="AZ60" s="9" t="s">
        <v>85</v>
      </c>
      <c r="BA60" s="9">
        <v>0.724441</v>
      </c>
      <c r="BB60" s="10" t="s">
        <v>85</v>
      </c>
      <c r="BC60" s="10" t="s">
        <v>85</v>
      </c>
      <c r="BD60" s="9">
        <v>0.807508</v>
      </c>
      <c r="BE60" s="9" t="s">
        <v>85</v>
      </c>
      <c r="BF60" s="9" t="s">
        <v>85</v>
      </c>
      <c r="BG60" s="9">
        <v>0.859425</v>
      </c>
      <c r="BH60" s="6"/>
      <c r="BI60" s="6" t="str">
        <f t="shared" si="1"/>
        <v>De_One_Acc</v>
      </c>
      <c r="BJ60" s="6" t="str">
        <f t="shared" si="2"/>
        <v>5V_One_Acc</v>
      </c>
      <c r="BK60" s="6" t="str">
        <f t="shared" si="3"/>
        <v>8V_One_Acc</v>
      </c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</row>
    <row r="61" ht="15.75" customHeight="1">
      <c r="A61" s="1" t="s">
        <v>155</v>
      </c>
      <c r="B61" s="17">
        <v>570.0</v>
      </c>
      <c r="C61" s="9" t="s">
        <v>85</v>
      </c>
      <c r="D61" s="9" t="s">
        <v>85</v>
      </c>
      <c r="E61" s="9">
        <v>0.4</v>
      </c>
      <c r="F61" s="9" t="s">
        <v>85</v>
      </c>
      <c r="G61" s="9" t="s">
        <v>85</v>
      </c>
      <c r="H61" s="9">
        <v>0.4</v>
      </c>
      <c r="I61" s="9" t="s">
        <v>85</v>
      </c>
      <c r="J61" s="9" t="s">
        <v>85</v>
      </c>
      <c r="K61" s="9">
        <v>0.4</v>
      </c>
      <c r="L61" s="9" t="s">
        <v>85</v>
      </c>
      <c r="M61" s="9" t="s">
        <v>85</v>
      </c>
      <c r="N61" s="9">
        <v>0.4</v>
      </c>
      <c r="O61" s="9" t="s">
        <v>85</v>
      </c>
      <c r="P61" s="9" t="s">
        <v>85</v>
      </c>
      <c r="Q61" s="9">
        <v>0.4</v>
      </c>
      <c r="R61" s="9" t="s">
        <v>85</v>
      </c>
      <c r="S61" s="9" t="s">
        <v>85</v>
      </c>
      <c r="T61" s="9">
        <v>0.4</v>
      </c>
      <c r="U61" s="9" t="s">
        <v>85</v>
      </c>
      <c r="V61" s="9" t="s">
        <v>85</v>
      </c>
      <c r="W61" s="9">
        <v>0.4</v>
      </c>
      <c r="X61" s="9" t="s">
        <v>85</v>
      </c>
      <c r="Y61" s="9" t="s">
        <v>85</v>
      </c>
      <c r="Z61" s="9">
        <v>0.4</v>
      </c>
      <c r="AA61" s="10" t="s">
        <v>85</v>
      </c>
      <c r="AB61" s="10" t="s">
        <v>85</v>
      </c>
      <c r="AC61" s="9">
        <v>0.4</v>
      </c>
      <c r="AD61" s="9" t="s">
        <v>85</v>
      </c>
      <c r="AE61" s="9" t="s">
        <v>85</v>
      </c>
      <c r="AF61" s="9">
        <v>0.4</v>
      </c>
      <c r="AG61" s="9" t="s">
        <v>85</v>
      </c>
      <c r="AH61" s="9" t="s">
        <v>85</v>
      </c>
      <c r="AI61" s="9">
        <v>0.4</v>
      </c>
      <c r="AJ61" s="9" t="s">
        <v>85</v>
      </c>
      <c r="AK61" s="9" t="s">
        <v>85</v>
      </c>
      <c r="AL61" s="9">
        <v>0.4</v>
      </c>
      <c r="AM61" s="9" t="s">
        <v>85</v>
      </c>
      <c r="AN61" s="9" t="s">
        <v>85</v>
      </c>
      <c r="AO61" s="9">
        <v>0.4</v>
      </c>
      <c r="AP61" s="9" t="s">
        <v>85</v>
      </c>
      <c r="AQ61" s="9" t="s">
        <v>85</v>
      </c>
      <c r="AR61" s="9">
        <v>0.5</v>
      </c>
      <c r="AS61" s="9" t="s">
        <v>85</v>
      </c>
      <c r="AT61" s="9" t="s">
        <v>85</v>
      </c>
      <c r="AU61" s="9">
        <v>0.3</v>
      </c>
      <c r="AV61" s="9" t="s">
        <v>85</v>
      </c>
      <c r="AW61" s="9" t="s">
        <v>85</v>
      </c>
      <c r="AX61" s="9">
        <v>0.4</v>
      </c>
      <c r="AY61" s="9" t="s">
        <v>85</v>
      </c>
      <c r="AZ61" s="9" t="s">
        <v>85</v>
      </c>
      <c r="BA61" s="9">
        <v>0.4</v>
      </c>
      <c r="BB61" s="10" t="s">
        <v>85</v>
      </c>
      <c r="BC61" s="10" t="s">
        <v>85</v>
      </c>
      <c r="BD61" s="9">
        <v>0.4</v>
      </c>
      <c r="BE61" s="9" t="s">
        <v>85</v>
      </c>
      <c r="BF61" s="9" t="s">
        <v>85</v>
      </c>
      <c r="BG61" s="9">
        <v>0.4</v>
      </c>
      <c r="BH61" s="6"/>
      <c r="BI61" s="6" t="str">
        <f t="shared" si="1"/>
        <v>12BN_One_Acc</v>
      </c>
      <c r="BJ61" s="6" t="str">
        <f t="shared" si="2"/>
        <v>5B_One_Acc</v>
      </c>
      <c r="BK61" s="6" t="str">
        <f t="shared" si="3"/>
        <v>5B_One_Acc</v>
      </c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</row>
    <row r="62" ht="15.75" customHeight="1">
      <c r="A62" s="1" t="s">
        <v>156</v>
      </c>
      <c r="B62" s="17">
        <v>427.0</v>
      </c>
      <c r="C62" s="9" t="s">
        <v>85</v>
      </c>
      <c r="D62" s="9" t="s">
        <v>85</v>
      </c>
      <c r="E62" s="9">
        <v>0.421488</v>
      </c>
      <c r="F62" s="9" t="s">
        <v>85</v>
      </c>
      <c r="G62" s="9" t="s">
        <v>85</v>
      </c>
      <c r="H62" s="9">
        <v>0.181818</v>
      </c>
      <c r="I62" s="9" t="s">
        <v>85</v>
      </c>
      <c r="J62" s="9" t="s">
        <v>85</v>
      </c>
      <c r="K62" s="9">
        <v>0.450413</v>
      </c>
      <c r="L62" s="9" t="s">
        <v>85</v>
      </c>
      <c r="M62" s="9" t="s">
        <v>85</v>
      </c>
      <c r="N62" s="9">
        <v>0.409091</v>
      </c>
      <c r="O62" s="9" t="s">
        <v>85</v>
      </c>
      <c r="P62" s="9" t="s">
        <v>85</v>
      </c>
      <c r="Q62" s="9">
        <v>0.404959</v>
      </c>
      <c r="R62" s="9" t="s">
        <v>85</v>
      </c>
      <c r="S62" s="9" t="s">
        <v>85</v>
      </c>
      <c r="T62" s="9">
        <v>0.404959</v>
      </c>
      <c r="U62" s="9" t="s">
        <v>85</v>
      </c>
      <c r="V62" s="9" t="s">
        <v>85</v>
      </c>
      <c r="W62" s="9">
        <v>0.46281</v>
      </c>
      <c r="X62" s="9" t="s">
        <v>85</v>
      </c>
      <c r="Y62" s="9" t="s">
        <v>85</v>
      </c>
      <c r="Z62" s="9">
        <v>0.454545</v>
      </c>
      <c r="AA62" s="10" t="s">
        <v>85</v>
      </c>
      <c r="AB62" s="10" t="s">
        <v>85</v>
      </c>
      <c r="AC62" s="9">
        <v>0.495868</v>
      </c>
      <c r="AD62" s="9" t="s">
        <v>85</v>
      </c>
      <c r="AE62" s="9" t="s">
        <v>85</v>
      </c>
      <c r="AF62" s="9">
        <v>0.487603</v>
      </c>
      <c r="AG62" s="9" t="s">
        <v>85</v>
      </c>
      <c r="AH62" s="9" t="s">
        <v>85</v>
      </c>
      <c r="AI62" s="9">
        <v>0.5</v>
      </c>
      <c r="AJ62" s="9" t="s">
        <v>85</v>
      </c>
      <c r="AK62" s="9" t="s">
        <v>85</v>
      </c>
      <c r="AL62" s="9">
        <v>0.454545</v>
      </c>
      <c r="AM62" s="9" t="s">
        <v>85</v>
      </c>
      <c r="AN62" s="9" t="s">
        <v>85</v>
      </c>
      <c r="AO62" s="9">
        <v>0.508264</v>
      </c>
      <c r="AP62" s="9" t="s">
        <v>85</v>
      </c>
      <c r="AQ62" s="9" t="s">
        <v>85</v>
      </c>
      <c r="AR62" s="9">
        <v>0.5</v>
      </c>
      <c r="AS62" s="9" t="s">
        <v>85</v>
      </c>
      <c r="AT62" s="9" t="s">
        <v>85</v>
      </c>
      <c r="AU62" s="9">
        <v>0.479339</v>
      </c>
      <c r="AV62" s="9" t="s">
        <v>85</v>
      </c>
      <c r="AW62" s="9" t="s">
        <v>85</v>
      </c>
      <c r="AX62" s="9">
        <v>0.479339</v>
      </c>
      <c r="AY62" s="9" t="s">
        <v>85</v>
      </c>
      <c r="AZ62" s="9" t="s">
        <v>85</v>
      </c>
      <c r="BA62" s="9">
        <v>0.479339</v>
      </c>
      <c r="BB62" s="10" t="s">
        <v>85</v>
      </c>
      <c r="BC62" s="10" t="s">
        <v>85</v>
      </c>
      <c r="BD62" s="9">
        <v>0.495868</v>
      </c>
      <c r="BE62" s="9" t="s">
        <v>85</v>
      </c>
      <c r="BF62" s="9" t="s">
        <v>85</v>
      </c>
      <c r="BG62" s="9">
        <v>0.347107</v>
      </c>
      <c r="BH62" s="6"/>
      <c r="BI62" s="6" t="str">
        <f t="shared" si="1"/>
        <v>12B_One_Acc</v>
      </c>
      <c r="BJ62" s="6" t="str">
        <f t="shared" si="2"/>
        <v>10V_One_Acc</v>
      </c>
      <c r="BK62" s="6" t="str">
        <f t="shared" si="3"/>
        <v>10V_One_Acc</v>
      </c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</row>
    <row r="63" ht="15.75" customHeight="1">
      <c r="A63" s="1" t="s">
        <v>157</v>
      </c>
      <c r="B63" s="17">
        <v>80.0</v>
      </c>
      <c r="C63" s="9" t="s">
        <v>85</v>
      </c>
      <c r="D63" s="9" t="s">
        <v>85</v>
      </c>
      <c r="E63" s="9">
        <v>0.744755</v>
      </c>
      <c r="F63" s="9" t="s">
        <v>85</v>
      </c>
      <c r="G63" s="9" t="s">
        <v>85</v>
      </c>
      <c r="H63" s="9">
        <v>0.613054</v>
      </c>
      <c r="I63" s="9" t="s">
        <v>85</v>
      </c>
      <c r="J63" s="9" t="s">
        <v>85</v>
      </c>
      <c r="K63" s="9">
        <v>0.791375</v>
      </c>
      <c r="L63" s="9" t="s">
        <v>85</v>
      </c>
      <c r="M63" s="9" t="s">
        <v>85</v>
      </c>
      <c r="N63" s="9">
        <v>0.749417</v>
      </c>
      <c r="O63" s="9" t="s">
        <v>85</v>
      </c>
      <c r="P63" s="9" t="s">
        <v>85</v>
      </c>
      <c r="Q63" s="9">
        <v>0.731935</v>
      </c>
      <c r="R63" s="9" t="s">
        <v>85</v>
      </c>
      <c r="S63" s="9" t="s">
        <v>85</v>
      </c>
      <c r="T63" s="9">
        <v>0.713287</v>
      </c>
      <c r="U63" s="9" t="s">
        <v>85</v>
      </c>
      <c r="V63" s="9" t="s">
        <v>85</v>
      </c>
      <c r="W63" s="9">
        <v>0.763403</v>
      </c>
      <c r="X63" s="9" t="s">
        <v>85</v>
      </c>
      <c r="Y63" s="9" t="s">
        <v>85</v>
      </c>
      <c r="Z63" s="9">
        <v>0.758741</v>
      </c>
      <c r="AA63" s="10" t="s">
        <v>85</v>
      </c>
      <c r="AB63" s="10" t="s">
        <v>85</v>
      </c>
      <c r="AC63" s="9">
        <v>0.740093</v>
      </c>
      <c r="AD63" s="9" t="s">
        <v>85</v>
      </c>
      <c r="AE63" s="9" t="s">
        <v>85</v>
      </c>
      <c r="AF63" s="9">
        <v>0.761072</v>
      </c>
      <c r="AG63" s="9" t="s">
        <v>85</v>
      </c>
      <c r="AH63" s="9" t="s">
        <v>85</v>
      </c>
      <c r="AI63" s="9">
        <v>0.754079</v>
      </c>
      <c r="AJ63" s="9" t="s">
        <v>85</v>
      </c>
      <c r="AK63" s="9" t="s">
        <v>85</v>
      </c>
      <c r="AL63" s="9">
        <v>0.772727</v>
      </c>
      <c r="AM63" s="9" t="s">
        <v>85</v>
      </c>
      <c r="AN63" s="9" t="s">
        <v>85</v>
      </c>
      <c r="AO63" s="9">
        <v>0.750583</v>
      </c>
      <c r="AP63" s="9" t="s">
        <v>85</v>
      </c>
      <c r="AQ63" s="9" t="s">
        <v>85</v>
      </c>
      <c r="AR63" s="9">
        <v>0.729604</v>
      </c>
      <c r="AS63" s="9" t="s">
        <v>85</v>
      </c>
      <c r="AT63" s="9" t="s">
        <v>85</v>
      </c>
      <c r="AU63" s="9">
        <v>0.789044</v>
      </c>
      <c r="AV63" s="9" t="s">
        <v>85</v>
      </c>
      <c r="AW63" s="9" t="s">
        <v>85</v>
      </c>
      <c r="AX63" s="9">
        <v>0.765734</v>
      </c>
      <c r="AY63" s="9" t="s">
        <v>85</v>
      </c>
      <c r="AZ63" s="9" t="s">
        <v>85</v>
      </c>
      <c r="BA63" s="9">
        <v>0.75641</v>
      </c>
      <c r="BB63" s="10" t="s">
        <v>85</v>
      </c>
      <c r="BC63" s="10" t="s">
        <v>85</v>
      </c>
      <c r="BD63" s="9">
        <v>0.763403</v>
      </c>
      <c r="BE63" s="9" t="s">
        <v>85</v>
      </c>
      <c r="BF63" s="9" t="s">
        <v>85</v>
      </c>
      <c r="BG63" s="9">
        <v>0.666667</v>
      </c>
      <c r="BH63" s="6"/>
      <c r="BI63" s="6" t="str">
        <f t="shared" si="1"/>
        <v>5V_One_Acc</v>
      </c>
      <c r="BJ63" s="6" t="str">
        <f t="shared" si="2"/>
        <v>12V_One_Acc</v>
      </c>
      <c r="BK63" s="6" t="str">
        <f t="shared" si="3"/>
        <v>10VB_One_Acc</v>
      </c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</row>
    <row r="64" ht="15.75" customHeight="1">
      <c r="A64" s="1" t="s">
        <v>158</v>
      </c>
      <c r="B64" s="17">
        <v>1024.0</v>
      </c>
      <c r="C64" s="9" t="s">
        <v>85</v>
      </c>
      <c r="D64" s="9" t="s">
        <v>85</v>
      </c>
      <c r="E64" s="9">
        <v>0.141878</v>
      </c>
      <c r="F64" s="9" t="s">
        <v>85</v>
      </c>
      <c r="G64" s="9" t="s">
        <v>85</v>
      </c>
      <c r="H64" s="9">
        <v>0.068565</v>
      </c>
      <c r="I64" s="9" t="s">
        <v>85</v>
      </c>
      <c r="J64" s="9" t="s">
        <v>85</v>
      </c>
      <c r="K64" s="9">
        <v>0.160338</v>
      </c>
      <c r="L64" s="9" t="s">
        <v>85</v>
      </c>
      <c r="M64" s="9" t="s">
        <v>85</v>
      </c>
      <c r="N64" s="9">
        <v>0.1577</v>
      </c>
      <c r="O64" s="9" t="s">
        <v>85</v>
      </c>
      <c r="P64" s="9" t="s">
        <v>85</v>
      </c>
      <c r="Q64" s="9">
        <v>0.144515</v>
      </c>
      <c r="R64" s="9" t="s">
        <v>85</v>
      </c>
      <c r="S64" s="9" t="s">
        <v>85</v>
      </c>
      <c r="T64" s="9">
        <v>0.159283</v>
      </c>
      <c r="U64" s="9" t="s">
        <v>85</v>
      </c>
      <c r="V64" s="9" t="s">
        <v>85</v>
      </c>
      <c r="W64" s="9">
        <v>0.165084</v>
      </c>
      <c r="X64" s="9" t="s">
        <v>85</v>
      </c>
      <c r="Y64" s="9" t="s">
        <v>85</v>
      </c>
      <c r="Z64" s="9">
        <v>0.145042</v>
      </c>
      <c r="AA64" s="10" t="s">
        <v>85</v>
      </c>
      <c r="AB64" s="10" t="s">
        <v>85</v>
      </c>
      <c r="AC64" s="9">
        <v>0.144515</v>
      </c>
      <c r="AD64" s="9" t="s">
        <v>85</v>
      </c>
      <c r="AE64" s="9" t="s">
        <v>85</v>
      </c>
      <c r="AF64" s="9">
        <v>0.142405</v>
      </c>
      <c r="AG64" s="9" t="s">
        <v>85</v>
      </c>
      <c r="AH64" s="9" t="s">
        <v>85</v>
      </c>
      <c r="AI64" s="9">
        <v>0.159283</v>
      </c>
      <c r="AJ64" s="9" t="s">
        <v>85</v>
      </c>
      <c r="AK64" s="9" t="s">
        <v>85</v>
      </c>
      <c r="AL64" s="9">
        <v>0.112869</v>
      </c>
      <c r="AM64" s="9" t="s">
        <v>85</v>
      </c>
      <c r="AN64" s="9" t="s">
        <v>85</v>
      </c>
      <c r="AO64" s="9">
        <v>0.151899</v>
      </c>
      <c r="AP64" s="9" t="s">
        <v>85</v>
      </c>
      <c r="AQ64" s="9" t="s">
        <v>85</v>
      </c>
      <c r="AR64" s="9">
        <v>0.158755</v>
      </c>
      <c r="AS64" s="9" t="s">
        <v>85</v>
      </c>
      <c r="AT64" s="9" t="s">
        <v>85</v>
      </c>
      <c r="AU64" s="9">
        <v>0.150844</v>
      </c>
      <c r="AV64" s="9" t="s">
        <v>85</v>
      </c>
      <c r="AW64" s="9" t="s">
        <v>85</v>
      </c>
      <c r="AX64" s="9">
        <v>0.162447</v>
      </c>
      <c r="AY64" s="9" t="s">
        <v>85</v>
      </c>
      <c r="AZ64" s="9" t="s">
        <v>85</v>
      </c>
      <c r="BA64" s="9">
        <v>0.112869</v>
      </c>
      <c r="BB64" s="10" t="s">
        <v>85</v>
      </c>
      <c r="BC64" s="10" t="s">
        <v>85</v>
      </c>
      <c r="BD64" s="9">
        <v>0.112869</v>
      </c>
      <c r="BE64" s="9" t="s">
        <v>85</v>
      </c>
      <c r="BF64" s="9" t="s">
        <v>85</v>
      </c>
      <c r="BG64" s="9">
        <v>0.112869</v>
      </c>
      <c r="BH64" s="6"/>
      <c r="BI64" s="6" t="str">
        <f t="shared" si="1"/>
        <v>8V_One_Acc</v>
      </c>
      <c r="BJ64" s="6" t="str">
        <f t="shared" si="2"/>
        <v>12VB_One_Acc</v>
      </c>
      <c r="BK64" s="6" t="str">
        <f t="shared" si="3"/>
        <v>5V_One_Acc</v>
      </c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</row>
    <row r="65" ht="15.75" customHeight="1">
      <c r="A65" s="1" t="s">
        <v>159</v>
      </c>
      <c r="B65" s="17">
        <v>2000.0</v>
      </c>
      <c r="C65" s="9" t="s">
        <v>85</v>
      </c>
      <c r="D65" s="9" t="s">
        <v>85</v>
      </c>
      <c r="E65" s="9">
        <v>0.125</v>
      </c>
      <c r="F65" s="9" t="s">
        <v>85</v>
      </c>
      <c r="G65" s="9" t="s">
        <v>85</v>
      </c>
      <c r="H65" s="9">
        <v>0.019231</v>
      </c>
      <c r="I65" s="9" t="s">
        <v>85</v>
      </c>
      <c r="J65" s="9" t="s">
        <v>85</v>
      </c>
      <c r="K65" s="9">
        <v>0.115385</v>
      </c>
      <c r="L65" s="9" t="s">
        <v>85</v>
      </c>
      <c r="M65" s="9" t="s">
        <v>85</v>
      </c>
      <c r="N65" s="9">
        <v>0.081731</v>
      </c>
      <c r="O65" s="9" t="s">
        <v>85</v>
      </c>
      <c r="P65" s="9" t="s">
        <v>85</v>
      </c>
      <c r="Q65" s="9">
        <v>0.100962</v>
      </c>
      <c r="R65" s="9" t="s">
        <v>85</v>
      </c>
      <c r="S65" s="9" t="s">
        <v>85</v>
      </c>
      <c r="T65" s="9">
        <v>0.067308</v>
      </c>
      <c r="U65" s="9" t="s">
        <v>85</v>
      </c>
      <c r="V65" s="9" t="s">
        <v>85</v>
      </c>
      <c r="W65" s="9">
        <v>0.0625</v>
      </c>
      <c r="X65" s="9" t="s">
        <v>85</v>
      </c>
      <c r="Y65" s="9" t="s">
        <v>85</v>
      </c>
      <c r="Z65" s="9">
        <v>0.0625</v>
      </c>
      <c r="AA65" s="10" t="s">
        <v>85</v>
      </c>
      <c r="AB65" s="10" t="s">
        <v>85</v>
      </c>
      <c r="AC65" s="9">
        <v>0.081731</v>
      </c>
      <c r="AD65" s="9" t="s">
        <v>85</v>
      </c>
      <c r="AE65" s="9" t="s">
        <v>85</v>
      </c>
      <c r="AF65" s="9">
        <v>0.072115</v>
      </c>
      <c r="AG65" s="9" t="s">
        <v>85</v>
      </c>
      <c r="AH65" s="9" t="s">
        <v>85</v>
      </c>
      <c r="AI65" s="9">
        <v>0.096154</v>
      </c>
      <c r="AJ65" s="9" t="s">
        <v>85</v>
      </c>
      <c r="AK65" s="9" t="s">
        <v>85</v>
      </c>
      <c r="AL65" s="9">
        <v>0.057692</v>
      </c>
      <c r="AM65" s="9" t="s">
        <v>85</v>
      </c>
      <c r="AN65" s="9" t="s">
        <v>85</v>
      </c>
      <c r="AO65" s="9">
        <v>0.072115</v>
      </c>
      <c r="AP65" s="9" t="s">
        <v>85</v>
      </c>
      <c r="AQ65" s="9" t="s">
        <v>85</v>
      </c>
      <c r="AR65" s="9">
        <v>0.076923</v>
      </c>
      <c r="AS65" s="9" t="s">
        <v>85</v>
      </c>
      <c r="AT65" s="9" t="s">
        <v>85</v>
      </c>
      <c r="AU65" s="9">
        <v>0.043269</v>
      </c>
      <c r="AV65" s="9" t="s">
        <v>85</v>
      </c>
      <c r="AW65" s="9" t="s">
        <v>85</v>
      </c>
      <c r="AX65" s="9">
        <v>0.043269</v>
      </c>
      <c r="AY65" s="9" t="s">
        <v>85</v>
      </c>
      <c r="AZ65" s="9" t="s">
        <v>85</v>
      </c>
      <c r="BA65" s="9">
        <v>0.076923</v>
      </c>
      <c r="BB65" s="10" t="s">
        <v>85</v>
      </c>
      <c r="BC65" s="10" t="s">
        <v>85</v>
      </c>
      <c r="BD65" s="9">
        <v>0.057692</v>
      </c>
      <c r="BE65" s="9" t="s">
        <v>85</v>
      </c>
      <c r="BF65" s="9" t="s">
        <v>85</v>
      </c>
      <c r="BG65" s="9">
        <v>0.038462</v>
      </c>
      <c r="BH65" s="6"/>
      <c r="BI65" s="6" t="str">
        <f t="shared" si="1"/>
        <v>5B_One_Acc</v>
      </c>
      <c r="BJ65" s="6" t="str">
        <f t="shared" si="2"/>
        <v>5V_One_Acc</v>
      </c>
      <c r="BK65" s="6" t="str">
        <f t="shared" si="3"/>
        <v>8B_One_Acc</v>
      </c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</row>
    <row r="66" ht="15.75" customHeight="1">
      <c r="A66" s="1" t="s">
        <v>160</v>
      </c>
      <c r="B66" s="17">
        <v>2000.0</v>
      </c>
      <c r="C66" s="9" t="s">
        <v>85</v>
      </c>
      <c r="D66" s="9" t="s">
        <v>85</v>
      </c>
      <c r="E66" s="9">
        <v>0.072115</v>
      </c>
      <c r="F66" s="9" t="s">
        <v>85</v>
      </c>
      <c r="G66" s="9" t="s">
        <v>85</v>
      </c>
      <c r="H66" s="9">
        <v>0.019231</v>
      </c>
      <c r="I66" s="9" t="s">
        <v>85</v>
      </c>
      <c r="J66" s="9" t="s">
        <v>85</v>
      </c>
      <c r="K66" s="9">
        <v>0.149038</v>
      </c>
      <c r="L66" s="9" t="s">
        <v>85</v>
      </c>
      <c r="M66" s="9" t="s">
        <v>85</v>
      </c>
      <c r="N66" s="9">
        <v>0.173077</v>
      </c>
      <c r="O66" s="9" t="s">
        <v>85</v>
      </c>
      <c r="P66" s="9" t="s">
        <v>85</v>
      </c>
      <c r="Q66" s="9">
        <v>0.043269</v>
      </c>
      <c r="R66" s="9" t="s">
        <v>85</v>
      </c>
      <c r="S66" s="9" t="s">
        <v>85</v>
      </c>
      <c r="T66" s="9">
        <v>0.072115</v>
      </c>
      <c r="U66" s="9" t="s">
        <v>85</v>
      </c>
      <c r="V66" s="9" t="s">
        <v>85</v>
      </c>
      <c r="W66" s="9">
        <v>0.125</v>
      </c>
      <c r="X66" s="9" t="s">
        <v>85</v>
      </c>
      <c r="Y66" s="9" t="s">
        <v>85</v>
      </c>
      <c r="Z66" s="9">
        <v>0.043269</v>
      </c>
      <c r="AA66" s="10" t="s">
        <v>85</v>
      </c>
      <c r="AB66" s="10" t="s">
        <v>85</v>
      </c>
      <c r="AC66" s="9">
        <v>0.038462</v>
      </c>
      <c r="AD66" s="9" t="s">
        <v>85</v>
      </c>
      <c r="AE66" s="9" t="s">
        <v>85</v>
      </c>
      <c r="AF66" s="9">
        <v>0.072115</v>
      </c>
      <c r="AG66" s="9" t="s">
        <v>85</v>
      </c>
      <c r="AH66" s="9" t="s">
        <v>85</v>
      </c>
      <c r="AI66" s="9">
        <v>0.096154</v>
      </c>
      <c r="AJ66" s="9" t="s">
        <v>85</v>
      </c>
      <c r="AK66" s="9" t="s">
        <v>85</v>
      </c>
      <c r="AL66" s="9">
        <v>0.019231</v>
      </c>
      <c r="AM66" s="9" t="s">
        <v>85</v>
      </c>
      <c r="AN66" s="9" t="s">
        <v>85</v>
      </c>
      <c r="AO66" s="9">
        <v>0.052885</v>
      </c>
      <c r="AP66" s="9" t="s">
        <v>85</v>
      </c>
      <c r="AQ66" s="9" t="s">
        <v>85</v>
      </c>
      <c r="AR66" s="9">
        <v>0.057692</v>
      </c>
      <c r="AS66" s="9" t="s">
        <v>85</v>
      </c>
      <c r="AT66" s="9" t="s">
        <v>85</v>
      </c>
      <c r="AU66" s="9">
        <v>0.043269</v>
      </c>
      <c r="AV66" s="9" t="s">
        <v>85</v>
      </c>
      <c r="AW66" s="9" t="s">
        <v>85</v>
      </c>
      <c r="AX66" s="9">
        <v>0.019231</v>
      </c>
      <c r="AY66" s="9" t="s">
        <v>85</v>
      </c>
      <c r="AZ66" s="9" t="s">
        <v>85</v>
      </c>
      <c r="BA66" s="9">
        <v>0.072115</v>
      </c>
      <c r="BB66" s="10" t="s">
        <v>85</v>
      </c>
      <c r="BC66" s="10" t="s">
        <v>85</v>
      </c>
      <c r="BD66" s="9">
        <v>0.024038</v>
      </c>
      <c r="BE66" s="9" t="s">
        <v>85</v>
      </c>
      <c r="BF66" s="9" t="s">
        <v>85</v>
      </c>
      <c r="BG66" s="9">
        <v>0.028846</v>
      </c>
      <c r="BH66" s="6"/>
      <c r="BI66" s="6" t="str">
        <f t="shared" si="1"/>
        <v>5VB_One_Acc</v>
      </c>
      <c r="BJ66" s="6" t="str">
        <f t="shared" si="2"/>
        <v>5V_One_Acc</v>
      </c>
      <c r="BK66" s="6" t="str">
        <f t="shared" si="3"/>
        <v>8V_One_Acc</v>
      </c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</row>
    <row r="67" ht="15.75" customHeight="1">
      <c r="A67" s="1" t="s">
        <v>161</v>
      </c>
      <c r="B67" s="17">
        <v>2000.0</v>
      </c>
      <c r="C67" s="9" t="s">
        <v>85</v>
      </c>
      <c r="D67" s="9" t="s">
        <v>85</v>
      </c>
      <c r="E67" s="9">
        <v>0.100962</v>
      </c>
      <c r="F67" s="9" t="s">
        <v>85</v>
      </c>
      <c r="G67" s="9" t="s">
        <v>85</v>
      </c>
      <c r="H67" s="9">
        <v>0.019231</v>
      </c>
      <c r="I67" s="9" t="s">
        <v>85</v>
      </c>
      <c r="J67" s="9" t="s">
        <v>85</v>
      </c>
      <c r="K67" s="9">
        <v>0.067308</v>
      </c>
      <c r="L67" s="9" t="s">
        <v>85</v>
      </c>
      <c r="M67" s="9" t="s">
        <v>85</v>
      </c>
      <c r="N67" s="9">
        <v>0.0625</v>
      </c>
      <c r="O67" s="9" t="s">
        <v>85</v>
      </c>
      <c r="P67" s="9" t="s">
        <v>85</v>
      </c>
      <c r="Q67" s="9">
        <v>0.057692</v>
      </c>
      <c r="R67" s="9" t="s">
        <v>85</v>
      </c>
      <c r="S67" s="9" t="s">
        <v>85</v>
      </c>
      <c r="T67" s="9">
        <v>0.028846</v>
      </c>
      <c r="U67" s="9" t="s">
        <v>85</v>
      </c>
      <c r="V67" s="9" t="s">
        <v>85</v>
      </c>
      <c r="W67" s="9">
        <v>0.067308</v>
      </c>
      <c r="X67" s="9" t="s">
        <v>85</v>
      </c>
      <c r="Y67" s="9" t="s">
        <v>85</v>
      </c>
      <c r="Z67" s="9">
        <v>0.043269</v>
      </c>
      <c r="AA67" s="10" t="s">
        <v>85</v>
      </c>
      <c r="AB67" s="10" t="s">
        <v>85</v>
      </c>
      <c r="AC67" s="9">
        <v>0.038462</v>
      </c>
      <c r="AD67" s="9" t="s">
        <v>85</v>
      </c>
      <c r="AE67" s="9" t="s">
        <v>85</v>
      </c>
      <c r="AF67" s="9">
        <v>0.052885</v>
      </c>
      <c r="AG67" s="9" t="s">
        <v>85</v>
      </c>
      <c r="AH67" s="9" t="s">
        <v>85</v>
      </c>
      <c r="AI67" s="9">
        <v>0.057692</v>
      </c>
      <c r="AJ67" s="9" t="s">
        <v>85</v>
      </c>
      <c r="AK67" s="9" t="s">
        <v>85</v>
      </c>
      <c r="AL67" s="9">
        <v>0.028846</v>
      </c>
      <c r="AM67" s="9" t="s">
        <v>85</v>
      </c>
      <c r="AN67" s="9" t="s">
        <v>85</v>
      </c>
      <c r="AO67" s="9">
        <v>0.038462</v>
      </c>
      <c r="AP67" s="9" t="s">
        <v>85</v>
      </c>
      <c r="AQ67" s="9" t="s">
        <v>85</v>
      </c>
      <c r="AR67" s="9">
        <v>0.057692</v>
      </c>
      <c r="AS67" s="9" t="s">
        <v>85</v>
      </c>
      <c r="AT67" s="9" t="s">
        <v>85</v>
      </c>
      <c r="AU67" s="9">
        <v>0.043269</v>
      </c>
      <c r="AV67" s="9" t="s">
        <v>85</v>
      </c>
      <c r="AW67" s="9" t="s">
        <v>85</v>
      </c>
      <c r="AX67" s="9">
        <v>0.028846</v>
      </c>
      <c r="AY67" s="9" t="s">
        <v>85</v>
      </c>
      <c r="AZ67" s="9" t="s">
        <v>85</v>
      </c>
      <c r="BA67" s="9">
        <v>0.076923</v>
      </c>
      <c r="BB67" s="10" t="s">
        <v>85</v>
      </c>
      <c r="BC67" s="10" t="s">
        <v>85</v>
      </c>
      <c r="BD67" s="9">
        <v>0.019231</v>
      </c>
      <c r="BE67" s="9" t="s">
        <v>85</v>
      </c>
      <c r="BF67" s="9" t="s">
        <v>85</v>
      </c>
      <c r="BG67" s="9">
        <v>0.033654</v>
      </c>
      <c r="BH67" s="6"/>
      <c r="BI67" s="6" t="str">
        <f t="shared" si="1"/>
        <v>5B_One_Acc</v>
      </c>
      <c r="BJ67" s="6" t="str">
        <f t="shared" si="2"/>
        <v>20B_One_Acc</v>
      </c>
      <c r="BK67" s="6" t="str">
        <f t="shared" si="3"/>
        <v>5V_One_Acc</v>
      </c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</row>
    <row r="68" ht="15.75" customHeight="1">
      <c r="A68" s="1" t="s">
        <v>162</v>
      </c>
      <c r="B68" s="17">
        <v>144.0</v>
      </c>
      <c r="C68" s="9" t="s">
        <v>85</v>
      </c>
      <c r="D68" s="9" t="s">
        <v>85</v>
      </c>
      <c r="E68" s="9">
        <v>0.971429</v>
      </c>
      <c r="F68" s="9" t="s">
        <v>85</v>
      </c>
      <c r="G68" s="9" t="s">
        <v>85</v>
      </c>
      <c r="H68" s="9">
        <v>0.095238</v>
      </c>
      <c r="I68" s="9" t="s">
        <v>85</v>
      </c>
      <c r="J68" s="9" t="s">
        <v>85</v>
      </c>
      <c r="K68" s="9">
        <v>0.990476</v>
      </c>
      <c r="L68" s="9" t="s">
        <v>85</v>
      </c>
      <c r="M68" s="9" t="s">
        <v>85</v>
      </c>
      <c r="N68" s="9">
        <v>0.990476</v>
      </c>
      <c r="O68" s="9" t="s">
        <v>85</v>
      </c>
      <c r="P68" s="9" t="s">
        <v>85</v>
      </c>
      <c r="Q68" s="9">
        <v>1.0</v>
      </c>
      <c r="R68" s="9" t="s">
        <v>85</v>
      </c>
      <c r="S68" s="9" t="s">
        <v>85</v>
      </c>
      <c r="T68" s="9">
        <v>1.0</v>
      </c>
      <c r="U68" s="9" t="s">
        <v>85</v>
      </c>
      <c r="V68" s="9" t="s">
        <v>85</v>
      </c>
      <c r="W68" s="9">
        <v>0.990476</v>
      </c>
      <c r="X68" s="9" t="s">
        <v>85</v>
      </c>
      <c r="Y68" s="9" t="s">
        <v>85</v>
      </c>
      <c r="Z68" s="9">
        <v>0.971429</v>
      </c>
      <c r="AA68" s="10" t="s">
        <v>85</v>
      </c>
      <c r="AB68" s="10" t="s">
        <v>85</v>
      </c>
      <c r="AC68" s="9">
        <v>1.0</v>
      </c>
      <c r="AD68" s="9" t="s">
        <v>85</v>
      </c>
      <c r="AE68" s="9" t="s">
        <v>85</v>
      </c>
      <c r="AF68" s="9">
        <v>0.990476</v>
      </c>
      <c r="AG68" s="9" t="s">
        <v>85</v>
      </c>
      <c r="AH68" s="9" t="s">
        <v>85</v>
      </c>
      <c r="AI68" s="9">
        <v>0.990476</v>
      </c>
      <c r="AJ68" s="9" t="s">
        <v>85</v>
      </c>
      <c r="AK68" s="9" t="s">
        <v>85</v>
      </c>
      <c r="AL68" s="9">
        <v>0.961905</v>
      </c>
      <c r="AM68" s="9" t="s">
        <v>85</v>
      </c>
      <c r="AN68" s="9" t="s">
        <v>85</v>
      </c>
      <c r="AO68" s="9">
        <v>0.933333</v>
      </c>
      <c r="AP68" s="9" t="s">
        <v>85</v>
      </c>
      <c r="AQ68" s="9" t="s">
        <v>85</v>
      </c>
      <c r="AR68" s="9">
        <v>1.0</v>
      </c>
      <c r="AS68" s="9" t="s">
        <v>85</v>
      </c>
      <c r="AT68" s="9" t="s">
        <v>85</v>
      </c>
      <c r="AU68" s="9">
        <v>0.990476</v>
      </c>
      <c r="AV68" s="9" t="s">
        <v>85</v>
      </c>
      <c r="AW68" s="9" t="s">
        <v>85</v>
      </c>
      <c r="AX68" s="9">
        <v>0.980952</v>
      </c>
      <c r="AY68" s="9" t="s">
        <v>85</v>
      </c>
      <c r="AZ68" s="9" t="s">
        <v>85</v>
      </c>
      <c r="BA68" s="9">
        <v>1.0</v>
      </c>
      <c r="BB68" s="10" t="s">
        <v>85</v>
      </c>
      <c r="BC68" s="10" t="s">
        <v>85</v>
      </c>
      <c r="BD68" s="9">
        <v>0.990476</v>
      </c>
      <c r="BE68" s="9" t="s">
        <v>85</v>
      </c>
      <c r="BF68" s="9" t="s">
        <v>85</v>
      </c>
      <c r="BG68" s="9">
        <v>0.971429</v>
      </c>
      <c r="BH68" s="6"/>
      <c r="BI68" s="6" t="str">
        <f t="shared" si="1"/>
        <v>8B_One_Acc</v>
      </c>
      <c r="BJ68" s="6" t="str">
        <f t="shared" si="2"/>
        <v>8B_One_Acc</v>
      </c>
      <c r="BK68" s="6" t="str">
        <f t="shared" si="3"/>
        <v>8B_One_Acc</v>
      </c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</row>
    <row r="69" ht="15.75" customHeight="1">
      <c r="A69" s="1" t="s">
        <v>163</v>
      </c>
      <c r="B69" s="17">
        <v>80.0</v>
      </c>
      <c r="C69" s="9" t="s">
        <v>85</v>
      </c>
      <c r="D69" s="9" t="s">
        <v>85</v>
      </c>
      <c r="E69" s="9">
        <v>0.834146</v>
      </c>
      <c r="F69" s="9" t="s">
        <v>85</v>
      </c>
      <c r="G69" s="9" t="s">
        <v>85</v>
      </c>
      <c r="H69" s="9">
        <v>0.487805</v>
      </c>
      <c r="I69" s="9" t="s">
        <v>85</v>
      </c>
      <c r="J69" s="9" t="s">
        <v>85</v>
      </c>
      <c r="K69" s="9">
        <v>0.868293</v>
      </c>
      <c r="L69" s="9" t="s">
        <v>85</v>
      </c>
      <c r="M69" s="9" t="s">
        <v>85</v>
      </c>
      <c r="N69" s="9">
        <v>0.839024</v>
      </c>
      <c r="O69" s="9" t="s">
        <v>85</v>
      </c>
      <c r="P69" s="9" t="s">
        <v>85</v>
      </c>
      <c r="Q69" s="9">
        <v>0.809756</v>
      </c>
      <c r="R69" s="9" t="s">
        <v>85</v>
      </c>
      <c r="S69" s="9" t="s">
        <v>85</v>
      </c>
      <c r="T69" s="9">
        <v>0.809756</v>
      </c>
      <c r="U69" s="9" t="s">
        <v>85</v>
      </c>
      <c r="V69" s="9" t="s">
        <v>85</v>
      </c>
      <c r="W69" s="9">
        <v>0.848781</v>
      </c>
      <c r="X69" s="9" t="s">
        <v>85</v>
      </c>
      <c r="Y69" s="9" t="s">
        <v>85</v>
      </c>
      <c r="Z69" s="9">
        <v>0.848781</v>
      </c>
      <c r="AA69" s="10" t="s">
        <v>85</v>
      </c>
      <c r="AB69" s="10" t="s">
        <v>85</v>
      </c>
      <c r="AC69" s="9">
        <v>0.829268</v>
      </c>
      <c r="AD69" s="9" t="s">
        <v>85</v>
      </c>
      <c r="AE69" s="9" t="s">
        <v>85</v>
      </c>
      <c r="AF69" s="9">
        <v>0.82439</v>
      </c>
      <c r="AG69" s="9" t="s">
        <v>85</v>
      </c>
      <c r="AH69" s="9" t="s">
        <v>85</v>
      </c>
      <c r="AI69" s="9">
        <v>0.843902</v>
      </c>
      <c r="AJ69" s="9" t="s">
        <v>85</v>
      </c>
      <c r="AK69" s="9" t="s">
        <v>85</v>
      </c>
      <c r="AL69" s="9">
        <v>0.843902</v>
      </c>
      <c r="AM69" s="9" t="s">
        <v>85</v>
      </c>
      <c r="AN69" s="9" t="s">
        <v>85</v>
      </c>
      <c r="AO69" s="9">
        <v>0.848781</v>
      </c>
      <c r="AP69" s="9" t="s">
        <v>85</v>
      </c>
      <c r="AQ69" s="9" t="s">
        <v>85</v>
      </c>
      <c r="AR69" s="9">
        <v>0.82439</v>
      </c>
      <c r="AS69" s="9" t="s">
        <v>85</v>
      </c>
      <c r="AT69" s="9" t="s">
        <v>85</v>
      </c>
      <c r="AU69" s="9">
        <v>0.834146</v>
      </c>
      <c r="AV69" s="9" t="s">
        <v>85</v>
      </c>
      <c r="AW69" s="9" t="s">
        <v>85</v>
      </c>
      <c r="AX69" s="9">
        <v>0.848781</v>
      </c>
      <c r="AY69" s="9" t="s">
        <v>85</v>
      </c>
      <c r="AZ69" s="9" t="s">
        <v>85</v>
      </c>
      <c r="BA69" s="9">
        <v>0.839024</v>
      </c>
      <c r="BB69" s="10" t="s">
        <v>85</v>
      </c>
      <c r="BC69" s="10" t="s">
        <v>85</v>
      </c>
      <c r="BD69" s="9">
        <v>0.843902</v>
      </c>
      <c r="BE69" s="9" t="s">
        <v>85</v>
      </c>
      <c r="BF69" s="9" t="s">
        <v>85</v>
      </c>
      <c r="BG69" s="9">
        <v>0.839024</v>
      </c>
      <c r="BH69" s="6"/>
      <c r="BI69" s="6" t="str">
        <f t="shared" si="1"/>
        <v>5V_One_Acc</v>
      </c>
      <c r="BJ69" s="6" t="str">
        <f t="shared" si="2"/>
        <v>8V_One_Acc</v>
      </c>
      <c r="BK69" s="6" t="str">
        <f t="shared" si="3"/>
        <v>8V_One_Acc</v>
      </c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</row>
    <row r="70" ht="15.75" customHeight="1">
      <c r="A70" s="1" t="s">
        <v>164</v>
      </c>
      <c r="B70" s="17">
        <v>80.0</v>
      </c>
      <c r="C70" s="9" t="s">
        <v>85</v>
      </c>
      <c r="D70" s="9" t="s">
        <v>85</v>
      </c>
      <c r="E70" s="9">
        <v>0.797251</v>
      </c>
      <c r="F70" s="9" t="s">
        <v>85</v>
      </c>
      <c r="G70" s="9" t="s">
        <v>85</v>
      </c>
      <c r="H70" s="9">
        <v>0.683849</v>
      </c>
      <c r="I70" s="9" t="s">
        <v>85</v>
      </c>
      <c r="J70" s="9" t="s">
        <v>85</v>
      </c>
      <c r="K70" s="9">
        <v>0.862543</v>
      </c>
      <c r="L70" s="9" t="s">
        <v>85</v>
      </c>
      <c r="M70" s="9" t="s">
        <v>85</v>
      </c>
      <c r="N70" s="9">
        <v>0.848797</v>
      </c>
      <c r="O70" s="9" t="s">
        <v>85</v>
      </c>
      <c r="P70" s="9" t="s">
        <v>85</v>
      </c>
      <c r="Q70" s="9">
        <v>0.821306</v>
      </c>
      <c r="R70" s="9" t="s">
        <v>85</v>
      </c>
      <c r="S70" s="9" t="s">
        <v>85</v>
      </c>
      <c r="T70" s="9">
        <v>0.814433</v>
      </c>
      <c r="U70" s="9" t="s">
        <v>85</v>
      </c>
      <c r="V70" s="9" t="s">
        <v>85</v>
      </c>
      <c r="W70" s="9">
        <v>0.828179</v>
      </c>
      <c r="X70" s="9" t="s">
        <v>85</v>
      </c>
      <c r="Y70" s="9" t="s">
        <v>85</v>
      </c>
      <c r="Z70" s="9">
        <v>0.821306</v>
      </c>
      <c r="AA70" s="10" t="s">
        <v>85</v>
      </c>
      <c r="AB70" s="10" t="s">
        <v>85</v>
      </c>
      <c r="AC70" s="9">
        <v>0.793814</v>
      </c>
      <c r="AD70" s="9" t="s">
        <v>85</v>
      </c>
      <c r="AE70" s="9" t="s">
        <v>85</v>
      </c>
      <c r="AF70" s="9">
        <v>0.793814</v>
      </c>
      <c r="AG70" s="9" t="s">
        <v>85</v>
      </c>
      <c r="AH70" s="9" t="s">
        <v>85</v>
      </c>
      <c r="AI70" s="9">
        <v>0.821306</v>
      </c>
      <c r="AJ70" s="9" t="s">
        <v>85</v>
      </c>
      <c r="AK70" s="9" t="s">
        <v>85</v>
      </c>
      <c r="AL70" s="9">
        <v>0.845361</v>
      </c>
      <c r="AM70" s="9" t="s">
        <v>85</v>
      </c>
      <c r="AN70" s="9" t="s">
        <v>85</v>
      </c>
      <c r="AO70" s="9">
        <v>0.845361</v>
      </c>
      <c r="AP70" s="9" t="s">
        <v>85</v>
      </c>
      <c r="AQ70" s="9" t="s">
        <v>85</v>
      </c>
      <c r="AR70" s="9">
        <v>0.848797</v>
      </c>
      <c r="AS70" s="9" t="s">
        <v>85</v>
      </c>
      <c r="AT70" s="9" t="s">
        <v>85</v>
      </c>
      <c r="AU70" s="9">
        <v>0.848797</v>
      </c>
      <c r="AV70" s="9" t="s">
        <v>85</v>
      </c>
      <c r="AW70" s="9" t="s">
        <v>85</v>
      </c>
      <c r="AX70" s="9">
        <v>0.862543</v>
      </c>
      <c r="AY70" s="9" t="s">
        <v>85</v>
      </c>
      <c r="AZ70" s="9" t="s">
        <v>85</v>
      </c>
      <c r="BA70" s="9">
        <v>0.841924</v>
      </c>
      <c r="BB70" s="10" t="s">
        <v>85</v>
      </c>
      <c r="BC70" s="10" t="s">
        <v>85</v>
      </c>
      <c r="BD70" s="9">
        <v>0.80756</v>
      </c>
      <c r="BE70" s="9" t="s">
        <v>85</v>
      </c>
      <c r="BF70" s="9" t="s">
        <v>85</v>
      </c>
      <c r="BG70" s="9">
        <v>0.793814</v>
      </c>
      <c r="BH70" s="6"/>
      <c r="BI70" s="6" t="str">
        <f t="shared" si="1"/>
        <v>5V_One_Acc</v>
      </c>
      <c r="BJ70" s="6" t="str">
        <f t="shared" si="2"/>
        <v>5V_One_Acc</v>
      </c>
      <c r="BK70" s="6" t="str">
        <f t="shared" si="3"/>
        <v>5VB_One_Acc</v>
      </c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</row>
    <row r="71" ht="15.75" customHeight="1">
      <c r="A71" s="1" t="s">
        <v>165</v>
      </c>
      <c r="B71" s="17">
        <v>80.0</v>
      </c>
      <c r="C71" s="9" t="s">
        <v>85</v>
      </c>
      <c r="D71" s="9" t="s">
        <v>85</v>
      </c>
      <c r="E71" s="9">
        <v>0.760976</v>
      </c>
      <c r="F71" s="9" t="s">
        <v>85</v>
      </c>
      <c r="G71" s="9" t="s">
        <v>85</v>
      </c>
      <c r="H71" s="9">
        <v>0.35122</v>
      </c>
      <c r="I71" s="9" t="s">
        <v>85</v>
      </c>
      <c r="J71" s="9" t="s">
        <v>85</v>
      </c>
      <c r="K71" s="9">
        <v>0.795122</v>
      </c>
      <c r="L71" s="9" t="s">
        <v>85</v>
      </c>
      <c r="M71" s="9" t="s">
        <v>85</v>
      </c>
      <c r="N71" s="9">
        <v>0.8</v>
      </c>
      <c r="O71" s="9" t="s">
        <v>85</v>
      </c>
      <c r="P71" s="9" t="s">
        <v>85</v>
      </c>
      <c r="Q71" s="9">
        <v>0.765854</v>
      </c>
      <c r="R71" s="9" t="s">
        <v>85</v>
      </c>
      <c r="S71" s="9" t="s">
        <v>85</v>
      </c>
      <c r="T71" s="9">
        <v>0.770732</v>
      </c>
      <c r="U71" s="9" t="s">
        <v>85</v>
      </c>
      <c r="V71" s="9" t="s">
        <v>85</v>
      </c>
      <c r="W71" s="9">
        <v>0.804878</v>
      </c>
      <c r="X71" s="9" t="s">
        <v>85</v>
      </c>
      <c r="Y71" s="9" t="s">
        <v>85</v>
      </c>
      <c r="Z71" s="9">
        <v>0.809756</v>
      </c>
      <c r="AA71" s="10" t="s">
        <v>85</v>
      </c>
      <c r="AB71" s="10" t="s">
        <v>85</v>
      </c>
      <c r="AC71" s="9">
        <v>0.760976</v>
      </c>
      <c r="AD71" s="9" t="s">
        <v>85</v>
      </c>
      <c r="AE71" s="9" t="s">
        <v>85</v>
      </c>
      <c r="AF71" s="9">
        <v>0.765854</v>
      </c>
      <c r="AG71" s="9" t="s">
        <v>85</v>
      </c>
      <c r="AH71" s="9" t="s">
        <v>85</v>
      </c>
      <c r="AI71" s="9">
        <v>0.765854</v>
      </c>
      <c r="AJ71" s="9" t="s">
        <v>85</v>
      </c>
      <c r="AK71" s="9" t="s">
        <v>85</v>
      </c>
      <c r="AL71" s="9">
        <v>0.780488</v>
      </c>
      <c r="AM71" s="9" t="s">
        <v>85</v>
      </c>
      <c r="AN71" s="9" t="s">
        <v>85</v>
      </c>
      <c r="AO71" s="9">
        <v>0.77561</v>
      </c>
      <c r="AP71" s="9" t="s">
        <v>85</v>
      </c>
      <c r="AQ71" s="9" t="s">
        <v>85</v>
      </c>
      <c r="AR71" s="9">
        <v>0.770732</v>
      </c>
      <c r="AS71" s="9" t="s">
        <v>85</v>
      </c>
      <c r="AT71" s="9" t="s">
        <v>85</v>
      </c>
      <c r="AU71" s="9">
        <v>0.785366</v>
      </c>
      <c r="AV71" s="9" t="s">
        <v>85</v>
      </c>
      <c r="AW71" s="9" t="s">
        <v>85</v>
      </c>
      <c r="AX71" s="9">
        <v>0.678049</v>
      </c>
      <c r="AY71" s="9" t="s">
        <v>85</v>
      </c>
      <c r="AZ71" s="9" t="s">
        <v>85</v>
      </c>
      <c r="BA71" s="9">
        <v>0.77561</v>
      </c>
      <c r="BB71" s="10" t="s">
        <v>85</v>
      </c>
      <c r="BC71" s="10" t="s">
        <v>85</v>
      </c>
      <c r="BD71" s="9">
        <v>0.795122</v>
      </c>
      <c r="BE71" s="9" t="s">
        <v>85</v>
      </c>
      <c r="BF71" s="9" t="s">
        <v>85</v>
      </c>
      <c r="BG71" s="9">
        <v>0.804878</v>
      </c>
      <c r="BH71" s="6"/>
      <c r="BI71" s="6" t="str">
        <f t="shared" si="1"/>
        <v>8VB_One_Acc</v>
      </c>
      <c r="BJ71" s="6" t="str">
        <f t="shared" si="2"/>
        <v>8V_One_Acc</v>
      </c>
      <c r="BK71" s="6" t="str">
        <f t="shared" si="3"/>
        <v>8V_One_Acc</v>
      </c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</row>
    <row r="72" ht="15.75" customHeight="1">
      <c r="A72" s="1" t="s">
        <v>166</v>
      </c>
      <c r="B72" s="17">
        <v>2844.0</v>
      </c>
      <c r="C72" s="9" t="s">
        <v>85</v>
      </c>
      <c r="D72" s="9" t="s">
        <v>85</v>
      </c>
      <c r="E72" s="9">
        <v>0.6</v>
      </c>
      <c r="F72" s="9" t="s">
        <v>85</v>
      </c>
      <c r="G72" s="9" t="s">
        <v>85</v>
      </c>
      <c r="H72" s="9">
        <v>0.12</v>
      </c>
      <c r="I72" s="9" t="s">
        <v>85</v>
      </c>
      <c r="J72" s="9" t="s">
        <v>85</v>
      </c>
      <c r="K72" s="9">
        <v>0.6</v>
      </c>
      <c r="L72" s="9" t="s">
        <v>85</v>
      </c>
      <c r="M72" s="9" t="s">
        <v>85</v>
      </c>
      <c r="N72" s="9">
        <v>0.54</v>
      </c>
      <c r="O72" s="9" t="s">
        <v>85</v>
      </c>
      <c r="P72" s="9" t="s">
        <v>85</v>
      </c>
      <c r="Q72" s="9">
        <v>0.64</v>
      </c>
      <c r="R72" s="9" t="s">
        <v>85</v>
      </c>
      <c r="S72" s="9" t="s">
        <v>85</v>
      </c>
      <c r="T72" s="9">
        <v>0.525333</v>
      </c>
      <c r="U72" s="9" t="s">
        <v>85</v>
      </c>
      <c r="V72" s="9" t="s">
        <v>85</v>
      </c>
      <c r="W72" s="9">
        <v>0.56</v>
      </c>
      <c r="X72" s="9" t="s">
        <v>85</v>
      </c>
      <c r="Y72" s="9" t="s">
        <v>85</v>
      </c>
      <c r="Z72" s="9">
        <v>0.58</v>
      </c>
      <c r="AA72" s="10" t="s">
        <v>85</v>
      </c>
      <c r="AB72" s="10" t="s">
        <v>85</v>
      </c>
      <c r="AC72" s="9">
        <v>0.68</v>
      </c>
      <c r="AD72" s="9" t="s">
        <v>85</v>
      </c>
      <c r="AE72" s="9" t="s">
        <v>85</v>
      </c>
      <c r="AF72" s="9">
        <v>0.6</v>
      </c>
      <c r="AG72" s="9" t="s">
        <v>85</v>
      </c>
      <c r="AH72" s="9" t="s">
        <v>85</v>
      </c>
      <c r="AI72" s="9">
        <v>0.66</v>
      </c>
      <c r="AJ72" s="9" t="s">
        <v>85</v>
      </c>
      <c r="AK72" s="9" t="s">
        <v>85</v>
      </c>
      <c r="AL72" s="9">
        <v>0.68</v>
      </c>
      <c r="AM72" s="9" t="s">
        <v>85</v>
      </c>
      <c r="AN72" s="9" t="s">
        <v>85</v>
      </c>
      <c r="AO72" s="9">
        <v>0.64</v>
      </c>
      <c r="AP72" s="9" t="s">
        <v>85</v>
      </c>
      <c r="AQ72" s="9" t="s">
        <v>85</v>
      </c>
      <c r="AR72" s="9">
        <v>0.62</v>
      </c>
      <c r="AS72" s="9" t="s">
        <v>85</v>
      </c>
      <c r="AT72" s="9" t="s">
        <v>85</v>
      </c>
      <c r="AU72" s="9">
        <v>0.66</v>
      </c>
      <c r="AV72" s="9" t="s">
        <v>85</v>
      </c>
      <c r="AW72" s="9" t="s">
        <v>85</v>
      </c>
      <c r="AX72" s="9">
        <v>0.66</v>
      </c>
      <c r="AY72" s="9" t="s">
        <v>85</v>
      </c>
      <c r="AZ72" s="9" t="s">
        <v>85</v>
      </c>
      <c r="BA72" s="9">
        <v>0.62</v>
      </c>
      <c r="BB72" s="10" t="s">
        <v>85</v>
      </c>
      <c r="BC72" s="10" t="s">
        <v>85</v>
      </c>
      <c r="BD72" s="9">
        <v>0.72</v>
      </c>
      <c r="BE72" s="9" t="s">
        <v>85</v>
      </c>
      <c r="BF72" s="9" t="s">
        <v>85</v>
      </c>
      <c r="BG72" s="9">
        <v>0.2</v>
      </c>
      <c r="BH72" s="6"/>
      <c r="BI72" s="6" t="str">
        <f t="shared" si="1"/>
        <v>20V_One_Acc</v>
      </c>
      <c r="BJ72" s="6" t="str">
        <f t="shared" si="2"/>
        <v>10B_One_Acc</v>
      </c>
      <c r="BK72" s="6" t="str">
        <f t="shared" si="3"/>
        <v>10B_One_Acc</v>
      </c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</row>
    <row r="73" ht="15.75" customHeight="1">
      <c r="A73" s="1" t="s">
        <v>167</v>
      </c>
      <c r="B73" s="17">
        <v>720.0</v>
      </c>
      <c r="C73" s="9" t="s">
        <v>85</v>
      </c>
      <c r="D73" s="9" t="s">
        <v>85</v>
      </c>
      <c r="E73" s="9">
        <v>0.576</v>
      </c>
      <c r="F73" s="9" t="s">
        <v>85</v>
      </c>
      <c r="G73" s="9" t="s">
        <v>85</v>
      </c>
      <c r="H73" s="9">
        <v>0.333333</v>
      </c>
      <c r="I73" s="9" t="s">
        <v>85</v>
      </c>
      <c r="J73" s="9" t="s">
        <v>85</v>
      </c>
      <c r="K73" s="9">
        <v>0.469333</v>
      </c>
      <c r="L73" s="9" t="s">
        <v>85</v>
      </c>
      <c r="M73" s="9" t="s">
        <v>85</v>
      </c>
      <c r="N73" s="9">
        <v>0.448</v>
      </c>
      <c r="O73" s="9" t="s">
        <v>85</v>
      </c>
      <c r="P73" s="9" t="s">
        <v>85</v>
      </c>
      <c r="Q73" s="9">
        <v>0.552</v>
      </c>
      <c r="R73" s="9" t="s">
        <v>85</v>
      </c>
      <c r="S73" s="9" t="s">
        <v>85</v>
      </c>
      <c r="T73" s="9">
        <v>0.7</v>
      </c>
      <c r="U73" s="9" t="s">
        <v>85</v>
      </c>
      <c r="V73" s="9" t="s">
        <v>85</v>
      </c>
      <c r="W73" s="9">
        <v>0.418667</v>
      </c>
      <c r="X73" s="9" t="s">
        <v>85</v>
      </c>
      <c r="Y73" s="9" t="s">
        <v>85</v>
      </c>
      <c r="Z73" s="9">
        <v>0.448</v>
      </c>
      <c r="AA73" s="10" t="s">
        <v>85</v>
      </c>
      <c r="AB73" s="10" t="s">
        <v>85</v>
      </c>
      <c r="AC73" s="9">
        <v>0.554667</v>
      </c>
      <c r="AD73" s="9" t="s">
        <v>85</v>
      </c>
      <c r="AE73" s="9" t="s">
        <v>85</v>
      </c>
      <c r="AF73" s="9">
        <v>0.592</v>
      </c>
      <c r="AG73" s="9" t="s">
        <v>85</v>
      </c>
      <c r="AH73" s="9" t="s">
        <v>85</v>
      </c>
      <c r="AI73" s="9">
        <v>0.48</v>
      </c>
      <c r="AJ73" s="9" t="s">
        <v>85</v>
      </c>
      <c r="AK73" s="9" t="s">
        <v>85</v>
      </c>
      <c r="AL73" s="9">
        <v>0.453333</v>
      </c>
      <c r="AM73" s="9" t="s">
        <v>85</v>
      </c>
      <c r="AN73" s="9" t="s">
        <v>85</v>
      </c>
      <c r="AO73" s="9">
        <v>0.533333</v>
      </c>
      <c r="AP73" s="9" t="s">
        <v>85</v>
      </c>
      <c r="AQ73" s="9" t="s">
        <v>85</v>
      </c>
      <c r="AR73" s="9">
        <v>0.621333</v>
      </c>
      <c r="AS73" s="9" t="s">
        <v>85</v>
      </c>
      <c r="AT73" s="9" t="s">
        <v>85</v>
      </c>
      <c r="AU73" s="9">
        <v>0.456</v>
      </c>
      <c r="AV73" s="9" t="s">
        <v>85</v>
      </c>
      <c r="AW73" s="9" t="s">
        <v>85</v>
      </c>
      <c r="AX73" s="9">
        <v>0.461333</v>
      </c>
      <c r="AY73" s="9" t="s">
        <v>85</v>
      </c>
      <c r="AZ73" s="9" t="s">
        <v>85</v>
      </c>
      <c r="BA73" s="9">
        <v>0.538667</v>
      </c>
      <c r="BB73" s="10" t="s">
        <v>85</v>
      </c>
      <c r="BC73" s="10" t="s">
        <v>85</v>
      </c>
      <c r="BD73" s="9">
        <v>0.466667</v>
      </c>
      <c r="BE73" s="9" t="s">
        <v>85</v>
      </c>
      <c r="BF73" s="9" t="s">
        <v>85</v>
      </c>
      <c r="BG73" s="9">
        <v>0.434667</v>
      </c>
      <c r="BH73" s="6"/>
      <c r="BI73" s="6" t="str">
        <f t="shared" si="1"/>
        <v>8BN_One_Acc</v>
      </c>
      <c r="BJ73" s="6" t="str">
        <f t="shared" si="2"/>
        <v>12BN_One_Acc</v>
      </c>
      <c r="BK73" s="6" t="str">
        <f t="shared" si="3"/>
        <v>10BN_One_Acc</v>
      </c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</row>
    <row r="74" ht="15.75" customHeight="1">
      <c r="A74" s="1" t="s">
        <v>168</v>
      </c>
      <c r="B74" s="17">
        <v>1500.0</v>
      </c>
      <c r="C74" s="9" t="s">
        <v>85</v>
      </c>
      <c r="D74" s="9" t="s">
        <v>85</v>
      </c>
      <c r="E74" s="9">
        <v>0.84</v>
      </c>
      <c r="F74" s="9" t="s">
        <v>85</v>
      </c>
      <c r="G74" s="9" t="s">
        <v>85</v>
      </c>
      <c r="H74" s="9">
        <v>0.35</v>
      </c>
      <c r="I74" s="9" t="s">
        <v>85</v>
      </c>
      <c r="J74" s="9" t="s">
        <v>85</v>
      </c>
      <c r="K74" s="9">
        <v>0.896667</v>
      </c>
      <c r="L74" s="9" t="s">
        <v>85</v>
      </c>
      <c r="M74" s="9" t="s">
        <v>85</v>
      </c>
      <c r="N74" s="9">
        <v>0.903333</v>
      </c>
      <c r="O74" s="9" t="s">
        <v>85</v>
      </c>
      <c r="P74" s="9" t="s">
        <v>85</v>
      </c>
      <c r="Q74" s="9">
        <v>0.86</v>
      </c>
      <c r="R74" s="9" t="s">
        <v>85</v>
      </c>
      <c r="S74" s="9" t="s">
        <v>85</v>
      </c>
      <c r="T74" s="9">
        <v>0.858333</v>
      </c>
      <c r="U74" s="9" t="s">
        <v>85</v>
      </c>
      <c r="V74" s="9" t="s">
        <v>85</v>
      </c>
      <c r="W74" s="9">
        <v>0.92</v>
      </c>
      <c r="X74" s="9" t="s">
        <v>85</v>
      </c>
      <c r="Y74" s="9" t="s">
        <v>85</v>
      </c>
      <c r="Z74" s="9">
        <v>0.916667</v>
      </c>
      <c r="AA74" s="10" t="s">
        <v>85</v>
      </c>
      <c r="AB74" s="10" t="s">
        <v>85</v>
      </c>
      <c r="AC74" s="9">
        <v>0.87</v>
      </c>
      <c r="AD74" s="9" t="s">
        <v>85</v>
      </c>
      <c r="AE74" s="9" t="s">
        <v>85</v>
      </c>
      <c r="AF74" s="9">
        <v>0.856667</v>
      </c>
      <c r="AG74" s="9" t="s">
        <v>85</v>
      </c>
      <c r="AH74" s="9" t="s">
        <v>85</v>
      </c>
      <c r="AI74" s="9">
        <v>0.913333</v>
      </c>
      <c r="AJ74" s="9" t="s">
        <v>85</v>
      </c>
      <c r="AK74" s="9" t="s">
        <v>85</v>
      </c>
      <c r="AL74" s="9">
        <v>0.913333</v>
      </c>
      <c r="AM74" s="9" t="s">
        <v>85</v>
      </c>
      <c r="AN74" s="9" t="s">
        <v>85</v>
      </c>
      <c r="AO74" s="9">
        <v>0.846667</v>
      </c>
      <c r="AP74" s="9" t="s">
        <v>85</v>
      </c>
      <c r="AQ74" s="9" t="s">
        <v>85</v>
      </c>
      <c r="AR74" s="9">
        <v>0.856667</v>
      </c>
      <c r="AS74" s="9" t="s">
        <v>85</v>
      </c>
      <c r="AT74" s="9" t="s">
        <v>85</v>
      </c>
      <c r="AU74" s="9">
        <v>0.906667</v>
      </c>
      <c r="AV74" s="9" t="s">
        <v>85</v>
      </c>
      <c r="AW74" s="9" t="s">
        <v>85</v>
      </c>
      <c r="AX74" s="9">
        <v>0.916667</v>
      </c>
      <c r="AY74" s="9" t="s">
        <v>85</v>
      </c>
      <c r="AZ74" s="9" t="s">
        <v>85</v>
      </c>
      <c r="BA74" s="9">
        <v>0.871667</v>
      </c>
      <c r="BB74" s="10" t="s">
        <v>85</v>
      </c>
      <c r="BC74" s="10" t="s">
        <v>85</v>
      </c>
      <c r="BD74" s="9">
        <v>0.926667</v>
      </c>
      <c r="BE74" s="9" t="s">
        <v>85</v>
      </c>
      <c r="BF74" s="9" t="s">
        <v>85</v>
      </c>
      <c r="BG74" s="9">
        <v>0.668333</v>
      </c>
      <c r="BH74" s="6"/>
      <c r="BI74" s="6" t="str">
        <f t="shared" si="1"/>
        <v>20V_One_Acc</v>
      </c>
      <c r="BJ74" s="6" t="str">
        <f t="shared" si="2"/>
        <v>8V_One_Acc</v>
      </c>
      <c r="BK74" s="6" t="str">
        <f t="shared" si="3"/>
        <v>8VB_One_Acc</v>
      </c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</row>
    <row r="75" ht="15.75" customHeight="1">
      <c r="A75" s="1" t="s">
        <v>169</v>
      </c>
      <c r="B75" s="17">
        <v>1500.0</v>
      </c>
      <c r="C75" s="9" t="s">
        <v>85</v>
      </c>
      <c r="D75" s="9" t="s">
        <v>85</v>
      </c>
      <c r="E75" s="9">
        <v>0.442222</v>
      </c>
      <c r="F75" s="9" t="s">
        <v>85</v>
      </c>
      <c r="G75" s="9" t="s">
        <v>85</v>
      </c>
      <c r="H75" s="9">
        <v>0.166667</v>
      </c>
      <c r="I75" s="9" t="s">
        <v>85</v>
      </c>
      <c r="J75" s="9" t="s">
        <v>85</v>
      </c>
      <c r="K75" s="9">
        <v>0.637778</v>
      </c>
      <c r="L75" s="9" t="s">
        <v>85</v>
      </c>
      <c r="M75" s="9" t="s">
        <v>85</v>
      </c>
      <c r="N75" s="9">
        <v>0.515556</v>
      </c>
      <c r="O75" s="9" t="s">
        <v>85</v>
      </c>
      <c r="P75" s="9" t="s">
        <v>85</v>
      </c>
      <c r="Q75" s="9">
        <v>0.466667</v>
      </c>
      <c r="R75" s="9" t="s">
        <v>85</v>
      </c>
      <c r="S75" s="9" t="s">
        <v>85</v>
      </c>
      <c r="T75" s="9">
        <v>0.346667</v>
      </c>
      <c r="U75" s="9" t="s">
        <v>85</v>
      </c>
      <c r="V75" s="9" t="s">
        <v>85</v>
      </c>
      <c r="W75" s="9">
        <v>0.355556</v>
      </c>
      <c r="X75" s="9" t="s">
        <v>85</v>
      </c>
      <c r="Y75" s="9" t="s">
        <v>85</v>
      </c>
      <c r="Z75" s="9">
        <v>0.286667</v>
      </c>
      <c r="AA75" s="10" t="s">
        <v>85</v>
      </c>
      <c r="AB75" s="10" t="s">
        <v>85</v>
      </c>
      <c r="AC75" s="9">
        <v>0.395556</v>
      </c>
      <c r="AD75" s="9" t="s">
        <v>85</v>
      </c>
      <c r="AE75" s="9" t="s">
        <v>85</v>
      </c>
      <c r="AF75" s="9">
        <v>0.373333</v>
      </c>
      <c r="AG75" s="9" t="s">
        <v>85</v>
      </c>
      <c r="AH75" s="9" t="s">
        <v>85</v>
      </c>
      <c r="AI75" s="9">
        <v>0.362222</v>
      </c>
      <c r="AJ75" s="9" t="s">
        <v>85</v>
      </c>
      <c r="AK75" s="9" t="s">
        <v>85</v>
      </c>
      <c r="AL75" s="9">
        <v>0.442222</v>
      </c>
      <c r="AM75" s="9" t="s">
        <v>85</v>
      </c>
      <c r="AN75" s="9" t="s">
        <v>85</v>
      </c>
      <c r="AO75" s="9">
        <v>0.504444</v>
      </c>
      <c r="AP75" s="9" t="s">
        <v>85</v>
      </c>
      <c r="AQ75" s="9" t="s">
        <v>85</v>
      </c>
      <c r="AR75" s="9">
        <v>0.351111</v>
      </c>
      <c r="AS75" s="9" t="s">
        <v>85</v>
      </c>
      <c r="AT75" s="9" t="s">
        <v>85</v>
      </c>
      <c r="AU75" s="9">
        <v>0.493333</v>
      </c>
      <c r="AV75" s="9" t="s">
        <v>85</v>
      </c>
      <c r="AW75" s="9" t="s">
        <v>85</v>
      </c>
      <c r="AX75" s="9">
        <v>0.491111</v>
      </c>
      <c r="AY75" s="9" t="s">
        <v>85</v>
      </c>
      <c r="AZ75" s="9" t="s">
        <v>85</v>
      </c>
      <c r="BA75" s="9">
        <v>0.264444</v>
      </c>
      <c r="BB75" s="10" t="s">
        <v>85</v>
      </c>
      <c r="BC75" s="10" t="s">
        <v>85</v>
      </c>
      <c r="BD75" s="9">
        <v>0.262222</v>
      </c>
      <c r="BE75" s="9" t="s">
        <v>85</v>
      </c>
      <c r="BF75" s="9" t="s">
        <v>85</v>
      </c>
      <c r="BG75" s="9">
        <v>0.433333</v>
      </c>
      <c r="BH75" s="6"/>
      <c r="BI75" s="6" t="str">
        <f t="shared" si="1"/>
        <v>5V_One_Acc</v>
      </c>
      <c r="BJ75" s="6" t="str">
        <f t="shared" si="2"/>
        <v>5VB_One_Acc</v>
      </c>
      <c r="BK75" s="6" t="str">
        <f t="shared" si="3"/>
        <v>12B_One_Acc</v>
      </c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</row>
    <row r="76" ht="15.75" customHeight="1">
      <c r="A76" s="1" t="s">
        <v>170</v>
      </c>
      <c r="B76" s="17">
        <v>1500.0</v>
      </c>
      <c r="C76" s="9" t="s">
        <v>85</v>
      </c>
      <c r="D76" s="9" t="s">
        <v>85</v>
      </c>
      <c r="E76" s="9">
        <v>0.737778</v>
      </c>
      <c r="F76" s="9" t="s">
        <v>85</v>
      </c>
      <c r="G76" s="9" t="s">
        <v>85</v>
      </c>
      <c r="H76" s="9">
        <v>0.2</v>
      </c>
      <c r="I76" s="9" t="s">
        <v>85</v>
      </c>
      <c r="J76" s="9" t="s">
        <v>85</v>
      </c>
      <c r="K76" s="9">
        <v>0.846667</v>
      </c>
      <c r="L76" s="9" t="s">
        <v>85</v>
      </c>
      <c r="M76" s="9" t="s">
        <v>85</v>
      </c>
      <c r="N76" s="9">
        <v>0.833333</v>
      </c>
      <c r="O76" s="9" t="s">
        <v>85</v>
      </c>
      <c r="P76" s="9" t="s">
        <v>85</v>
      </c>
      <c r="Q76" s="9">
        <v>0.793333</v>
      </c>
      <c r="R76" s="9" t="s">
        <v>85</v>
      </c>
      <c r="S76" s="9" t="s">
        <v>85</v>
      </c>
      <c r="T76" s="9">
        <v>0.757778</v>
      </c>
      <c r="U76" s="9" t="s">
        <v>85</v>
      </c>
      <c r="V76" s="9" t="s">
        <v>85</v>
      </c>
      <c r="W76" s="9">
        <v>0.822222</v>
      </c>
      <c r="X76" s="9" t="s">
        <v>85</v>
      </c>
      <c r="Y76" s="9" t="s">
        <v>85</v>
      </c>
      <c r="Z76" s="9">
        <v>0.815556</v>
      </c>
      <c r="AA76" s="10" t="s">
        <v>85</v>
      </c>
      <c r="AB76" s="10" t="s">
        <v>85</v>
      </c>
      <c r="AC76" s="9">
        <v>0.773333</v>
      </c>
      <c r="AD76" s="9" t="s">
        <v>85</v>
      </c>
      <c r="AE76" s="9" t="s">
        <v>85</v>
      </c>
      <c r="AF76" s="9">
        <v>0.771111</v>
      </c>
      <c r="AG76" s="9" t="s">
        <v>85</v>
      </c>
      <c r="AH76" s="9" t="s">
        <v>85</v>
      </c>
      <c r="AI76" s="9">
        <v>0.851111</v>
      </c>
      <c r="AJ76" s="9" t="s">
        <v>85</v>
      </c>
      <c r="AK76" s="9" t="s">
        <v>85</v>
      </c>
      <c r="AL76" s="9">
        <v>0.784444</v>
      </c>
      <c r="AM76" s="9" t="s">
        <v>85</v>
      </c>
      <c r="AN76" s="9" t="s">
        <v>85</v>
      </c>
      <c r="AO76" s="9">
        <v>0.755556</v>
      </c>
      <c r="AP76" s="9" t="s">
        <v>85</v>
      </c>
      <c r="AQ76" s="9" t="s">
        <v>85</v>
      </c>
      <c r="AR76" s="9">
        <v>0.684444</v>
      </c>
      <c r="AS76" s="9" t="s">
        <v>85</v>
      </c>
      <c r="AT76" s="9" t="s">
        <v>85</v>
      </c>
      <c r="AU76" s="9">
        <v>0.855556</v>
      </c>
      <c r="AV76" s="9" t="s">
        <v>85</v>
      </c>
      <c r="AW76" s="9" t="s">
        <v>85</v>
      </c>
      <c r="AX76" s="9">
        <v>0.831111</v>
      </c>
      <c r="AY76" s="9" t="s">
        <v>85</v>
      </c>
      <c r="AZ76" s="9" t="s">
        <v>85</v>
      </c>
      <c r="BA76" s="9">
        <v>0.735556</v>
      </c>
      <c r="BB76" s="10" t="s">
        <v>85</v>
      </c>
      <c r="BC76" s="10" t="s">
        <v>85</v>
      </c>
      <c r="BD76" s="9">
        <v>0.824444</v>
      </c>
      <c r="BE76" s="9" t="s">
        <v>85</v>
      </c>
      <c r="BF76" s="9" t="s">
        <v>85</v>
      </c>
      <c r="BG76" s="9">
        <v>0.773333</v>
      </c>
      <c r="BH76" s="6"/>
      <c r="BI76" s="6" t="str">
        <f t="shared" si="1"/>
        <v>12V_One_Acc</v>
      </c>
      <c r="BJ76" s="6" t="str">
        <f t="shared" si="2"/>
        <v>10V_One_Acc</v>
      </c>
      <c r="BK76" s="6" t="str">
        <f t="shared" si="3"/>
        <v>5V_One_Acc</v>
      </c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</row>
    <row r="77" ht="15.75" customHeight="1">
      <c r="A77" s="1" t="s">
        <v>171</v>
      </c>
      <c r="B77" s="17">
        <v>500.0</v>
      </c>
      <c r="C77" s="9" t="s">
        <v>85</v>
      </c>
      <c r="D77" s="9" t="s">
        <v>85</v>
      </c>
      <c r="E77" s="9">
        <v>0.505556</v>
      </c>
      <c r="F77" s="9" t="s">
        <v>85</v>
      </c>
      <c r="G77" s="9" t="s">
        <v>85</v>
      </c>
      <c r="H77" s="9">
        <v>0.5</v>
      </c>
      <c r="I77" s="9" t="s">
        <v>85</v>
      </c>
      <c r="J77" s="9" t="s">
        <v>85</v>
      </c>
      <c r="K77" s="9">
        <v>0.511111</v>
      </c>
      <c r="L77" s="9" t="s">
        <v>85</v>
      </c>
      <c r="M77" s="9" t="s">
        <v>85</v>
      </c>
      <c r="N77" s="9">
        <v>0.5</v>
      </c>
      <c r="O77" s="9" t="s">
        <v>85</v>
      </c>
      <c r="P77" s="9" t="s">
        <v>85</v>
      </c>
      <c r="Q77" s="9">
        <v>0.533333</v>
      </c>
      <c r="R77" s="9" t="s">
        <v>85</v>
      </c>
      <c r="S77" s="9" t="s">
        <v>85</v>
      </c>
      <c r="T77" s="9">
        <v>0.544444</v>
      </c>
      <c r="U77" s="9" t="s">
        <v>85</v>
      </c>
      <c r="V77" s="9" t="s">
        <v>85</v>
      </c>
      <c r="W77" s="9">
        <v>0.522222</v>
      </c>
      <c r="X77" s="9" t="s">
        <v>85</v>
      </c>
      <c r="Y77" s="9" t="s">
        <v>85</v>
      </c>
      <c r="Z77" s="9">
        <v>0.5</v>
      </c>
      <c r="AA77" s="10" t="s">
        <v>85</v>
      </c>
      <c r="AB77" s="10" t="s">
        <v>85</v>
      </c>
      <c r="AC77" s="9">
        <v>0.494444</v>
      </c>
      <c r="AD77" s="9" t="s">
        <v>85</v>
      </c>
      <c r="AE77" s="9" t="s">
        <v>85</v>
      </c>
      <c r="AF77" s="9">
        <v>0.577778</v>
      </c>
      <c r="AG77" s="9" t="s">
        <v>85</v>
      </c>
      <c r="AH77" s="9" t="s">
        <v>85</v>
      </c>
      <c r="AI77" s="9">
        <v>0.511111</v>
      </c>
      <c r="AJ77" s="9" t="s">
        <v>85</v>
      </c>
      <c r="AK77" s="9" t="s">
        <v>85</v>
      </c>
      <c r="AL77" s="9">
        <v>0.527778</v>
      </c>
      <c r="AM77" s="9" t="s">
        <v>85</v>
      </c>
      <c r="AN77" s="9" t="s">
        <v>85</v>
      </c>
      <c r="AO77" s="9">
        <v>0.5</v>
      </c>
      <c r="AP77" s="9" t="s">
        <v>85</v>
      </c>
      <c r="AQ77" s="9" t="s">
        <v>85</v>
      </c>
      <c r="AR77" s="9">
        <v>0.5</v>
      </c>
      <c r="AS77" s="9" t="s">
        <v>85</v>
      </c>
      <c r="AT77" s="9" t="s">
        <v>85</v>
      </c>
      <c r="AU77" s="9">
        <v>0.466667</v>
      </c>
      <c r="AV77" s="9" t="s">
        <v>85</v>
      </c>
      <c r="AW77" s="9" t="s">
        <v>85</v>
      </c>
      <c r="AX77" s="9">
        <v>0.477778</v>
      </c>
      <c r="AY77" s="9" t="s">
        <v>85</v>
      </c>
      <c r="AZ77" s="9" t="s">
        <v>85</v>
      </c>
      <c r="BA77" s="9">
        <v>0.544444</v>
      </c>
      <c r="BB77" s="10" t="s">
        <v>85</v>
      </c>
      <c r="BC77" s="10" t="s">
        <v>85</v>
      </c>
      <c r="BD77" s="9">
        <v>0.5</v>
      </c>
      <c r="BE77" s="9" t="s">
        <v>85</v>
      </c>
      <c r="BF77" s="9" t="s">
        <v>85</v>
      </c>
      <c r="BG77" s="9">
        <v>0.477778</v>
      </c>
      <c r="BH77" s="6"/>
      <c r="BI77" s="6" t="str">
        <f t="shared" si="1"/>
        <v>10BN_One_Acc</v>
      </c>
      <c r="BJ77" s="6" t="str">
        <f t="shared" si="2"/>
        <v>8BN_One_Acc</v>
      </c>
      <c r="BK77" s="6" t="str">
        <f t="shared" si="3"/>
        <v>8BN_One_Acc</v>
      </c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</row>
    <row r="78" ht="15.75" customHeight="1">
      <c r="A78" s="1" t="s">
        <v>172</v>
      </c>
      <c r="B78" s="17">
        <v>512.0</v>
      </c>
      <c r="C78" s="9" t="s">
        <v>85</v>
      </c>
      <c r="D78" s="9" t="s">
        <v>85</v>
      </c>
      <c r="E78" s="9">
        <v>0.165</v>
      </c>
      <c r="F78" s="9" t="s">
        <v>85</v>
      </c>
      <c r="G78" s="9" t="s">
        <v>85</v>
      </c>
      <c r="H78" s="9">
        <v>0.016667</v>
      </c>
      <c r="I78" s="9" t="s">
        <v>85</v>
      </c>
      <c r="J78" s="9" t="s">
        <v>85</v>
      </c>
      <c r="K78" s="9">
        <v>0.405</v>
      </c>
      <c r="L78" s="9" t="s">
        <v>85</v>
      </c>
      <c r="M78" s="9" t="s">
        <v>85</v>
      </c>
      <c r="N78" s="9">
        <v>0.26</v>
      </c>
      <c r="O78" s="9" t="s">
        <v>85</v>
      </c>
      <c r="P78" s="9" t="s">
        <v>85</v>
      </c>
      <c r="Q78" s="9">
        <v>0.4</v>
      </c>
      <c r="R78" s="9" t="s">
        <v>85</v>
      </c>
      <c r="S78" s="9" t="s">
        <v>85</v>
      </c>
      <c r="T78" s="9">
        <v>0.35</v>
      </c>
      <c r="U78" s="9" t="s">
        <v>85</v>
      </c>
      <c r="V78" s="9" t="s">
        <v>85</v>
      </c>
      <c r="W78" s="9">
        <v>0.47</v>
      </c>
      <c r="X78" s="9" t="s">
        <v>85</v>
      </c>
      <c r="Y78" s="9" t="s">
        <v>85</v>
      </c>
      <c r="Z78" s="9">
        <v>0.326667</v>
      </c>
      <c r="AA78" s="10" t="s">
        <v>85</v>
      </c>
      <c r="AB78" s="10" t="s">
        <v>85</v>
      </c>
      <c r="AC78" s="9">
        <v>0.618333</v>
      </c>
      <c r="AD78" s="9" t="s">
        <v>85</v>
      </c>
      <c r="AE78" s="9" t="s">
        <v>85</v>
      </c>
      <c r="AF78" s="9">
        <v>0.62</v>
      </c>
      <c r="AG78" s="9" t="s">
        <v>85</v>
      </c>
      <c r="AH78" s="9" t="s">
        <v>85</v>
      </c>
      <c r="AI78" s="9">
        <v>0.236667</v>
      </c>
      <c r="AJ78" s="9" t="s">
        <v>85</v>
      </c>
      <c r="AK78" s="9" t="s">
        <v>85</v>
      </c>
      <c r="AL78" s="9">
        <v>0.465</v>
      </c>
      <c r="AM78" s="9" t="s">
        <v>85</v>
      </c>
      <c r="AN78" s="9" t="s">
        <v>85</v>
      </c>
      <c r="AO78" s="9">
        <v>0.395</v>
      </c>
      <c r="AP78" s="9" t="s">
        <v>85</v>
      </c>
      <c r="AQ78" s="9" t="s">
        <v>85</v>
      </c>
      <c r="AR78" s="9">
        <v>0.411667</v>
      </c>
      <c r="AS78" s="9" t="s">
        <v>85</v>
      </c>
      <c r="AT78" s="9" t="s">
        <v>85</v>
      </c>
      <c r="AU78" s="9">
        <v>0.38</v>
      </c>
      <c r="AV78" s="9" t="s">
        <v>85</v>
      </c>
      <c r="AW78" s="9" t="s">
        <v>85</v>
      </c>
      <c r="AX78" s="9">
        <v>0.463333</v>
      </c>
      <c r="AY78" s="9" t="s">
        <v>85</v>
      </c>
      <c r="AZ78" s="9" t="s">
        <v>85</v>
      </c>
      <c r="BA78" s="9">
        <v>0.41</v>
      </c>
      <c r="BB78" s="10" t="s">
        <v>85</v>
      </c>
      <c r="BC78" s="10" t="s">
        <v>85</v>
      </c>
      <c r="BD78" s="9">
        <v>0.381667</v>
      </c>
      <c r="BE78" s="9" t="s">
        <v>85</v>
      </c>
      <c r="BF78" s="9" t="s">
        <v>85</v>
      </c>
      <c r="BG78" s="9">
        <v>0.31</v>
      </c>
      <c r="BH78" s="6"/>
      <c r="BI78" s="6" t="str">
        <f t="shared" si="1"/>
        <v>10BN_One_Acc</v>
      </c>
      <c r="BJ78" s="6" t="str">
        <f t="shared" si="2"/>
        <v>10B_One_Acc</v>
      </c>
      <c r="BK78" s="6" t="str">
        <f t="shared" si="3"/>
        <v>8V_One_Acc</v>
      </c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</row>
    <row r="79" ht="15.75" customHeight="1">
      <c r="A79" s="1" t="s">
        <v>173</v>
      </c>
      <c r="B79" s="17">
        <v>720.0</v>
      </c>
      <c r="C79" s="9" t="s">
        <v>85</v>
      </c>
      <c r="D79" s="9" t="s">
        <v>85</v>
      </c>
      <c r="E79" s="9">
        <v>0.629333</v>
      </c>
      <c r="F79" s="9" t="s">
        <v>85</v>
      </c>
      <c r="G79" s="9" t="s">
        <v>85</v>
      </c>
      <c r="H79" s="9">
        <v>0.333333</v>
      </c>
      <c r="I79" s="9" t="s">
        <v>85</v>
      </c>
      <c r="J79" s="9" t="s">
        <v>85</v>
      </c>
      <c r="K79" s="9">
        <v>0.752</v>
      </c>
      <c r="L79" s="9" t="s">
        <v>85</v>
      </c>
      <c r="M79" s="9" t="s">
        <v>85</v>
      </c>
      <c r="N79" s="9">
        <v>0.754667</v>
      </c>
      <c r="O79" s="9" t="s">
        <v>85</v>
      </c>
      <c r="P79" s="9" t="s">
        <v>85</v>
      </c>
      <c r="Q79" s="9">
        <v>0.52</v>
      </c>
      <c r="R79" s="9" t="s">
        <v>85</v>
      </c>
      <c r="S79" s="9" t="s">
        <v>85</v>
      </c>
      <c r="T79" s="9">
        <v>0.442667</v>
      </c>
      <c r="U79" s="9" t="s">
        <v>85</v>
      </c>
      <c r="V79" s="9" t="s">
        <v>85</v>
      </c>
      <c r="W79" s="9">
        <v>0.805333</v>
      </c>
      <c r="X79" s="9" t="s">
        <v>85</v>
      </c>
      <c r="Y79" s="9" t="s">
        <v>85</v>
      </c>
      <c r="Z79" s="9">
        <v>0.797333</v>
      </c>
      <c r="AA79" s="10" t="s">
        <v>85</v>
      </c>
      <c r="AB79" s="10" t="s">
        <v>85</v>
      </c>
      <c r="AC79" s="9">
        <v>0.624</v>
      </c>
      <c r="AD79" s="9" t="s">
        <v>85</v>
      </c>
      <c r="AE79" s="9" t="s">
        <v>85</v>
      </c>
      <c r="AF79" s="9">
        <v>0.64</v>
      </c>
      <c r="AG79" s="9" t="s">
        <v>85</v>
      </c>
      <c r="AH79" s="9" t="s">
        <v>85</v>
      </c>
      <c r="AI79" s="9">
        <v>0.792</v>
      </c>
      <c r="AJ79" s="9" t="s">
        <v>85</v>
      </c>
      <c r="AK79" s="9" t="s">
        <v>85</v>
      </c>
      <c r="AL79" s="9">
        <v>0.789333</v>
      </c>
      <c r="AM79" s="9" t="s">
        <v>85</v>
      </c>
      <c r="AN79" s="9" t="s">
        <v>85</v>
      </c>
      <c r="AO79" s="9">
        <v>0.616</v>
      </c>
      <c r="AP79" s="9" t="s">
        <v>85</v>
      </c>
      <c r="AQ79" s="9" t="s">
        <v>85</v>
      </c>
      <c r="AR79" s="9">
        <v>0.632</v>
      </c>
      <c r="AS79" s="9" t="s">
        <v>85</v>
      </c>
      <c r="AT79" s="9" t="s">
        <v>85</v>
      </c>
      <c r="AU79" s="9">
        <v>0.781333</v>
      </c>
      <c r="AV79" s="9" t="s">
        <v>85</v>
      </c>
      <c r="AW79" s="9" t="s">
        <v>85</v>
      </c>
      <c r="AX79" s="9">
        <v>0.768</v>
      </c>
      <c r="AY79" s="9" t="s">
        <v>85</v>
      </c>
      <c r="AZ79" s="9" t="s">
        <v>85</v>
      </c>
      <c r="BA79" s="9">
        <v>0.664</v>
      </c>
      <c r="BB79" s="10" t="s">
        <v>85</v>
      </c>
      <c r="BC79" s="10" t="s">
        <v>85</v>
      </c>
      <c r="BD79" s="9">
        <v>0.786667</v>
      </c>
      <c r="BE79" s="9" t="s">
        <v>85</v>
      </c>
      <c r="BF79" s="9" t="s">
        <v>85</v>
      </c>
      <c r="BG79" s="9">
        <v>0.52</v>
      </c>
      <c r="BH79" s="6"/>
      <c r="BI79" s="6" t="str">
        <f t="shared" si="1"/>
        <v>8V_One_Acc</v>
      </c>
      <c r="BJ79" s="6" t="str">
        <f t="shared" si="2"/>
        <v>8VB_One_Acc</v>
      </c>
      <c r="BK79" s="6" t="str">
        <f t="shared" si="3"/>
        <v>10V_One_Acc</v>
      </c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</row>
    <row r="80" ht="15.75" customHeight="1">
      <c r="A80" s="1" t="s">
        <v>174</v>
      </c>
      <c r="B80" s="17">
        <v>15.0</v>
      </c>
      <c r="C80" s="9" t="s">
        <v>85</v>
      </c>
      <c r="D80" s="9" t="s">
        <v>85</v>
      </c>
      <c r="E80" s="9">
        <v>0.96</v>
      </c>
      <c r="F80" s="9" t="s">
        <v>85</v>
      </c>
      <c r="G80" s="9" t="s">
        <v>85</v>
      </c>
      <c r="H80" s="9">
        <v>0.34</v>
      </c>
      <c r="I80" s="9" t="s">
        <v>85</v>
      </c>
      <c r="J80" s="9" t="s">
        <v>85</v>
      </c>
      <c r="K80" s="9">
        <v>0.906667</v>
      </c>
      <c r="L80" s="9" t="s">
        <v>85</v>
      </c>
      <c r="M80" s="9" t="s">
        <v>85</v>
      </c>
      <c r="N80" s="9">
        <v>0.946667</v>
      </c>
      <c r="O80" s="9" t="s">
        <v>85</v>
      </c>
      <c r="P80" s="9" t="s">
        <v>85</v>
      </c>
      <c r="Q80" s="9">
        <v>0.926667</v>
      </c>
      <c r="R80" s="9" t="s">
        <v>85</v>
      </c>
      <c r="S80" s="9" t="s">
        <v>85</v>
      </c>
      <c r="T80" s="9">
        <v>0.933333</v>
      </c>
      <c r="U80" s="9" t="s">
        <v>85</v>
      </c>
      <c r="V80" s="9" t="s">
        <v>85</v>
      </c>
      <c r="W80" s="9">
        <v>0.34</v>
      </c>
      <c r="X80" s="9" t="s">
        <v>85</v>
      </c>
      <c r="Y80" s="9" t="s">
        <v>85</v>
      </c>
      <c r="Z80" s="9">
        <v>0.946667</v>
      </c>
      <c r="AA80" s="10" t="s">
        <v>85</v>
      </c>
      <c r="AB80" s="10" t="s">
        <v>85</v>
      </c>
      <c r="AC80" s="9">
        <v>0.92</v>
      </c>
      <c r="AD80" s="9" t="s">
        <v>85</v>
      </c>
      <c r="AE80" s="9" t="s">
        <v>85</v>
      </c>
      <c r="AF80" s="9">
        <v>0.94</v>
      </c>
      <c r="AG80" s="9" t="s">
        <v>85</v>
      </c>
      <c r="AH80" s="9" t="s">
        <v>85</v>
      </c>
      <c r="AI80" s="9">
        <v>0.42</v>
      </c>
      <c r="AJ80" s="9" t="s">
        <v>85</v>
      </c>
      <c r="AK80" s="9" t="s">
        <v>85</v>
      </c>
      <c r="AL80" s="9">
        <v>0.966667</v>
      </c>
      <c r="AM80" s="9" t="s">
        <v>85</v>
      </c>
      <c r="AN80" s="9" t="s">
        <v>85</v>
      </c>
      <c r="AO80" s="9">
        <v>0.933333</v>
      </c>
      <c r="AP80" s="9" t="s">
        <v>85</v>
      </c>
      <c r="AQ80" s="9" t="s">
        <v>85</v>
      </c>
      <c r="AR80" s="9">
        <v>0.933333</v>
      </c>
      <c r="AS80" s="9" t="s">
        <v>85</v>
      </c>
      <c r="AT80" s="9" t="s">
        <v>85</v>
      </c>
      <c r="AU80" s="9">
        <v>0.373333</v>
      </c>
      <c r="AV80" s="9" t="s">
        <v>85</v>
      </c>
      <c r="AW80" s="9" t="s">
        <v>85</v>
      </c>
      <c r="AX80" s="9">
        <v>0.94</v>
      </c>
      <c r="AY80" s="9" t="s">
        <v>85</v>
      </c>
      <c r="AZ80" s="9" t="s">
        <v>85</v>
      </c>
      <c r="BA80" s="9">
        <v>0.706667</v>
      </c>
      <c r="BB80" s="10" t="s">
        <v>85</v>
      </c>
      <c r="BC80" s="10" t="s">
        <v>85</v>
      </c>
      <c r="BD80" s="9">
        <v>0.826667</v>
      </c>
      <c r="BE80" s="9" t="s">
        <v>85</v>
      </c>
      <c r="BF80" s="9" t="s">
        <v>85</v>
      </c>
      <c r="BG80" s="9">
        <v>0.92</v>
      </c>
      <c r="BH80" s="6"/>
      <c r="BI80" s="6" t="str">
        <f t="shared" si="1"/>
        <v>10VB_One_Acc</v>
      </c>
      <c r="BJ80" s="6" t="str">
        <f t="shared" si="2"/>
        <v>5B_One_Acc</v>
      </c>
      <c r="BK80" s="6" t="str">
        <f t="shared" si="3"/>
        <v>5VB_One_Acc</v>
      </c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</row>
    <row r="81" ht="15.75" customHeight="1">
      <c r="A81" s="1" t="s">
        <v>175</v>
      </c>
      <c r="B81" s="17">
        <v>70.0</v>
      </c>
      <c r="C81" s="9" t="s">
        <v>85</v>
      </c>
      <c r="D81" s="9" t="s">
        <v>85</v>
      </c>
      <c r="E81" s="9">
        <v>0.557404</v>
      </c>
      <c r="F81" s="9" t="s">
        <v>85</v>
      </c>
      <c r="G81" s="9" t="s">
        <v>85</v>
      </c>
      <c r="H81" s="9">
        <v>0.570715</v>
      </c>
      <c r="I81" s="9" t="s">
        <v>85</v>
      </c>
      <c r="J81" s="9" t="s">
        <v>85</v>
      </c>
      <c r="K81" s="9">
        <v>0.607321</v>
      </c>
      <c r="L81" s="9" t="s">
        <v>85</v>
      </c>
      <c r="M81" s="9" t="s">
        <v>85</v>
      </c>
      <c r="N81" s="9">
        <v>0.627288</v>
      </c>
      <c r="O81" s="9" t="s">
        <v>85</v>
      </c>
      <c r="P81" s="9" t="s">
        <v>85</v>
      </c>
      <c r="Q81" s="9">
        <v>0.673877</v>
      </c>
      <c r="R81" s="9" t="s">
        <v>85</v>
      </c>
      <c r="S81" s="9" t="s">
        <v>85</v>
      </c>
      <c r="T81" s="9">
        <v>0.65391</v>
      </c>
      <c r="U81" s="9" t="s">
        <v>85</v>
      </c>
      <c r="V81" s="9" t="s">
        <v>85</v>
      </c>
      <c r="W81" s="9">
        <v>0.524126</v>
      </c>
      <c r="X81" s="9" t="s">
        <v>85</v>
      </c>
      <c r="Y81" s="9" t="s">
        <v>85</v>
      </c>
      <c r="Z81" s="9">
        <v>0.550749</v>
      </c>
      <c r="AA81" s="10" t="s">
        <v>85</v>
      </c>
      <c r="AB81" s="10" t="s">
        <v>85</v>
      </c>
      <c r="AC81" s="9">
        <v>0.580699</v>
      </c>
      <c r="AD81" s="9" t="s">
        <v>85</v>
      </c>
      <c r="AE81" s="9" t="s">
        <v>85</v>
      </c>
      <c r="AF81" s="9">
        <v>0.552413</v>
      </c>
      <c r="AG81" s="9" t="s">
        <v>85</v>
      </c>
      <c r="AH81" s="9" t="s">
        <v>85</v>
      </c>
      <c r="AI81" s="9">
        <v>0.552413</v>
      </c>
      <c r="AJ81" s="9" t="s">
        <v>85</v>
      </c>
      <c r="AK81" s="9" t="s">
        <v>85</v>
      </c>
      <c r="AL81" s="9">
        <v>0.580699</v>
      </c>
      <c r="AM81" s="9" t="s">
        <v>85</v>
      </c>
      <c r="AN81" s="9" t="s">
        <v>85</v>
      </c>
      <c r="AO81" s="9">
        <v>0.603993</v>
      </c>
      <c r="AP81" s="9" t="s">
        <v>85</v>
      </c>
      <c r="AQ81" s="9" t="s">
        <v>85</v>
      </c>
      <c r="AR81" s="9">
        <v>0.499168</v>
      </c>
      <c r="AS81" s="9" t="s">
        <v>85</v>
      </c>
      <c r="AT81" s="9" t="s">
        <v>85</v>
      </c>
      <c r="AU81" s="9">
        <v>0.630616</v>
      </c>
      <c r="AV81" s="9" t="s">
        <v>85</v>
      </c>
      <c r="AW81" s="9" t="s">
        <v>85</v>
      </c>
      <c r="AX81" s="9">
        <v>0.677205</v>
      </c>
      <c r="AY81" s="9" t="s">
        <v>85</v>
      </c>
      <c r="AZ81" s="9" t="s">
        <v>85</v>
      </c>
      <c r="BA81" s="9">
        <v>0.49584</v>
      </c>
      <c r="BB81" s="10" t="s">
        <v>85</v>
      </c>
      <c r="BC81" s="10" t="s">
        <v>85</v>
      </c>
      <c r="BD81" s="9">
        <v>0.667221</v>
      </c>
      <c r="BE81" s="9" t="s">
        <v>85</v>
      </c>
      <c r="BF81" s="9" t="s">
        <v>85</v>
      </c>
      <c r="BG81" s="9">
        <v>0.742096</v>
      </c>
      <c r="BH81" s="6"/>
      <c r="BI81" s="6" t="str">
        <f t="shared" si="1"/>
        <v>De_One_Acc</v>
      </c>
      <c r="BJ81" s="6" t="str">
        <f t="shared" si="2"/>
        <v>12VB_One_Acc</v>
      </c>
      <c r="BK81" s="6" t="str">
        <f t="shared" si="3"/>
        <v>8B_One_Acc</v>
      </c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</row>
    <row r="82" ht="15.75" customHeight="1">
      <c r="A82" s="1" t="s">
        <v>176</v>
      </c>
      <c r="B82" s="17">
        <v>65.0</v>
      </c>
      <c r="C82" s="9" t="s">
        <v>85</v>
      </c>
      <c r="D82" s="9" t="s">
        <v>85</v>
      </c>
      <c r="E82" s="9">
        <v>0.743966</v>
      </c>
      <c r="F82" s="9" t="s">
        <v>85</v>
      </c>
      <c r="G82" s="9" t="s">
        <v>85</v>
      </c>
      <c r="H82" s="9">
        <v>0.616999</v>
      </c>
      <c r="I82" s="9" t="s">
        <v>85</v>
      </c>
      <c r="J82" s="9" t="s">
        <v>85</v>
      </c>
      <c r="K82" s="9">
        <v>0.766002</v>
      </c>
      <c r="L82" s="9" t="s">
        <v>85</v>
      </c>
      <c r="M82" s="9" t="s">
        <v>85</v>
      </c>
      <c r="N82" s="9">
        <v>0.767051</v>
      </c>
      <c r="O82" s="9" t="s">
        <v>85</v>
      </c>
      <c r="P82" s="9" t="s">
        <v>85</v>
      </c>
      <c r="Q82" s="9">
        <v>0.796432</v>
      </c>
      <c r="R82" s="9" t="s">
        <v>85</v>
      </c>
      <c r="S82" s="9" t="s">
        <v>85</v>
      </c>
      <c r="T82" s="9">
        <v>0.797482</v>
      </c>
      <c r="U82" s="9" t="s">
        <v>85</v>
      </c>
      <c r="V82" s="9" t="s">
        <v>85</v>
      </c>
      <c r="W82" s="9">
        <v>0.779643</v>
      </c>
      <c r="X82" s="9" t="s">
        <v>85</v>
      </c>
      <c r="Y82" s="9" t="s">
        <v>85</v>
      </c>
      <c r="Z82" s="9">
        <v>0.782791</v>
      </c>
      <c r="AA82" s="10" t="s">
        <v>85</v>
      </c>
      <c r="AB82" s="10" t="s">
        <v>85</v>
      </c>
      <c r="AC82" s="9">
        <v>0.779643</v>
      </c>
      <c r="AD82" s="9" t="s">
        <v>85</v>
      </c>
      <c r="AE82" s="9" t="s">
        <v>85</v>
      </c>
      <c r="AF82" s="9">
        <v>0.776495</v>
      </c>
      <c r="AG82" s="9" t="s">
        <v>85</v>
      </c>
      <c r="AH82" s="9" t="s">
        <v>85</v>
      </c>
      <c r="AI82" s="9">
        <v>0.755509</v>
      </c>
      <c r="AJ82" s="9" t="s">
        <v>85</v>
      </c>
      <c r="AK82" s="9" t="s">
        <v>85</v>
      </c>
      <c r="AL82" s="9">
        <v>0.743966</v>
      </c>
      <c r="AM82" s="9" t="s">
        <v>85</v>
      </c>
      <c r="AN82" s="9" t="s">
        <v>85</v>
      </c>
      <c r="AO82" s="9">
        <v>0.796432</v>
      </c>
      <c r="AP82" s="9" t="s">
        <v>85</v>
      </c>
      <c r="AQ82" s="9" t="s">
        <v>85</v>
      </c>
      <c r="AR82" s="9">
        <v>0.795383</v>
      </c>
      <c r="AS82" s="9" t="s">
        <v>85</v>
      </c>
      <c r="AT82" s="9" t="s">
        <v>85</v>
      </c>
      <c r="AU82" s="9">
        <v>0.795383</v>
      </c>
      <c r="AV82" s="9" t="s">
        <v>85</v>
      </c>
      <c r="AW82" s="9" t="s">
        <v>85</v>
      </c>
      <c r="AX82" s="9">
        <v>0.798531</v>
      </c>
      <c r="AY82" s="9" t="s">
        <v>85</v>
      </c>
      <c r="AZ82" s="9" t="s">
        <v>85</v>
      </c>
      <c r="BA82" s="9">
        <v>0.78489</v>
      </c>
      <c r="BB82" s="10" t="s">
        <v>85</v>
      </c>
      <c r="BC82" s="10" t="s">
        <v>85</v>
      </c>
      <c r="BD82" s="9">
        <v>0.803778</v>
      </c>
      <c r="BE82" s="9" t="s">
        <v>85</v>
      </c>
      <c r="BF82" s="9" t="s">
        <v>85</v>
      </c>
      <c r="BG82" s="9">
        <v>0.820567</v>
      </c>
      <c r="BH82" s="6"/>
      <c r="BI82" s="6" t="str">
        <f t="shared" si="1"/>
        <v>De_One_Acc</v>
      </c>
      <c r="BJ82" s="6" t="str">
        <f t="shared" si="2"/>
        <v>20V_One_Acc</v>
      </c>
      <c r="BK82" s="6" t="str">
        <f t="shared" si="3"/>
        <v>12VB_One_Acc</v>
      </c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</row>
    <row r="83" ht="15.75" customHeight="1">
      <c r="A83" s="1" t="s">
        <v>177</v>
      </c>
      <c r="B83" s="17">
        <v>1024.0</v>
      </c>
      <c r="C83" s="9" t="s">
        <v>85</v>
      </c>
      <c r="D83" s="9" t="s">
        <v>85</v>
      </c>
      <c r="E83" s="9">
        <v>0.927635</v>
      </c>
      <c r="F83" s="9" t="s">
        <v>85</v>
      </c>
      <c r="G83" s="9" t="s">
        <v>85</v>
      </c>
      <c r="H83" s="9">
        <v>0.577222</v>
      </c>
      <c r="I83" s="9" t="s">
        <v>85</v>
      </c>
      <c r="J83" s="9" t="s">
        <v>85</v>
      </c>
      <c r="K83" s="9">
        <v>0.930792</v>
      </c>
      <c r="L83" s="9" t="s">
        <v>85</v>
      </c>
      <c r="M83" s="9" t="s">
        <v>85</v>
      </c>
      <c r="N83" s="9">
        <v>0.932127</v>
      </c>
      <c r="O83" s="9" t="s">
        <v>85</v>
      </c>
      <c r="P83" s="9" t="s">
        <v>85</v>
      </c>
      <c r="Q83" s="9">
        <v>0.93407</v>
      </c>
      <c r="R83" s="9" t="s">
        <v>85</v>
      </c>
      <c r="S83" s="9" t="s">
        <v>85</v>
      </c>
      <c r="T83" s="9">
        <v>0.934677</v>
      </c>
      <c r="U83" s="9" t="s">
        <v>85</v>
      </c>
      <c r="V83" s="9" t="s">
        <v>85</v>
      </c>
      <c r="W83" s="9">
        <v>0.934556</v>
      </c>
      <c r="X83" s="9" t="s">
        <v>85</v>
      </c>
      <c r="Y83" s="9" t="s">
        <v>85</v>
      </c>
      <c r="Z83" s="9">
        <v>0.937227</v>
      </c>
      <c r="AA83" s="10" t="s">
        <v>85</v>
      </c>
      <c r="AB83" s="10" t="s">
        <v>85</v>
      </c>
      <c r="AC83" s="9">
        <v>0.934556</v>
      </c>
      <c r="AD83" s="9" t="s">
        <v>85</v>
      </c>
      <c r="AE83" s="9" t="s">
        <v>85</v>
      </c>
      <c r="AF83" s="9">
        <v>0.930792</v>
      </c>
      <c r="AG83" s="9" t="s">
        <v>85</v>
      </c>
      <c r="AH83" s="9" t="s">
        <v>85</v>
      </c>
      <c r="AI83" s="9">
        <v>0.937834</v>
      </c>
      <c r="AJ83" s="9" t="s">
        <v>85</v>
      </c>
      <c r="AK83" s="9" t="s">
        <v>85</v>
      </c>
      <c r="AL83" s="9">
        <v>0.939412</v>
      </c>
      <c r="AM83" s="9" t="s">
        <v>85</v>
      </c>
      <c r="AN83" s="9" t="s">
        <v>85</v>
      </c>
      <c r="AO83" s="9">
        <v>0.941234</v>
      </c>
      <c r="AP83" s="9" t="s">
        <v>85</v>
      </c>
      <c r="AQ83" s="9" t="s">
        <v>85</v>
      </c>
      <c r="AR83" s="9">
        <v>0.93577</v>
      </c>
      <c r="AS83" s="9" t="s">
        <v>85</v>
      </c>
      <c r="AT83" s="9" t="s">
        <v>85</v>
      </c>
      <c r="AU83" s="9">
        <v>0.95034</v>
      </c>
      <c r="AV83" s="9" t="s">
        <v>85</v>
      </c>
      <c r="AW83" s="9" t="s">
        <v>85</v>
      </c>
      <c r="AX83" s="9">
        <v>0.953254</v>
      </c>
      <c r="AY83" s="9" t="s">
        <v>85</v>
      </c>
      <c r="AZ83" s="9" t="s">
        <v>85</v>
      </c>
      <c r="BA83" s="9">
        <v>0.940869</v>
      </c>
      <c r="BB83" s="10" t="s">
        <v>85</v>
      </c>
      <c r="BC83" s="10" t="s">
        <v>85</v>
      </c>
      <c r="BD83" s="9">
        <v>0.954104</v>
      </c>
      <c r="BE83" s="9" t="s">
        <v>85</v>
      </c>
      <c r="BF83" s="9" t="s">
        <v>85</v>
      </c>
      <c r="BG83" s="9">
        <v>0.921442</v>
      </c>
      <c r="BH83" s="6"/>
      <c r="BI83" s="6" t="str">
        <f t="shared" si="1"/>
        <v>20V_One_Acc</v>
      </c>
      <c r="BJ83" s="6" t="str">
        <f t="shared" si="2"/>
        <v>12VB_One_Acc</v>
      </c>
      <c r="BK83" s="6" t="str">
        <f t="shared" si="3"/>
        <v>12V_One_Acc</v>
      </c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</row>
    <row r="84" ht="15.75" customHeight="1">
      <c r="A84" s="1" t="s">
        <v>178</v>
      </c>
      <c r="B84" s="17">
        <v>235.0</v>
      </c>
      <c r="C84" s="9" t="s">
        <v>85</v>
      </c>
      <c r="D84" s="9" t="s">
        <v>85</v>
      </c>
      <c r="E84" s="9">
        <v>0.908108</v>
      </c>
      <c r="F84" s="9" t="s">
        <v>85</v>
      </c>
      <c r="G84" s="9" t="s">
        <v>85</v>
      </c>
      <c r="H84" s="9">
        <v>0.643243</v>
      </c>
      <c r="I84" s="9" t="s">
        <v>85</v>
      </c>
      <c r="J84" s="9" t="s">
        <v>85</v>
      </c>
      <c r="K84" s="9">
        <v>0.910811</v>
      </c>
      <c r="L84" s="9" t="s">
        <v>85</v>
      </c>
      <c r="M84" s="9" t="s">
        <v>85</v>
      </c>
      <c r="N84" s="9">
        <v>0.913514</v>
      </c>
      <c r="O84" s="9" t="s">
        <v>85</v>
      </c>
      <c r="P84" s="9" t="s">
        <v>85</v>
      </c>
      <c r="Q84" s="9">
        <v>0.92973</v>
      </c>
      <c r="R84" s="9" t="s">
        <v>85</v>
      </c>
      <c r="S84" s="9" t="s">
        <v>85</v>
      </c>
      <c r="T84" s="9">
        <v>0.910811</v>
      </c>
      <c r="U84" s="9" t="s">
        <v>85</v>
      </c>
      <c r="V84" s="9" t="s">
        <v>85</v>
      </c>
      <c r="W84" s="9">
        <v>0.897297</v>
      </c>
      <c r="X84" s="9" t="s">
        <v>85</v>
      </c>
      <c r="Y84" s="9" t="s">
        <v>85</v>
      </c>
      <c r="Z84" s="9">
        <v>0.910811</v>
      </c>
      <c r="AA84" s="10" t="s">
        <v>85</v>
      </c>
      <c r="AB84" s="10" t="s">
        <v>85</v>
      </c>
      <c r="AC84" s="9">
        <v>0.92973</v>
      </c>
      <c r="AD84" s="9" t="s">
        <v>85</v>
      </c>
      <c r="AE84" s="9" t="s">
        <v>85</v>
      </c>
      <c r="AF84" s="9">
        <v>0.924324</v>
      </c>
      <c r="AG84" s="9" t="s">
        <v>85</v>
      </c>
      <c r="AH84" s="9" t="s">
        <v>85</v>
      </c>
      <c r="AI84" s="9">
        <v>0.918919</v>
      </c>
      <c r="AJ84" s="9" t="s">
        <v>85</v>
      </c>
      <c r="AK84" s="9" t="s">
        <v>85</v>
      </c>
      <c r="AL84" s="9">
        <v>0.918919</v>
      </c>
      <c r="AM84" s="9" t="s">
        <v>85</v>
      </c>
      <c r="AN84" s="9" t="s">
        <v>85</v>
      </c>
      <c r="AO84" s="9">
        <v>0.940541</v>
      </c>
      <c r="AP84" s="9" t="s">
        <v>85</v>
      </c>
      <c r="AQ84" s="9" t="s">
        <v>85</v>
      </c>
      <c r="AR84" s="9">
        <v>0.927027</v>
      </c>
      <c r="AS84" s="9" t="s">
        <v>85</v>
      </c>
      <c r="AT84" s="9" t="s">
        <v>85</v>
      </c>
      <c r="AU84" s="9">
        <v>0.937838</v>
      </c>
      <c r="AV84" s="9" t="s">
        <v>85</v>
      </c>
      <c r="AW84" s="9" t="s">
        <v>85</v>
      </c>
      <c r="AX84" s="9">
        <v>0.951351</v>
      </c>
      <c r="AY84" s="9" t="s">
        <v>85</v>
      </c>
      <c r="AZ84" s="9" t="s">
        <v>85</v>
      </c>
      <c r="BA84" s="9">
        <v>0.935135</v>
      </c>
      <c r="BB84" s="10" t="s">
        <v>85</v>
      </c>
      <c r="BC84" s="10" t="s">
        <v>85</v>
      </c>
      <c r="BD84" s="9">
        <v>0.943243</v>
      </c>
      <c r="BE84" s="9" t="s">
        <v>85</v>
      </c>
      <c r="BF84" s="9" t="s">
        <v>85</v>
      </c>
      <c r="BG84" s="9">
        <v>0.954054</v>
      </c>
      <c r="BH84" s="6"/>
      <c r="BI84" s="6" t="str">
        <f t="shared" si="1"/>
        <v>De_One_Acc</v>
      </c>
      <c r="BJ84" s="6" t="str">
        <f t="shared" si="2"/>
        <v>12VB_One_Acc</v>
      </c>
      <c r="BK84" s="6" t="str">
        <f t="shared" si="3"/>
        <v>20V_One_Acc</v>
      </c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</row>
    <row r="85" ht="15.75" customHeight="1">
      <c r="A85" s="1" t="s">
        <v>179</v>
      </c>
      <c r="B85" s="17">
        <v>128.0</v>
      </c>
      <c r="C85" s="9" t="s">
        <v>85</v>
      </c>
      <c r="D85" s="9" t="s">
        <v>85</v>
      </c>
      <c r="E85" s="9">
        <v>0.7408</v>
      </c>
      <c r="F85" s="9" t="s">
        <v>85</v>
      </c>
      <c r="G85" s="9" t="s">
        <v>85</v>
      </c>
      <c r="H85" s="9">
        <v>0.0528</v>
      </c>
      <c r="I85" s="9" t="s">
        <v>85</v>
      </c>
      <c r="J85" s="9" t="s">
        <v>85</v>
      </c>
      <c r="K85" s="9">
        <v>0.7808</v>
      </c>
      <c r="L85" s="9" t="s">
        <v>85</v>
      </c>
      <c r="M85" s="9" t="s">
        <v>85</v>
      </c>
      <c r="N85" s="9">
        <v>0.5424</v>
      </c>
      <c r="O85" s="9" t="s">
        <v>85</v>
      </c>
      <c r="P85" s="9" t="s">
        <v>85</v>
      </c>
      <c r="Q85" s="9">
        <v>0.7216</v>
      </c>
      <c r="R85" s="9" t="s">
        <v>85</v>
      </c>
      <c r="S85" s="9" t="s">
        <v>85</v>
      </c>
      <c r="T85" s="9">
        <v>0.7856</v>
      </c>
      <c r="U85" s="9" t="s">
        <v>85</v>
      </c>
      <c r="V85" s="9" t="s">
        <v>85</v>
      </c>
      <c r="W85" s="9">
        <v>0.8352</v>
      </c>
      <c r="X85" s="9" t="s">
        <v>85</v>
      </c>
      <c r="Y85" s="9" t="s">
        <v>85</v>
      </c>
      <c r="Z85" s="9">
        <v>0.592</v>
      </c>
      <c r="AA85" s="10" t="s">
        <v>85</v>
      </c>
      <c r="AB85" s="10" t="s">
        <v>85</v>
      </c>
      <c r="AC85" s="9">
        <v>0.7504</v>
      </c>
      <c r="AD85" s="9" t="s">
        <v>85</v>
      </c>
      <c r="AE85" s="9" t="s">
        <v>85</v>
      </c>
      <c r="AF85" s="9">
        <v>0.7984</v>
      </c>
      <c r="AG85" s="9" t="s">
        <v>85</v>
      </c>
      <c r="AH85" s="9" t="s">
        <v>85</v>
      </c>
      <c r="AI85" s="9">
        <v>0.7568</v>
      </c>
      <c r="AJ85" s="9" t="s">
        <v>85</v>
      </c>
      <c r="AK85" s="9" t="s">
        <v>85</v>
      </c>
      <c r="AL85" s="9">
        <v>0.8288</v>
      </c>
      <c r="AM85" s="9" t="s">
        <v>85</v>
      </c>
      <c r="AN85" s="9" t="s">
        <v>85</v>
      </c>
      <c r="AO85" s="9">
        <v>0.8144</v>
      </c>
      <c r="AP85" s="9" t="s">
        <v>85</v>
      </c>
      <c r="AQ85" s="9" t="s">
        <v>85</v>
      </c>
      <c r="AR85" s="9">
        <v>0.7872</v>
      </c>
      <c r="AS85" s="9" t="s">
        <v>85</v>
      </c>
      <c r="AT85" s="9" t="s">
        <v>85</v>
      </c>
      <c r="AU85" s="9">
        <v>0.8272</v>
      </c>
      <c r="AV85" s="9" t="s">
        <v>85</v>
      </c>
      <c r="AW85" s="9" t="s">
        <v>85</v>
      </c>
      <c r="AX85" s="9">
        <v>0.5824</v>
      </c>
      <c r="AY85" s="9" t="s">
        <v>85</v>
      </c>
      <c r="AZ85" s="9" t="s">
        <v>85</v>
      </c>
      <c r="BA85" s="9">
        <v>0.8016</v>
      </c>
      <c r="BB85" s="10" t="s">
        <v>85</v>
      </c>
      <c r="BC85" s="10" t="s">
        <v>85</v>
      </c>
      <c r="BD85" s="9">
        <v>0.5024</v>
      </c>
      <c r="BE85" s="9" t="s">
        <v>85</v>
      </c>
      <c r="BF85" s="9" t="s">
        <v>85</v>
      </c>
      <c r="BG85" s="9">
        <v>0.5456</v>
      </c>
      <c r="BH85" s="6"/>
      <c r="BI85" s="6" t="str">
        <f t="shared" si="1"/>
        <v>8V_One_Acc</v>
      </c>
      <c r="BJ85" s="6" t="str">
        <f t="shared" si="2"/>
        <v>10VB_One_Acc</v>
      </c>
      <c r="BK85" s="6" t="str">
        <f t="shared" si="3"/>
        <v>12V_One_Acc</v>
      </c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</row>
    <row r="86" ht="15.75" customHeight="1">
      <c r="A86" s="1" t="s">
        <v>180</v>
      </c>
      <c r="B86" s="17">
        <v>398.0</v>
      </c>
      <c r="C86" s="9" t="s">
        <v>85</v>
      </c>
      <c r="D86" s="9" t="s">
        <v>85</v>
      </c>
      <c r="E86" s="9">
        <v>0.738693</v>
      </c>
      <c r="F86" s="9" t="s">
        <v>85</v>
      </c>
      <c r="G86" s="9" t="s">
        <v>85</v>
      </c>
      <c r="H86" s="9">
        <v>0.173869</v>
      </c>
      <c r="I86" s="9" t="s">
        <v>85</v>
      </c>
      <c r="J86" s="9" t="s">
        <v>85</v>
      </c>
      <c r="K86" s="9">
        <v>0.747739</v>
      </c>
      <c r="L86" s="9" t="s">
        <v>85</v>
      </c>
      <c r="M86" s="9" t="s">
        <v>85</v>
      </c>
      <c r="N86" s="9">
        <v>0.78995</v>
      </c>
      <c r="O86" s="9" t="s">
        <v>85</v>
      </c>
      <c r="P86" s="9" t="s">
        <v>85</v>
      </c>
      <c r="Q86" s="9">
        <v>0.735678</v>
      </c>
      <c r="R86" s="9" t="s">
        <v>85</v>
      </c>
      <c r="S86" s="9" t="s">
        <v>85</v>
      </c>
      <c r="T86" s="9">
        <v>0.809045</v>
      </c>
      <c r="U86" s="9" t="s">
        <v>85</v>
      </c>
      <c r="V86" s="9" t="s">
        <v>85</v>
      </c>
      <c r="W86" s="9">
        <v>0.777889</v>
      </c>
      <c r="X86" s="9" t="s">
        <v>85</v>
      </c>
      <c r="Y86" s="9" t="s">
        <v>85</v>
      </c>
      <c r="Z86" s="9">
        <v>0.838191</v>
      </c>
      <c r="AA86" s="10" t="s">
        <v>85</v>
      </c>
      <c r="AB86" s="10" t="s">
        <v>85</v>
      </c>
      <c r="AC86" s="9">
        <v>0.750754</v>
      </c>
      <c r="AD86" s="9" t="s">
        <v>85</v>
      </c>
      <c r="AE86" s="9" t="s">
        <v>85</v>
      </c>
      <c r="AF86" s="9">
        <v>0.715578</v>
      </c>
      <c r="AG86" s="9" t="s">
        <v>85</v>
      </c>
      <c r="AH86" s="9" t="s">
        <v>85</v>
      </c>
      <c r="AI86" s="9">
        <v>0.729648</v>
      </c>
      <c r="AJ86" s="9" t="s">
        <v>85</v>
      </c>
      <c r="AK86" s="9" t="s">
        <v>85</v>
      </c>
      <c r="AL86" s="9">
        <v>0.776884</v>
      </c>
      <c r="AM86" s="9" t="s">
        <v>85</v>
      </c>
      <c r="AN86" s="9" t="s">
        <v>85</v>
      </c>
      <c r="AO86" s="9">
        <v>0.743719</v>
      </c>
      <c r="AP86" s="9" t="s">
        <v>85</v>
      </c>
      <c r="AQ86" s="9" t="s">
        <v>85</v>
      </c>
      <c r="AR86" s="9">
        <v>0.768844</v>
      </c>
      <c r="AS86" s="9" t="s">
        <v>85</v>
      </c>
      <c r="AT86" s="9" t="s">
        <v>85</v>
      </c>
      <c r="AU86" s="9">
        <v>0.780905</v>
      </c>
      <c r="AV86" s="9" t="s">
        <v>85</v>
      </c>
      <c r="AW86" s="9" t="s">
        <v>85</v>
      </c>
      <c r="AX86" s="9">
        <v>0.81407</v>
      </c>
      <c r="AY86" s="9" t="s">
        <v>85</v>
      </c>
      <c r="AZ86" s="9" t="s">
        <v>85</v>
      </c>
      <c r="BA86" s="9">
        <v>0.61206</v>
      </c>
      <c r="BB86" s="10" t="s">
        <v>85</v>
      </c>
      <c r="BC86" s="10" t="s">
        <v>85</v>
      </c>
      <c r="BD86" s="9">
        <v>0.78191</v>
      </c>
      <c r="BE86" s="9" t="s">
        <v>85</v>
      </c>
      <c r="BF86" s="9" t="s">
        <v>85</v>
      </c>
      <c r="BG86" s="9">
        <v>0.716583</v>
      </c>
      <c r="BH86" s="6"/>
      <c r="BI86" s="6" t="str">
        <f t="shared" si="1"/>
        <v>8VB_One_Acc</v>
      </c>
      <c r="BJ86" s="6" t="str">
        <f t="shared" si="2"/>
        <v>12VB_One_Acc</v>
      </c>
      <c r="BK86" s="6" t="str">
        <f t="shared" si="3"/>
        <v>8BN_One_Acc</v>
      </c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</row>
    <row r="87" ht="15.75" customHeight="1">
      <c r="A87" s="1" t="s">
        <v>181</v>
      </c>
      <c r="B87" s="17">
        <v>60.0</v>
      </c>
      <c r="C87" s="9" t="s">
        <v>85</v>
      </c>
      <c r="D87" s="9" t="s">
        <v>85</v>
      </c>
      <c r="E87" s="9">
        <v>0.963333</v>
      </c>
      <c r="F87" s="9" t="s">
        <v>85</v>
      </c>
      <c r="G87" s="9" t="s">
        <v>85</v>
      </c>
      <c r="H87" s="9">
        <v>0.166667</v>
      </c>
      <c r="I87" s="9" t="s">
        <v>85</v>
      </c>
      <c r="J87" s="9" t="s">
        <v>85</v>
      </c>
      <c r="K87" s="9">
        <v>0.94</v>
      </c>
      <c r="L87" s="9" t="s">
        <v>85</v>
      </c>
      <c r="M87" s="9" t="s">
        <v>85</v>
      </c>
      <c r="N87" s="9">
        <v>0.943333</v>
      </c>
      <c r="O87" s="9" t="s">
        <v>85</v>
      </c>
      <c r="P87" s="9" t="s">
        <v>85</v>
      </c>
      <c r="Q87" s="9">
        <v>0.963333</v>
      </c>
      <c r="R87" s="9" t="s">
        <v>85</v>
      </c>
      <c r="S87" s="9" t="s">
        <v>85</v>
      </c>
      <c r="T87" s="9">
        <v>0.96</v>
      </c>
      <c r="U87" s="9" t="s">
        <v>85</v>
      </c>
      <c r="V87" s="9" t="s">
        <v>85</v>
      </c>
      <c r="W87" s="9">
        <v>0.933333</v>
      </c>
      <c r="X87" s="9" t="s">
        <v>85</v>
      </c>
      <c r="Y87" s="9" t="s">
        <v>85</v>
      </c>
      <c r="Z87" s="9">
        <v>0.93</v>
      </c>
      <c r="AA87" s="10" t="s">
        <v>85</v>
      </c>
      <c r="AB87" s="10" t="s">
        <v>85</v>
      </c>
      <c r="AC87" s="9">
        <v>0.946667</v>
      </c>
      <c r="AD87" s="9" t="s">
        <v>85</v>
      </c>
      <c r="AE87" s="9" t="s">
        <v>85</v>
      </c>
      <c r="AF87" s="9">
        <v>0.96</v>
      </c>
      <c r="AG87" s="9" t="s">
        <v>85</v>
      </c>
      <c r="AH87" s="9" t="s">
        <v>85</v>
      </c>
      <c r="AI87" s="9">
        <v>0.963333</v>
      </c>
      <c r="AJ87" s="9" t="s">
        <v>85</v>
      </c>
      <c r="AK87" s="9" t="s">
        <v>85</v>
      </c>
      <c r="AL87" s="9">
        <v>0.953333</v>
      </c>
      <c r="AM87" s="9" t="s">
        <v>85</v>
      </c>
      <c r="AN87" s="9" t="s">
        <v>85</v>
      </c>
      <c r="AO87" s="9">
        <v>0.983333</v>
      </c>
      <c r="AP87" s="9" t="s">
        <v>85</v>
      </c>
      <c r="AQ87" s="9" t="s">
        <v>85</v>
      </c>
      <c r="AR87" s="9">
        <v>0.983333</v>
      </c>
      <c r="AS87" s="9" t="s">
        <v>85</v>
      </c>
      <c r="AT87" s="9" t="s">
        <v>85</v>
      </c>
      <c r="AU87" s="9">
        <v>0.946667</v>
      </c>
      <c r="AV87" s="9" t="s">
        <v>85</v>
      </c>
      <c r="AW87" s="9" t="s">
        <v>85</v>
      </c>
      <c r="AX87" s="9">
        <v>0.956667</v>
      </c>
      <c r="AY87" s="9" t="s">
        <v>85</v>
      </c>
      <c r="AZ87" s="9" t="s">
        <v>85</v>
      </c>
      <c r="BA87" s="9">
        <v>0.993333</v>
      </c>
      <c r="BB87" s="10" t="s">
        <v>85</v>
      </c>
      <c r="BC87" s="10" t="s">
        <v>85</v>
      </c>
      <c r="BD87" s="9">
        <v>0.96</v>
      </c>
      <c r="BE87" s="9" t="s">
        <v>85</v>
      </c>
      <c r="BF87" s="9" t="s">
        <v>85</v>
      </c>
      <c r="BG87" s="9">
        <v>0.853333</v>
      </c>
      <c r="BH87" s="6"/>
      <c r="BI87" s="6" t="str">
        <f t="shared" si="1"/>
        <v>20B_One_Acc</v>
      </c>
      <c r="BJ87" s="6" t="str">
        <f t="shared" si="2"/>
        <v>12B_One_Acc</v>
      </c>
      <c r="BK87" s="6" t="str">
        <f t="shared" si="3"/>
        <v>12B_One_Acc</v>
      </c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</row>
    <row r="88" ht="15.75" customHeight="1">
      <c r="A88" s="1" t="s">
        <v>182</v>
      </c>
      <c r="B88" s="17">
        <v>277.0</v>
      </c>
      <c r="C88" s="9" t="s">
        <v>85</v>
      </c>
      <c r="D88" s="9" t="s">
        <v>85</v>
      </c>
      <c r="E88" s="9">
        <v>0.758772</v>
      </c>
      <c r="F88" s="9" t="s">
        <v>85</v>
      </c>
      <c r="G88" s="9" t="s">
        <v>85</v>
      </c>
      <c r="H88" s="9">
        <v>0.04386</v>
      </c>
      <c r="I88" s="9" t="s">
        <v>85</v>
      </c>
      <c r="J88" s="9" t="s">
        <v>85</v>
      </c>
      <c r="K88" s="9">
        <v>0.719298</v>
      </c>
      <c r="L88" s="9" t="s">
        <v>85</v>
      </c>
      <c r="M88" s="9" t="s">
        <v>85</v>
      </c>
      <c r="N88" s="9">
        <v>0.723684</v>
      </c>
      <c r="O88" s="9" t="s">
        <v>85</v>
      </c>
      <c r="P88" s="9" t="s">
        <v>85</v>
      </c>
      <c r="Q88" s="9">
        <v>0.671053</v>
      </c>
      <c r="R88" s="9" t="s">
        <v>85</v>
      </c>
      <c r="S88" s="9" t="s">
        <v>85</v>
      </c>
      <c r="T88" s="9">
        <v>0.666667</v>
      </c>
      <c r="U88" s="9" t="s">
        <v>85</v>
      </c>
      <c r="V88" s="9" t="s">
        <v>85</v>
      </c>
      <c r="W88" s="9">
        <v>0.72807</v>
      </c>
      <c r="X88" s="9" t="s">
        <v>85</v>
      </c>
      <c r="Y88" s="9" t="s">
        <v>85</v>
      </c>
      <c r="Z88" s="9">
        <v>0.75</v>
      </c>
      <c r="AA88" s="10" t="s">
        <v>85</v>
      </c>
      <c r="AB88" s="10" t="s">
        <v>85</v>
      </c>
      <c r="AC88" s="9">
        <v>0.692982</v>
      </c>
      <c r="AD88" s="9" t="s">
        <v>85</v>
      </c>
      <c r="AE88" s="9" t="s">
        <v>85</v>
      </c>
      <c r="AF88" s="9">
        <v>0.692982</v>
      </c>
      <c r="AG88" s="9" t="s">
        <v>85</v>
      </c>
      <c r="AH88" s="9" t="s">
        <v>85</v>
      </c>
      <c r="AI88" s="9">
        <v>0.714912</v>
      </c>
      <c r="AJ88" s="9" t="s">
        <v>85</v>
      </c>
      <c r="AK88" s="9" t="s">
        <v>85</v>
      </c>
      <c r="AL88" s="9">
        <v>0.732456</v>
      </c>
      <c r="AM88" s="9" t="s">
        <v>85</v>
      </c>
      <c r="AN88" s="9" t="s">
        <v>85</v>
      </c>
      <c r="AO88" s="9">
        <v>0.666667</v>
      </c>
      <c r="AP88" s="9" t="s">
        <v>85</v>
      </c>
      <c r="AQ88" s="9" t="s">
        <v>85</v>
      </c>
      <c r="AR88" s="9">
        <v>0.684211</v>
      </c>
      <c r="AS88" s="9" t="s">
        <v>85</v>
      </c>
      <c r="AT88" s="9" t="s">
        <v>85</v>
      </c>
      <c r="AU88" s="9">
        <v>0.714912</v>
      </c>
      <c r="AV88" s="9" t="s">
        <v>85</v>
      </c>
      <c r="AW88" s="9" t="s">
        <v>85</v>
      </c>
      <c r="AX88" s="9">
        <v>0.70614</v>
      </c>
      <c r="AY88" s="9" t="s">
        <v>85</v>
      </c>
      <c r="AZ88" s="9" t="s">
        <v>85</v>
      </c>
      <c r="BA88" s="9">
        <v>0.671053</v>
      </c>
      <c r="BB88" s="10" t="s">
        <v>85</v>
      </c>
      <c r="BC88" s="10" t="s">
        <v>85</v>
      </c>
      <c r="BD88" s="9">
        <v>0.679825</v>
      </c>
      <c r="BE88" s="9" t="s">
        <v>85</v>
      </c>
      <c r="BF88" s="9" t="s">
        <v>85</v>
      </c>
      <c r="BG88" s="9">
        <v>0.583333</v>
      </c>
      <c r="BH88" s="6"/>
      <c r="BI88" s="6" t="str">
        <f t="shared" si="1"/>
        <v>5B_One_Acc</v>
      </c>
      <c r="BJ88" s="6" t="str">
        <f t="shared" si="2"/>
        <v>8VB_One_Acc</v>
      </c>
      <c r="BK88" s="6" t="str">
        <f t="shared" si="3"/>
        <v>10VB_One_Acc</v>
      </c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</row>
    <row r="89" ht="15.75" customHeight="1">
      <c r="A89" s="1" t="s">
        <v>183</v>
      </c>
      <c r="B89" s="17">
        <v>343.0</v>
      </c>
      <c r="C89" s="9" t="s">
        <v>85</v>
      </c>
      <c r="D89" s="9" t="s">
        <v>85</v>
      </c>
      <c r="E89" s="9">
        <v>0.823077</v>
      </c>
      <c r="F89" s="9" t="s">
        <v>85</v>
      </c>
      <c r="G89" s="9" t="s">
        <v>85</v>
      </c>
      <c r="H89" s="9">
        <v>0.169231</v>
      </c>
      <c r="I89" s="9" t="s">
        <v>85</v>
      </c>
      <c r="J89" s="9" t="s">
        <v>85</v>
      </c>
      <c r="K89" s="9">
        <v>0.784615</v>
      </c>
      <c r="L89" s="9" t="s">
        <v>85</v>
      </c>
      <c r="M89" s="9" t="s">
        <v>85</v>
      </c>
      <c r="N89" s="9">
        <v>0.784615</v>
      </c>
      <c r="O89" s="9" t="s">
        <v>85</v>
      </c>
      <c r="P89" s="9" t="s">
        <v>85</v>
      </c>
      <c r="Q89" s="9">
        <v>0.792308</v>
      </c>
      <c r="R89" s="9" t="s">
        <v>85</v>
      </c>
      <c r="S89" s="9" t="s">
        <v>85</v>
      </c>
      <c r="T89" s="9">
        <v>0.830769</v>
      </c>
      <c r="U89" s="9" t="s">
        <v>85</v>
      </c>
      <c r="V89" s="9" t="s">
        <v>85</v>
      </c>
      <c r="W89" s="9">
        <v>0.838462</v>
      </c>
      <c r="X89" s="9" t="s">
        <v>85</v>
      </c>
      <c r="Y89" s="9" t="s">
        <v>85</v>
      </c>
      <c r="Z89" s="9">
        <v>0.838462</v>
      </c>
      <c r="AA89" s="10" t="s">
        <v>85</v>
      </c>
      <c r="AB89" s="10" t="s">
        <v>85</v>
      </c>
      <c r="AC89" s="9">
        <v>0.838462</v>
      </c>
      <c r="AD89" s="9" t="s">
        <v>85</v>
      </c>
      <c r="AE89" s="9" t="s">
        <v>85</v>
      </c>
      <c r="AF89" s="9">
        <v>0.830769</v>
      </c>
      <c r="AG89" s="9" t="s">
        <v>85</v>
      </c>
      <c r="AH89" s="9" t="s">
        <v>85</v>
      </c>
      <c r="AI89" s="9">
        <v>0.746154</v>
      </c>
      <c r="AJ89" s="9" t="s">
        <v>85</v>
      </c>
      <c r="AK89" s="9" t="s">
        <v>85</v>
      </c>
      <c r="AL89" s="9">
        <v>0.792308</v>
      </c>
      <c r="AM89" s="9" t="s">
        <v>85</v>
      </c>
      <c r="AN89" s="9" t="s">
        <v>85</v>
      </c>
      <c r="AO89" s="9">
        <v>0.838462</v>
      </c>
      <c r="AP89" s="9" t="s">
        <v>85</v>
      </c>
      <c r="AQ89" s="9" t="s">
        <v>85</v>
      </c>
      <c r="AR89" s="9">
        <v>0.823077</v>
      </c>
      <c r="AS89" s="9" t="s">
        <v>85</v>
      </c>
      <c r="AT89" s="9" t="s">
        <v>85</v>
      </c>
      <c r="AU89" s="9">
        <v>0.715385</v>
      </c>
      <c r="AV89" s="9" t="s">
        <v>85</v>
      </c>
      <c r="AW89" s="9" t="s">
        <v>85</v>
      </c>
      <c r="AX89" s="9">
        <v>0.784615</v>
      </c>
      <c r="AY89" s="9" t="s">
        <v>85</v>
      </c>
      <c r="AZ89" s="9" t="s">
        <v>85</v>
      </c>
      <c r="BA89" s="9">
        <v>0.784615</v>
      </c>
      <c r="BB89" s="10" t="s">
        <v>85</v>
      </c>
      <c r="BC89" s="10" t="s">
        <v>85</v>
      </c>
      <c r="BD89" s="9">
        <v>0.776923</v>
      </c>
      <c r="BE89" s="9" t="s">
        <v>85</v>
      </c>
      <c r="BF89" s="9" t="s">
        <v>85</v>
      </c>
      <c r="BG89" s="9">
        <v>0.676923</v>
      </c>
      <c r="BH89" s="6"/>
      <c r="BI89" s="6" t="str">
        <f t="shared" si="1"/>
        <v>8V_One_Acc</v>
      </c>
      <c r="BJ89" s="6" t="str">
        <f t="shared" si="2"/>
        <v>8V_One_Acc</v>
      </c>
      <c r="BK89" s="6" t="str">
        <f t="shared" si="3"/>
        <v>8V_One_Acc</v>
      </c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</row>
    <row r="90" ht="15.75" customHeight="1">
      <c r="A90" s="1" t="s">
        <v>184</v>
      </c>
      <c r="B90" s="17">
        <v>275.0</v>
      </c>
      <c r="C90" s="9" t="s">
        <v>85</v>
      </c>
      <c r="D90" s="9" t="s">
        <v>85</v>
      </c>
      <c r="E90" s="9">
        <v>1.0</v>
      </c>
      <c r="F90" s="9" t="s">
        <v>85</v>
      </c>
      <c r="G90" s="9" t="s">
        <v>85</v>
      </c>
      <c r="H90" s="9">
        <v>0.25</v>
      </c>
      <c r="I90" s="9" t="s">
        <v>85</v>
      </c>
      <c r="J90" s="9" t="s">
        <v>85</v>
      </c>
      <c r="K90" s="9">
        <v>0.99</v>
      </c>
      <c r="L90" s="9" t="s">
        <v>85</v>
      </c>
      <c r="M90" s="9" t="s">
        <v>85</v>
      </c>
      <c r="N90" s="9">
        <v>0.99</v>
      </c>
      <c r="O90" s="9" t="s">
        <v>85</v>
      </c>
      <c r="P90" s="9" t="s">
        <v>85</v>
      </c>
      <c r="Q90" s="9">
        <v>1.0</v>
      </c>
      <c r="R90" s="9" t="s">
        <v>85</v>
      </c>
      <c r="S90" s="9" t="s">
        <v>85</v>
      </c>
      <c r="T90" s="9">
        <v>1.0</v>
      </c>
      <c r="U90" s="9" t="s">
        <v>85</v>
      </c>
      <c r="V90" s="9" t="s">
        <v>85</v>
      </c>
      <c r="W90" s="9">
        <v>0.97</v>
      </c>
      <c r="X90" s="9" t="s">
        <v>85</v>
      </c>
      <c r="Y90" s="9" t="s">
        <v>85</v>
      </c>
      <c r="Z90" s="9">
        <v>0.97</v>
      </c>
      <c r="AA90" s="10" t="s">
        <v>85</v>
      </c>
      <c r="AB90" s="10" t="s">
        <v>85</v>
      </c>
      <c r="AC90" s="9">
        <v>1.0</v>
      </c>
      <c r="AD90" s="9" t="s">
        <v>85</v>
      </c>
      <c r="AE90" s="9" t="s">
        <v>85</v>
      </c>
      <c r="AF90" s="9">
        <v>1.0</v>
      </c>
      <c r="AG90" s="9" t="s">
        <v>85</v>
      </c>
      <c r="AH90" s="9" t="s">
        <v>85</v>
      </c>
      <c r="AI90" s="9">
        <v>0.99</v>
      </c>
      <c r="AJ90" s="9" t="s">
        <v>85</v>
      </c>
      <c r="AK90" s="9" t="s">
        <v>85</v>
      </c>
      <c r="AL90" s="9">
        <v>0.99</v>
      </c>
      <c r="AM90" s="9" t="s">
        <v>85</v>
      </c>
      <c r="AN90" s="9" t="s">
        <v>85</v>
      </c>
      <c r="AO90" s="9">
        <v>1.0</v>
      </c>
      <c r="AP90" s="9" t="s">
        <v>85</v>
      </c>
      <c r="AQ90" s="9" t="s">
        <v>85</v>
      </c>
      <c r="AR90" s="9">
        <v>1.0</v>
      </c>
      <c r="AS90" s="9" t="s">
        <v>85</v>
      </c>
      <c r="AT90" s="9" t="s">
        <v>85</v>
      </c>
      <c r="AU90" s="9">
        <v>0.99</v>
      </c>
      <c r="AV90" s="9" t="s">
        <v>85</v>
      </c>
      <c r="AW90" s="9" t="s">
        <v>85</v>
      </c>
      <c r="AX90" s="9">
        <v>0.99</v>
      </c>
      <c r="AY90" s="9" t="s">
        <v>85</v>
      </c>
      <c r="AZ90" s="9" t="s">
        <v>85</v>
      </c>
      <c r="BA90" s="9">
        <v>1.0</v>
      </c>
      <c r="BB90" s="10" t="s">
        <v>85</v>
      </c>
      <c r="BC90" s="10" t="s">
        <v>85</v>
      </c>
      <c r="BD90" s="9">
        <v>1.0</v>
      </c>
      <c r="BE90" s="9" t="s">
        <v>85</v>
      </c>
      <c r="BF90" s="9" t="s">
        <v>85</v>
      </c>
      <c r="BG90" s="9">
        <v>0.47</v>
      </c>
      <c r="BH90" s="6"/>
      <c r="BI90" s="6" t="str">
        <f t="shared" si="1"/>
        <v>5B_One_Acc</v>
      </c>
      <c r="BJ90" s="6" t="str">
        <f t="shared" si="2"/>
        <v>5B_One_Acc</v>
      </c>
      <c r="BK90" s="6" t="str">
        <f t="shared" si="3"/>
        <v>5B_One_Acc</v>
      </c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</row>
    <row r="91" ht="15.75" customHeight="1">
      <c r="A91" s="1" t="s">
        <v>185</v>
      </c>
      <c r="B91" s="17">
        <v>82.0</v>
      </c>
      <c r="C91" s="9" t="s">
        <v>85</v>
      </c>
      <c r="D91" s="9" t="s">
        <v>85</v>
      </c>
      <c r="E91" s="9">
        <v>0.772608</v>
      </c>
      <c r="F91" s="9" t="s">
        <v>85</v>
      </c>
      <c r="G91" s="9" t="s">
        <v>85</v>
      </c>
      <c r="H91" s="9">
        <v>0.499561</v>
      </c>
      <c r="I91" s="9" t="s">
        <v>85</v>
      </c>
      <c r="J91" s="9" t="s">
        <v>85</v>
      </c>
      <c r="K91" s="9">
        <v>0.872695</v>
      </c>
      <c r="L91" s="9" t="s">
        <v>85</v>
      </c>
      <c r="M91" s="9" t="s">
        <v>85</v>
      </c>
      <c r="N91" s="9">
        <v>0.854258</v>
      </c>
      <c r="O91" s="9" t="s">
        <v>85</v>
      </c>
      <c r="P91" s="9" t="s">
        <v>85</v>
      </c>
      <c r="Q91" s="9">
        <v>0.725198</v>
      </c>
      <c r="R91" s="9" t="s">
        <v>85</v>
      </c>
      <c r="S91" s="9" t="s">
        <v>85</v>
      </c>
      <c r="T91" s="9">
        <v>0.720808</v>
      </c>
      <c r="U91" s="9" t="s">
        <v>85</v>
      </c>
      <c r="V91" s="9" t="s">
        <v>85</v>
      </c>
      <c r="W91" s="9">
        <v>0.837577</v>
      </c>
      <c r="X91" s="9" t="s">
        <v>85</v>
      </c>
      <c r="Y91" s="9" t="s">
        <v>85</v>
      </c>
      <c r="Z91" s="9">
        <v>0.845478</v>
      </c>
      <c r="AA91" s="10" t="s">
        <v>85</v>
      </c>
      <c r="AB91" s="10" t="s">
        <v>85</v>
      </c>
      <c r="AC91" s="9">
        <v>0.71993</v>
      </c>
      <c r="AD91" s="9" t="s">
        <v>85</v>
      </c>
      <c r="AE91" s="9" t="s">
        <v>85</v>
      </c>
      <c r="AF91" s="9">
        <v>0.757682</v>
      </c>
      <c r="AG91" s="9" t="s">
        <v>85</v>
      </c>
      <c r="AH91" s="9" t="s">
        <v>85</v>
      </c>
      <c r="AI91" s="9">
        <v>0.906058</v>
      </c>
      <c r="AJ91" s="9" t="s">
        <v>85</v>
      </c>
      <c r="AK91" s="9" t="s">
        <v>85</v>
      </c>
      <c r="AL91" s="9">
        <v>0.864794</v>
      </c>
      <c r="AM91" s="9" t="s">
        <v>85</v>
      </c>
      <c r="AN91" s="9" t="s">
        <v>85</v>
      </c>
      <c r="AO91" s="9">
        <v>0.737489</v>
      </c>
      <c r="AP91" s="9" t="s">
        <v>85</v>
      </c>
      <c r="AQ91" s="9" t="s">
        <v>85</v>
      </c>
      <c r="AR91" s="9">
        <v>0.745391</v>
      </c>
      <c r="AS91" s="9" t="s">
        <v>85</v>
      </c>
      <c r="AT91" s="9" t="s">
        <v>85</v>
      </c>
      <c r="AU91" s="9">
        <v>0.833187</v>
      </c>
      <c r="AV91" s="9" t="s">
        <v>85</v>
      </c>
      <c r="AW91" s="9" t="s">
        <v>85</v>
      </c>
      <c r="AX91" s="9">
        <v>0.835821</v>
      </c>
      <c r="AY91" s="9" t="s">
        <v>85</v>
      </c>
      <c r="AZ91" s="9" t="s">
        <v>85</v>
      </c>
      <c r="BA91" s="9">
        <v>0.714662</v>
      </c>
      <c r="BB91" s="10" t="s">
        <v>85</v>
      </c>
      <c r="BC91" s="10" t="s">
        <v>85</v>
      </c>
      <c r="BD91" s="9">
        <v>0.774363</v>
      </c>
      <c r="BE91" s="9" t="s">
        <v>85</v>
      </c>
      <c r="BF91" s="9" t="s">
        <v>85</v>
      </c>
      <c r="BG91" s="9">
        <v>0.62072</v>
      </c>
      <c r="BH91" s="6"/>
      <c r="BI91" s="6" t="str">
        <f t="shared" si="1"/>
        <v>10V_One_Acc</v>
      </c>
      <c r="BJ91" s="6" t="str">
        <f t="shared" si="2"/>
        <v>5V_One_Acc</v>
      </c>
      <c r="BK91" s="6" t="str">
        <f t="shared" si="3"/>
        <v>10VB_One_Acc</v>
      </c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</row>
    <row r="92" ht="15.75" customHeight="1">
      <c r="A92" s="1" t="s">
        <v>186</v>
      </c>
      <c r="B92" s="17">
        <v>128.0</v>
      </c>
      <c r="C92" s="9" t="s">
        <v>85</v>
      </c>
      <c r="D92" s="9" t="s">
        <v>85</v>
      </c>
      <c r="E92" s="9">
        <v>0.4965</v>
      </c>
      <c r="F92" s="9" t="s">
        <v>85</v>
      </c>
      <c r="G92" s="9" t="s">
        <v>85</v>
      </c>
      <c r="H92" s="9">
        <v>0.25875</v>
      </c>
      <c r="I92" s="9" t="s">
        <v>85</v>
      </c>
      <c r="J92" s="9" t="s">
        <v>85</v>
      </c>
      <c r="K92" s="9">
        <v>0.62775</v>
      </c>
      <c r="L92" s="9" t="s">
        <v>85</v>
      </c>
      <c r="M92" s="9" t="s">
        <v>85</v>
      </c>
      <c r="N92" s="9">
        <v>0.602</v>
      </c>
      <c r="O92" s="9" t="s">
        <v>85</v>
      </c>
      <c r="P92" s="9" t="s">
        <v>85</v>
      </c>
      <c r="Q92" s="9">
        <v>0.5255</v>
      </c>
      <c r="R92" s="9" t="s">
        <v>85</v>
      </c>
      <c r="S92" s="9" t="s">
        <v>85</v>
      </c>
      <c r="T92" s="9">
        <v>0.53</v>
      </c>
      <c r="U92" s="9" t="s">
        <v>85</v>
      </c>
      <c r="V92" s="9" t="s">
        <v>85</v>
      </c>
      <c r="W92" s="9">
        <v>0.39375</v>
      </c>
      <c r="X92" s="9" t="s">
        <v>85</v>
      </c>
      <c r="Y92" s="9" t="s">
        <v>85</v>
      </c>
      <c r="Z92" s="9">
        <v>0.48875</v>
      </c>
      <c r="AA92" s="10" t="s">
        <v>85</v>
      </c>
      <c r="AB92" s="10" t="s">
        <v>85</v>
      </c>
      <c r="AC92" s="9">
        <v>0.53875</v>
      </c>
      <c r="AD92" s="9" t="s">
        <v>85</v>
      </c>
      <c r="AE92" s="9" t="s">
        <v>85</v>
      </c>
      <c r="AF92" s="9">
        <v>0.55</v>
      </c>
      <c r="AG92" s="9" t="s">
        <v>85</v>
      </c>
      <c r="AH92" s="9" t="s">
        <v>85</v>
      </c>
      <c r="AI92" s="9">
        <v>0.324</v>
      </c>
      <c r="AJ92" s="9" t="s">
        <v>85</v>
      </c>
      <c r="AK92" s="9" t="s">
        <v>85</v>
      </c>
      <c r="AL92" s="9">
        <v>0.25875</v>
      </c>
      <c r="AM92" s="9" t="s">
        <v>85</v>
      </c>
      <c r="AN92" s="9" t="s">
        <v>85</v>
      </c>
      <c r="AO92" s="9">
        <v>0.43075</v>
      </c>
      <c r="AP92" s="9" t="s">
        <v>85</v>
      </c>
      <c r="AQ92" s="9" t="s">
        <v>85</v>
      </c>
      <c r="AR92" s="9">
        <v>0.50025</v>
      </c>
      <c r="AS92" s="9" t="s">
        <v>85</v>
      </c>
      <c r="AT92" s="9" t="s">
        <v>85</v>
      </c>
      <c r="AU92" s="9">
        <v>0.407</v>
      </c>
      <c r="AV92" s="9" t="s">
        <v>85</v>
      </c>
      <c r="AW92" s="9" t="s">
        <v>85</v>
      </c>
      <c r="AX92" s="9">
        <v>0.4795</v>
      </c>
      <c r="AY92" s="9" t="s">
        <v>85</v>
      </c>
      <c r="AZ92" s="9" t="s">
        <v>85</v>
      </c>
      <c r="BA92" s="9">
        <v>0.53325</v>
      </c>
      <c r="BB92" s="10" t="s">
        <v>85</v>
      </c>
      <c r="BC92" s="10" t="s">
        <v>85</v>
      </c>
      <c r="BD92" s="9">
        <v>0.25875</v>
      </c>
      <c r="BE92" s="9" t="s">
        <v>85</v>
      </c>
      <c r="BF92" s="9" t="s">
        <v>85</v>
      </c>
      <c r="BG92" s="9">
        <v>0.83475</v>
      </c>
      <c r="BH92" s="6"/>
      <c r="BI92" s="6" t="str">
        <f t="shared" si="1"/>
        <v>De_One_Acc</v>
      </c>
      <c r="BJ92" s="6" t="str">
        <f t="shared" si="2"/>
        <v>5V_One_Acc</v>
      </c>
      <c r="BK92" s="6" t="str">
        <f t="shared" si="3"/>
        <v>5VB_One_Acc</v>
      </c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</row>
    <row r="93" ht="15.75" customHeight="1">
      <c r="A93" s="1" t="s">
        <v>187</v>
      </c>
      <c r="B93" s="17">
        <v>150.0</v>
      </c>
      <c r="C93" s="9" t="s">
        <v>85</v>
      </c>
      <c r="D93" s="9" t="s">
        <v>85</v>
      </c>
      <c r="E93" s="9">
        <v>0.868056</v>
      </c>
      <c r="F93" s="9" t="s">
        <v>85</v>
      </c>
      <c r="G93" s="9" t="s">
        <v>85</v>
      </c>
      <c r="H93" s="9">
        <v>0.333333</v>
      </c>
      <c r="I93" s="9" t="s">
        <v>85</v>
      </c>
      <c r="J93" s="9" t="s">
        <v>85</v>
      </c>
      <c r="K93" s="9">
        <v>0.805556</v>
      </c>
      <c r="L93" s="9" t="s">
        <v>85</v>
      </c>
      <c r="M93" s="9" t="s">
        <v>85</v>
      </c>
      <c r="N93" s="9">
        <v>0.826389</v>
      </c>
      <c r="O93" s="9" t="s">
        <v>85</v>
      </c>
      <c r="P93" s="9" t="s">
        <v>85</v>
      </c>
      <c r="Q93" s="9">
        <v>0.881944</v>
      </c>
      <c r="R93" s="9" t="s">
        <v>85</v>
      </c>
      <c r="S93" s="9" t="s">
        <v>85</v>
      </c>
      <c r="T93" s="9">
        <v>0.861111</v>
      </c>
      <c r="U93" s="9" t="s">
        <v>85</v>
      </c>
      <c r="V93" s="9" t="s">
        <v>85</v>
      </c>
      <c r="W93" s="9">
        <v>0.930556</v>
      </c>
      <c r="X93" s="9" t="s">
        <v>85</v>
      </c>
      <c r="Y93" s="9" t="s">
        <v>85</v>
      </c>
      <c r="Z93" s="9">
        <v>0.965278</v>
      </c>
      <c r="AA93" s="10" t="s">
        <v>85</v>
      </c>
      <c r="AB93" s="10" t="s">
        <v>85</v>
      </c>
      <c r="AC93" s="9">
        <v>0.881944</v>
      </c>
      <c r="AD93" s="9" t="s">
        <v>85</v>
      </c>
      <c r="AE93" s="9" t="s">
        <v>85</v>
      </c>
      <c r="AF93" s="9">
        <v>0.881944</v>
      </c>
      <c r="AG93" s="9" t="s">
        <v>85</v>
      </c>
      <c r="AH93" s="9" t="s">
        <v>85</v>
      </c>
      <c r="AI93" s="9">
        <v>0.861111</v>
      </c>
      <c r="AJ93" s="9" t="s">
        <v>85</v>
      </c>
      <c r="AK93" s="9" t="s">
        <v>85</v>
      </c>
      <c r="AL93" s="9">
        <v>0.881944</v>
      </c>
      <c r="AM93" s="9" t="s">
        <v>85</v>
      </c>
      <c r="AN93" s="9" t="s">
        <v>85</v>
      </c>
      <c r="AO93" s="9">
        <v>0.875</v>
      </c>
      <c r="AP93" s="9" t="s">
        <v>85</v>
      </c>
      <c r="AQ93" s="9" t="s">
        <v>85</v>
      </c>
      <c r="AR93" s="9">
        <v>0.875</v>
      </c>
      <c r="AS93" s="9" t="s">
        <v>85</v>
      </c>
      <c r="AT93" s="9" t="s">
        <v>85</v>
      </c>
      <c r="AU93" s="9">
        <v>0.826389</v>
      </c>
      <c r="AV93" s="9" t="s">
        <v>85</v>
      </c>
      <c r="AW93" s="9" t="s">
        <v>85</v>
      </c>
      <c r="AX93" s="9">
        <v>0.902778</v>
      </c>
      <c r="AY93" s="9" t="s">
        <v>85</v>
      </c>
      <c r="AZ93" s="9" t="s">
        <v>85</v>
      </c>
      <c r="BA93" s="9">
        <v>0.895833</v>
      </c>
      <c r="BB93" s="10" t="s">
        <v>85</v>
      </c>
      <c r="BC93" s="10" t="s">
        <v>85</v>
      </c>
      <c r="BD93" s="9">
        <v>0.909722</v>
      </c>
      <c r="BE93" s="9" t="s">
        <v>85</v>
      </c>
      <c r="BF93" s="9" t="s">
        <v>85</v>
      </c>
      <c r="BG93" s="9">
        <v>0.729167</v>
      </c>
      <c r="BH93" s="6"/>
      <c r="BI93" s="6" t="str">
        <f t="shared" si="1"/>
        <v>8VB_One_Acc</v>
      </c>
      <c r="BJ93" s="6" t="str">
        <f t="shared" si="2"/>
        <v>8V_One_Acc</v>
      </c>
      <c r="BK93" s="6" t="str">
        <f t="shared" si="3"/>
        <v>20V_One_Acc</v>
      </c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</row>
    <row r="94" ht="15.75" customHeight="1">
      <c r="A94" s="1" t="s">
        <v>188</v>
      </c>
      <c r="B94" s="17">
        <v>945.0</v>
      </c>
      <c r="C94" s="9" t="s">
        <v>85</v>
      </c>
      <c r="D94" s="9" t="s">
        <v>85</v>
      </c>
      <c r="E94" s="9">
        <v>0.729202</v>
      </c>
      <c r="F94" s="9" t="s">
        <v>85</v>
      </c>
      <c r="G94" s="9" t="s">
        <v>85</v>
      </c>
      <c r="H94" s="9">
        <v>0.120882</v>
      </c>
      <c r="I94" s="9" t="s">
        <v>85</v>
      </c>
      <c r="J94" s="9" t="s">
        <v>85</v>
      </c>
      <c r="K94" s="9">
        <v>0.605807</v>
      </c>
      <c r="L94" s="9" t="s">
        <v>85</v>
      </c>
      <c r="M94" s="9" t="s">
        <v>85</v>
      </c>
      <c r="N94" s="9">
        <v>0.800112</v>
      </c>
      <c r="O94" s="9" t="s">
        <v>85</v>
      </c>
      <c r="P94" s="9" t="s">
        <v>85</v>
      </c>
      <c r="Q94" s="9">
        <v>0.861809</v>
      </c>
      <c r="R94" s="9" t="s">
        <v>85</v>
      </c>
      <c r="S94" s="9" t="s">
        <v>85</v>
      </c>
      <c r="T94" s="9">
        <v>0.711893</v>
      </c>
      <c r="U94" s="9" t="s">
        <v>85</v>
      </c>
      <c r="V94" s="9" t="s">
        <v>85</v>
      </c>
      <c r="W94" s="9">
        <v>0.729481</v>
      </c>
      <c r="X94" s="9" t="s">
        <v>85</v>
      </c>
      <c r="Y94" s="9" t="s">
        <v>85</v>
      </c>
      <c r="Z94" s="9">
        <v>0.646845</v>
      </c>
      <c r="AA94" s="10" t="s">
        <v>85</v>
      </c>
      <c r="AB94" s="10" t="s">
        <v>85</v>
      </c>
      <c r="AC94" s="9">
        <v>0.886656</v>
      </c>
      <c r="AD94" s="9" t="s">
        <v>85</v>
      </c>
      <c r="AE94" s="9" t="s">
        <v>85</v>
      </c>
      <c r="AF94" s="9">
        <v>0.896985</v>
      </c>
      <c r="AG94" s="9" t="s">
        <v>85</v>
      </c>
      <c r="AH94" s="9" t="s">
        <v>85</v>
      </c>
      <c r="AI94" s="9">
        <v>0.721664</v>
      </c>
      <c r="AJ94" s="9" t="s">
        <v>85</v>
      </c>
      <c r="AK94" s="9" t="s">
        <v>85</v>
      </c>
      <c r="AL94" s="9">
        <v>0.884701</v>
      </c>
      <c r="AM94" s="9" t="s">
        <v>85</v>
      </c>
      <c r="AN94" s="9" t="s">
        <v>85</v>
      </c>
      <c r="AO94" s="9">
        <v>0.882468</v>
      </c>
      <c r="AP94" s="9" t="s">
        <v>85</v>
      </c>
      <c r="AQ94" s="9" t="s">
        <v>85</v>
      </c>
      <c r="AR94" s="9">
        <v>0.852596</v>
      </c>
      <c r="AS94" s="9" t="s">
        <v>85</v>
      </c>
      <c r="AT94" s="9" t="s">
        <v>85</v>
      </c>
      <c r="AU94" s="9">
        <v>0.80402</v>
      </c>
      <c r="AV94" s="9" t="s">
        <v>85</v>
      </c>
      <c r="AW94" s="9" t="s">
        <v>85</v>
      </c>
      <c r="AX94" s="9">
        <v>0.78392</v>
      </c>
      <c r="AY94" s="9" t="s">
        <v>85</v>
      </c>
      <c r="AZ94" s="9" t="s">
        <v>85</v>
      </c>
      <c r="BA94" s="9">
        <v>0.898939</v>
      </c>
      <c r="BB94" s="10" t="s">
        <v>85</v>
      </c>
      <c r="BC94" s="10" t="s">
        <v>85</v>
      </c>
      <c r="BD94" s="9">
        <v>0.911223</v>
      </c>
      <c r="BE94" s="9" t="s">
        <v>85</v>
      </c>
      <c r="BF94" s="9" t="s">
        <v>85</v>
      </c>
      <c r="BG94" s="9">
        <v>0.916806</v>
      </c>
      <c r="BH94" s="6"/>
      <c r="BI94" s="6" t="str">
        <f t="shared" si="1"/>
        <v>De_One_Acc</v>
      </c>
      <c r="BJ94" s="6" t="str">
        <f t="shared" si="2"/>
        <v>20V_One_Acc</v>
      </c>
      <c r="BK94" s="6" t="str">
        <f t="shared" si="3"/>
        <v>20B_One_Acc</v>
      </c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</row>
    <row r="95" ht="15.75" customHeight="1">
      <c r="A95" s="1" t="s">
        <v>189</v>
      </c>
      <c r="B95" s="17">
        <v>152.0</v>
      </c>
      <c r="C95" s="9" t="s">
        <v>85</v>
      </c>
      <c r="D95" s="9" t="s">
        <v>85</v>
      </c>
      <c r="E95" s="9">
        <v>0.892116</v>
      </c>
      <c r="F95" s="9" t="s">
        <v>85</v>
      </c>
      <c r="G95" s="9" t="s">
        <v>85</v>
      </c>
      <c r="H95" s="9">
        <v>0.892116</v>
      </c>
      <c r="I95" s="9" t="s">
        <v>85</v>
      </c>
      <c r="J95" s="9" t="s">
        <v>85</v>
      </c>
      <c r="K95" s="9">
        <v>0.892116</v>
      </c>
      <c r="L95" s="9" t="s">
        <v>85</v>
      </c>
      <c r="M95" s="9" t="s">
        <v>85</v>
      </c>
      <c r="N95" s="9">
        <v>0.892116</v>
      </c>
      <c r="O95" s="9" t="s">
        <v>85</v>
      </c>
      <c r="P95" s="9" t="s">
        <v>85</v>
      </c>
      <c r="Q95" s="9">
        <v>0.892116</v>
      </c>
      <c r="R95" s="9" t="s">
        <v>85</v>
      </c>
      <c r="S95" s="9" t="s">
        <v>85</v>
      </c>
      <c r="T95" s="9">
        <v>0.892116</v>
      </c>
      <c r="U95" s="9" t="s">
        <v>85</v>
      </c>
      <c r="V95" s="9" t="s">
        <v>85</v>
      </c>
      <c r="W95" s="9">
        <v>0.892116</v>
      </c>
      <c r="X95" s="9" t="s">
        <v>85</v>
      </c>
      <c r="Y95" s="9" t="s">
        <v>85</v>
      </c>
      <c r="Z95" s="9">
        <v>0.892116</v>
      </c>
      <c r="AA95" s="10" t="s">
        <v>85</v>
      </c>
      <c r="AB95" s="10" t="s">
        <v>85</v>
      </c>
      <c r="AC95" s="9">
        <v>0.892116</v>
      </c>
      <c r="AD95" s="9" t="s">
        <v>85</v>
      </c>
      <c r="AE95" s="9" t="s">
        <v>85</v>
      </c>
      <c r="AF95" s="9">
        <v>0.892116</v>
      </c>
      <c r="AG95" s="9" t="s">
        <v>85</v>
      </c>
      <c r="AH95" s="9" t="s">
        <v>85</v>
      </c>
      <c r="AI95" s="9">
        <v>0.892116</v>
      </c>
      <c r="AJ95" s="9" t="s">
        <v>85</v>
      </c>
      <c r="AK95" s="9" t="s">
        <v>85</v>
      </c>
      <c r="AL95" s="9">
        <v>0.892116</v>
      </c>
      <c r="AM95" s="9" t="s">
        <v>85</v>
      </c>
      <c r="AN95" s="9" t="s">
        <v>85</v>
      </c>
      <c r="AO95" s="9">
        <v>0.892116</v>
      </c>
      <c r="AP95" s="9" t="s">
        <v>85</v>
      </c>
      <c r="AQ95" s="9" t="s">
        <v>85</v>
      </c>
      <c r="AR95" s="9">
        <v>0.892116</v>
      </c>
      <c r="AS95" s="9" t="s">
        <v>85</v>
      </c>
      <c r="AT95" s="9" t="s">
        <v>85</v>
      </c>
      <c r="AU95" s="9">
        <v>0.892116</v>
      </c>
      <c r="AV95" s="9" t="s">
        <v>85</v>
      </c>
      <c r="AW95" s="9" t="s">
        <v>85</v>
      </c>
      <c r="AX95" s="9">
        <v>0.892116</v>
      </c>
      <c r="AY95" s="9" t="s">
        <v>85</v>
      </c>
      <c r="AZ95" s="9" t="s">
        <v>85</v>
      </c>
      <c r="BA95" s="9">
        <v>0.892116</v>
      </c>
      <c r="BB95" s="10" t="s">
        <v>85</v>
      </c>
      <c r="BC95" s="10" t="s">
        <v>85</v>
      </c>
      <c r="BD95" s="9">
        <v>0.892116</v>
      </c>
      <c r="BE95" s="9" t="s">
        <v>85</v>
      </c>
      <c r="BF95" s="9" t="s">
        <v>85</v>
      </c>
      <c r="BG95" s="9">
        <v>0.892116</v>
      </c>
      <c r="BH95" s="6"/>
      <c r="BI95" s="6" t="str">
        <f t="shared" si="1"/>
        <v>5B_One_Acc</v>
      </c>
      <c r="BJ95" s="6" t="str">
        <f t="shared" si="2"/>
        <v>5B_One_Acc</v>
      </c>
      <c r="BK95" s="6" t="str">
        <f t="shared" si="3"/>
        <v>5B_One_Acc</v>
      </c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</row>
    <row r="96" ht="15.75" customHeight="1">
      <c r="A96" s="1" t="s">
        <v>190</v>
      </c>
      <c r="B96" s="17">
        <v>234.0</v>
      </c>
      <c r="C96" s="9" t="s">
        <v>85</v>
      </c>
      <c r="D96" s="9" t="s">
        <v>85</v>
      </c>
      <c r="E96" s="9">
        <v>0.5</v>
      </c>
      <c r="F96" s="9" t="s">
        <v>85</v>
      </c>
      <c r="G96" s="9" t="s">
        <v>85</v>
      </c>
      <c r="H96" s="9">
        <v>0.5</v>
      </c>
      <c r="I96" s="9" t="s">
        <v>85</v>
      </c>
      <c r="J96" s="9" t="s">
        <v>85</v>
      </c>
      <c r="K96" s="9">
        <v>0.5</v>
      </c>
      <c r="L96" s="9" t="s">
        <v>85</v>
      </c>
      <c r="M96" s="9" t="s">
        <v>85</v>
      </c>
      <c r="N96" s="9">
        <v>0.5</v>
      </c>
      <c r="O96" s="9" t="s">
        <v>85</v>
      </c>
      <c r="P96" s="9" t="s">
        <v>85</v>
      </c>
      <c r="Q96" s="9">
        <v>0.5</v>
      </c>
      <c r="R96" s="9" t="s">
        <v>85</v>
      </c>
      <c r="S96" s="9" t="s">
        <v>85</v>
      </c>
      <c r="T96" s="9">
        <v>0.444444</v>
      </c>
      <c r="U96" s="9" t="s">
        <v>85</v>
      </c>
      <c r="V96" s="9" t="s">
        <v>85</v>
      </c>
      <c r="W96" s="9">
        <v>0.5</v>
      </c>
      <c r="X96" s="9" t="s">
        <v>85</v>
      </c>
      <c r="Y96" s="9" t="s">
        <v>85</v>
      </c>
      <c r="Z96" s="9">
        <v>0.5</v>
      </c>
      <c r="AA96" s="10" t="s">
        <v>85</v>
      </c>
      <c r="AB96" s="10" t="s">
        <v>85</v>
      </c>
      <c r="AC96" s="9">
        <v>0.5</v>
      </c>
      <c r="AD96" s="9" t="s">
        <v>85</v>
      </c>
      <c r="AE96" s="9" t="s">
        <v>85</v>
      </c>
      <c r="AF96" s="9">
        <v>0.5</v>
      </c>
      <c r="AG96" s="9" t="s">
        <v>85</v>
      </c>
      <c r="AH96" s="9" t="s">
        <v>85</v>
      </c>
      <c r="AI96" s="9">
        <v>0.5</v>
      </c>
      <c r="AJ96" s="9" t="s">
        <v>85</v>
      </c>
      <c r="AK96" s="9" t="s">
        <v>85</v>
      </c>
      <c r="AL96" s="9">
        <v>0.5</v>
      </c>
      <c r="AM96" s="9" t="s">
        <v>85</v>
      </c>
      <c r="AN96" s="9" t="s">
        <v>85</v>
      </c>
      <c r="AO96" s="9">
        <v>0.5</v>
      </c>
      <c r="AP96" s="9" t="s">
        <v>85</v>
      </c>
      <c r="AQ96" s="9" t="s">
        <v>85</v>
      </c>
      <c r="AR96" s="9">
        <v>0.5</v>
      </c>
      <c r="AS96" s="9" t="s">
        <v>85</v>
      </c>
      <c r="AT96" s="9" t="s">
        <v>85</v>
      </c>
      <c r="AU96" s="9">
        <v>0.592593</v>
      </c>
      <c r="AV96" s="9" t="s">
        <v>85</v>
      </c>
      <c r="AW96" s="9" t="s">
        <v>85</v>
      </c>
      <c r="AX96" s="9">
        <v>0.5</v>
      </c>
      <c r="AY96" s="9" t="s">
        <v>85</v>
      </c>
      <c r="AZ96" s="9" t="s">
        <v>85</v>
      </c>
      <c r="BA96" s="9">
        <v>0.5</v>
      </c>
      <c r="BB96" s="10" t="s">
        <v>85</v>
      </c>
      <c r="BC96" s="10" t="s">
        <v>85</v>
      </c>
      <c r="BD96" s="9">
        <v>0.5</v>
      </c>
      <c r="BE96" s="9" t="s">
        <v>85</v>
      </c>
      <c r="BF96" s="9" t="s">
        <v>85</v>
      </c>
      <c r="BG96" s="9">
        <v>0.5</v>
      </c>
      <c r="BH96" s="6"/>
      <c r="BI96" s="6" t="str">
        <f t="shared" si="1"/>
        <v>12V_One_Acc</v>
      </c>
      <c r="BJ96" s="6" t="str">
        <f t="shared" si="2"/>
        <v>5B_One_Acc</v>
      </c>
      <c r="BK96" s="6" t="str">
        <f t="shared" si="3"/>
        <v>5B_One_Acc</v>
      </c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</row>
    <row r="97" ht="15.75" customHeight="1">
      <c r="A97" s="1" t="s">
        <v>191</v>
      </c>
      <c r="B97" s="17">
        <v>270.0</v>
      </c>
      <c r="C97" s="9" t="s">
        <v>85</v>
      </c>
      <c r="D97" s="9" t="s">
        <v>85</v>
      </c>
      <c r="E97" s="9">
        <v>0.423197</v>
      </c>
      <c r="F97" s="9" t="s">
        <v>85</v>
      </c>
      <c r="G97" s="9" t="s">
        <v>85</v>
      </c>
      <c r="H97" s="9">
        <v>0.219436</v>
      </c>
      <c r="I97" s="9" t="s">
        <v>85</v>
      </c>
      <c r="J97" s="9" t="s">
        <v>85</v>
      </c>
      <c r="K97" s="9">
        <v>0.402821</v>
      </c>
      <c r="L97" s="9" t="s">
        <v>85</v>
      </c>
      <c r="M97" s="9" t="s">
        <v>85</v>
      </c>
      <c r="N97" s="9">
        <v>0.401254</v>
      </c>
      <c r="O97" s="9" t="s">
        <v>85</v>
      </c>
      <c r="P97" s="9" t="s">
        <v>85</v>
      </c>
      <c r="Q97" s="9">
        <v>0.478056</v>
      </c>
      <c r="R97" s="9" t="s">
        <v>85</v>
      </c>
      <c r="S97" s="9" t="s">
        <v>85</v>
      </c>
      <c r="T97" s="9">
        <v>0.473354</v>
      </c>
      <c r="U97" s="9" t="s">
        <v>85</v>
      </c>
      <c r="V97" s="9" t="s">
        <v>85</v>
      </c>
      <c r="W97" s="9">
        <v>0.368339</v>
      </c>
      <c r="X97" s="9" t="s">
        <v>85</v>
      </c>
      <c r="Y97" s="9" t="s">
        <v>85</v>
      </c>
      <c r="Z97" s="9">
        <v>0.46395</v>
      </c>
      <c r="AA97" s="10" t="s">
        <v>85</v>
      </c>
      <c r="AB97" s="10" t="s">
        <v>85</v>
      </c>
      <c r="AC97" s="9">
        <v>0.420063</v>
      </c>
      <c r="AD97" s="9" t="s">
        <v>85</v>
      </c>
      <c r="AE97" s="9" t="s">
        <v>85</v>
      </c>
      <c r="AF97" s="9">
        <v>0.474922</v>
      </c>
      <c r="AG97" s="9" t="s">
        <v>85</v>
      </c>
      <c r="AH97" s="9" t="s">
        <v>85</v>
      </c>
      <c r="AI97" s="9">
        <v>0.432602</v>
      </c>
      <c r="AJ97" s="9" t="s">
        <v>85</v>
      </c>
      <c r="AK97" s="9" t="s">
        <v>85</v>
      </c>
      <c r="AL97" s="9">
        <v>0.426332</v>
      </c>
      <c r="AM97" s="9" t="s">
        <v>85</v>
      </c>
      <c r="AN97" s="9" t="s">
        <v>85</v>
      </c>
      <c r="AO97" s="9">
        <v>0.470219</v>
      </c>
      <c r="AP97" s="9" t="s">
        <v>85</v>
      </c>
      <c r="AQ97" s="9" t="s">
        <v>85</v>
      </c>
      <c r="AR97" s="9">
        <v>0.487461</v>
      </c>
      <c r="AS97" s="9" t="s">
        <v>85</v>
      </c>
      <c r="AT97" s="9" t="s">
        <v>85</v>
      </c>
      <c r="AU97" s="9">
        <v>0.380878</v>
      </c>
      <c r="AV97" s="9" t="s">
        <v>85</v>
      </c>
      <c r="AW97" s="9" t="s">
        <v>85</v>
      </c>
      <c r="AX97" s="9">
        <v>0.409091</v>
      </c>
      <c r="AY97" s="9" t="s">
        <v>85</v>
      </c>
      <c r="AZ97" s="9" t="s">
        <v>85</v>
      </c>
      <c r="BA97" s="9">
        <v>0.393417</v>
      </c>
      <c r="BB97" s="10" t="s">
        <v>85</v>
      </c>
      <c r="BC97" s="10" t="s">
        <v>85</v>
      </c>
      <c r="BD97" s="9">
        <v>0.442006</v>
      </c>
      <c r="BE97" s="9" t="s">
        <v>85</v>
      </c>
      <c r="BF97" s="9" t="s">
        <v>85</v>
      </c>
      <c r="BG97" s="9">
        <v>0.420063</v>
      </c>
      <c r="BH97" s="6"/>
      <c r="BI97" s="6" t="str">
        <f t="shared" si="1"/>
        <v>12BN_One_Acc</v>
      </c>
      <c r="BJ97" s="6" t="str">
        <f t="shared" si="2"/>
        <v>8B_One_Acc</v>
      </c>
      <c r="BK97" s="6" t="str">
        <f t="shared" si="3"/>
        <v>10BN_One_Acc</v>
      </c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</row>
    <row r="98" ht="15.75" customHeight="1">
      <c r="A98" s="1" t="s">
        <v>192</v>
      </c>
      <c r="B98" s="17">
        <v>900.0</v>
      </c>
      <c r="C98" s="9" t="s">
        <v>85</v>
      </c>
      <c r="D98" s="9" t="s">
        <v>85</v>
      </c>
      <c r="E98" s="9">
        <v>0.493506</v>
      </c>
      <c r="F98" s="9" t="s">
        <v>85</v>
      </c>
      <c r="G98" s="9" t="s">
        <v>85</v>
      </c>
      <c r="H98" s="9">
        <v>0.428571</v>
      </c>
      <c r="I98" s="9" t="s">
        <v>85</v>
      </c>
      <c r="J98" s="9" t="s">
        <v>85</v>
      </c>
      <c r="K98" s="9">
        <v>0.545455</v>
      </c>
      <c r="L98" s="9" t="s">
        <v>85</v>
      </c>
      <c r="M98" s="9" t="s">
        <v>85</v>
      </c>
      <c r="N98" s="9">
        <v>0.506494</v>
      </c>
      <c r="O98" s="9" t="s">
        <v>85</v>
      </c>
      <c r="P98" s="9" t="s">
        <v>85</v>
      </c>
      <c r="Q98" s="9">
        <v>0.454545</v>
      </c>
      <c r="R98" s="9" t="s">
        <v>85</v>
      </c>
      <c r="S98" s="9" t="s">
        <v>85</v>
      </c>
      <c r="T98" s="9">
        <v>0.519481</v>
      </c>
      <c r="U98" s="9" t="s">
        <v>85</v>
      </c>
      <c r="V98" s="9" t="s">
        <v>85</v>
      </c>
      <c r="W98" s="9">
        <v>0.480519</v>
      </c>
      <c r="X98" s="9" t="s">
        <v>85</v>
      </c>
      <c r="Y98" s="9" t="s">
        <v>85</v>
      </c>
      <c r="Z98" s="9">
        <v>0.441558</v>
      </c>
      <c r="AA98" s="10" t="s">
        <v>85</v>
      </c>
      <c r="AB98" s="10" t="s">
        <v>85</v>
      </c>
      <c r="AC98" s="9">
        <v>0.467532</v>
      </c>
      <c r="AD98" s="9" t="s">
        <v>85</v>
      </c>
      <c r="AE98" s="9" t="s">
        <v>85</v>
      </c>
      <c r="AF98" s="9">
        <v>0.454545</v>
      </c>
      <c r="AG98" s="9" t="s">
        <v>85</v>
      </c>
      <c r="AH98" s="9" t="s">
        <v>85</v>
      </c>
      <c r="AI98" s="9">
        <v>0.493506</v>
      </c>
      <c r="AJ98" s="9" t="s">
        <v>85</v>
      </c>
      <c r="AK98" s="9" t="s">
        <v>85</v>
      </c>
      <c r="AL98" s="9">
        <v>0.402597</v>
      </c>
      <c r="AM98" s="9" t="s">
        <v>85</v>
      </c>
      <c r="AN98" s="9" t="s">
        <v>85</v>
      </c>
      <c r="AO98" s="9">
        <v>0.61039</v>
      </c>
      <c r="AP98" s="9" t="s">
        <v>85</v>
      </c>
      <c r="AQ98" s="9" t="s">
        <v>85</v>
      </c>
      <c r="AR98" s="9">
        <v>0.584416</v>
      </c>
      <c r="AS98" s="9" t="s">
        <v>85</v>
      </c>
      <c r="AT98" s="9" t="s">
        <v>85</v>
      </c>
      <c r="AU98" s="9">
        <v>0.506494</v>
      </c>
      <c r="AV98" s="9" t="s">
        <v>85</v>
      </c>
      <c r="AW98" s="9" t="s">
        <v>85</v>
      </c>
      <c r="AX98" s="9">
        <v>0.428571</v>
      </c>
      <c r="AY98" s="9" t="s">
        <v>85</v>
      </c>
      <c r="AZ98" s="9" t="s">
        <v>85</v>
      </c>
      <c r="BA98" s="9">
        <v>0.506494</v>
      </c>
      <c r="BB98" s="10" t="s">
        <v>85</v>
      </c>
      <c r="BC98" s="10" t="s">
        <v>85</v>
      </c>
      <c r="BD98" s="9">
        <v>0.584416</v>
      </c>
      <c r="BE98" s="9" t="s">
        <v>85</v>
      </c>
      <c r="BF98" s="9" t="s">
        <v>85</v>
      </c>
      <c r="BG98" s="9">
        <v>0.428571</v>
      </c>
      <c r="BH98" s="6"/>
      <c r="BI98" s="6" t="str">
        <f t="shared" si="1"/>
        <v>12B_One_Acc</v>
      </c>
      <c r="BJ98" s="6" t="str">
        <f t="shared" si="2"/>
        <v>12BN_One_Acc</v>
      </c>
      <c r="BK98" s="6" t="str">
        <f t="shared" si="3"/>
        <v>12BN_One_Acc</v>
      </c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</row>
    <row r="99" ht="15.75" customHeight="1">
      <c r="A99" s="1" t="s">
        <v>193</v>
      </c>
      <c r="B99" s="17">
        <v>900.0</v>
      </c>
      <c r="C99" s="9" t="s">
        <v>85</v>
      </c>
      <c r="D99" s="9" t="s">
        <v>85</v>
      </c>
      <c r="E99" s="9">
        <v>0.61039</v>
      </c>
      <c r="F99" s="9" t="s">
        <v>85</v>
      </c>
      <c r="G99" s="9" t="s">
        <v>85</v>
      </c>
      <c r="H99" s="9">
        <v>0.584416</v>
      </c>
      <c r="I99" s="9" t="s">
        <v>85</v>
      </c>
      <c r="J99" s="9" t="s">
        <v>85</v>
      </c>
      <c r="K99" s="9">
        <v>0.558442</v>
      </c>
      <c r="L99" s="9" t="s">
        <v>85</v>
      </c>
      <c r="M99" s="9" t="s">
        <v>85</v>
      </c>
      <c r="N99" s="9">
        <v>0.597403</v>
      </c>
      <c r="O99" s="9" t="s">
        <v>85</v>
      </c>
      <c r="P99" s="9" t="s">
        <v>85</v>
      </c>
      <c r="Q99" s="9">
        <v>0.597403</v>
      </c>
      <c r="R99" s="9" t="s">
        <v>85</v>
      </c>
      <c r="S99" s="9" t="s">
        <v>85</v>
      </c>
      <c r="T99" s="9">
        <v>0.571429</v>
      </c>
      <c r="U99" s="9" t="s">
        <v>85</v>
      </c>
      <c r="V99" s="9" t="s">
        <v>85</v>
      </c>
      <c r="W99" s="9">
        <v>0.571429</v>
      </c>
      <c r="X99" s="9" t="s">
        <v>85</v>
      </c>
      <c r="Y99" s="9" t="s">
        <v>85</v>
      </c>
      <c r="Z99" s="9">
        <v>0.571429</v>
      </c>
      <c r="AA99" s="10" t="s">
        <v>85</v>
      </c>
      <c r="AB99" s="10" t="s">
        <v>85</v>
      </c>
      <c r="AC99" s="9">
        <v>0.649351</v>
      </c>
      <c r="AD99" s="9" t="s">
        <v>85</v>
      </c>
      <c r="AE99" s="9" t="s">
        <v>85</v>
      </c>
      <c r="AF99" s="9">
        <v>0.649351</v>
      </c>
      <c r="AG99" s="9" t="s">
        <v>85</v>
      </c>
      <c r="AH99" s="9" t="s">
        <v>85</v>
      </c>
      <c r="AI99" s="9">
        <v>0.532468</v>
      </c>
      <c r="AJ99" s="9" t="s">
        <v>85</v>
      </c>
      <c r="AK99" s="9" t="s">
        <v>85</v>
      </c>
      <c r="AL99" s="9">
        <v>0.597403</v>
      </c>
      <c r="AM99" s="9" t="s">
        <v>85</v>
      </c>
      <c r="AN99" s="9" t="s">
        <v>85</v>
      </c>
      <c r="AO99" s="9">
        <v>0.688312</v>
      </c>
      <c r="AP99" s="9" t="s">
        <v>85</v>
      </c>
      <c r="AQ99" s="9" t="s">
        <v>85</v>
      </c>
      <c r="AR99" s="9">
        <v>0.662338</v>
      </c>
      <c r="AS99" s="9" t="s">
        <v>85</v>
      </c>
      <c r="AT99" s="9" t="s">
        <v>85</v>
      </c>
      <c r="AU99" s="9">
        <v>0.623377</v>
      </c>
      <c r="AV99" s="9" t="s">
        <v>85</v>
      </c>
      <c r="AW99" s="9" t="s">
        <v>85</v>
      </c>
      <c r="AX99" s="9">
        <v>0.584416</v>
      </c>
      <c r="AY99" s="9" t="s">
        <v>85</v>
      </c>
      <c r="AZ99" s="9" t="s">
        <v>85</v>
      </c>
      <c r="BA99" s="9">
        <v>0.61039</v>
      </c>
      <c r="BB99" s="10" t="s">
        <v>85</v>
      </c>
      <c r="BC99" s="10" t="s">
        <v>85</v>
      </c>
      <c r="BD99" s="9">
        <v>0.649351</v>
      </c>
      <c r="BE99" s="9" t="s">
        <v>85</v>
      </c>
      <c r="BF99" s="9" t="s">
        <v>85</v>
      </c>
      <c r="BG99" s="9">
        <v>0.571429</v>
      </c>
      <c r="BH99" s="6"/>
      <c r="BI99" s="6" t="str">
        <f t="shared" si="1"/>
        <v>12B_One_Acc</v>
      </c>
      <c r="BJ99" s="6" t="str">
        <f t="shared" si="2"/>
        <v>12BN_One_Acc</v>
      </c>
      <c r="BK99" s="6" t="str">
        <f t="shared" si="3"/>
        <v>10B_One_Acc</v>
      </c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</row>
    <row r="100" ht="15.75" customHeight="1">
      <c r="A100" s="1" t="s">
        <v>194</v>
      </c>
      <c r="B100" s="17">
        <v>426.0</v>
      </c>
      <c r="C100" s="9" t="s">
        <v>85</v>
      </c>
      <c r="D100" s="9" t="s">
        <v>85</v>
      </c>
      <c r="E100" s="9">
        <v>0.709667</v>
      </c>
      <c r="F100" s="9" t="s">
        <v>85</v>
      </c>
      <c r="G100" s="9" t="s">
        <v>85</v>
      </c>
      <c r="H100" s="9">
        <v>0.535667</v>
      </c>
      <c r="I100" s="9" t="s">
        <v>85</v>
      </c>
      <c r="J100" s="9" t="s">
        <v>85</v>
      </c>
      <c r="K100" s="9">
        <v>0.781667</v>
      </c>
      <c r="L100" s="9" t="s">
        <v>85</v>
      </c>
      <c r="M100" s="9" t="s">
        <v>85</v>
      </c>
      <c r="N100" s="9">
        <v>0.767</v>
      </c>
      <c r="O100" s="9" t="s">
        <v>85</v>
      </c>
      <c r="P100" s="9" t="s">
        <v>85</v>
      </c>
      <c r="Q100" s="9">
        <v>0.751</v>
      </c>
      <c r="R100" s="9" t="s">
        <v>85</v>
      </c>
      <c r="S100" s="9" t="s">
        <v>85</v>
      </c>
      <c r="T100" s="9">
        <v>0.746333</v>
      </c>
      <c r="U100" s="9" t="s">
        <v>85</v>
      </c>
      <c r="V100" s="9" t="s">
        <v>85</v>
      </c>
      <c r="W100" s="9">
        <v>0.797667</v>
      </c>
      <c r="X100" s="9" t="s">
        <v>85</v>
      </c>
      <c r="Y100" s="9" t="s">
        <v>85</v>
      </c>
      <c r="Z100" s="9">
        <v>0.773667</v>
      </c>
      <c r="AA100" s="10" t="s">
        <v>85</v>
      </c>
      <c r="AB100" s="10" t="s">
        <v>85</v>
      </c>
      <c r="AC100" s="9">
        <v>0.763</v>
      </c>
      <c r="AD100" s="9" t="s">
        <v>85</v>
      </c>
      <c r="AE100" s="9" t="s">
        <v>85</v>
      </c>
      <c r="AF100" s="9">
        <v>0.768</v>
      </c>
      <c r="AG100" s="9" t="s">
        <v>85</v>
      </c>
      <c r="AH100" s="9" t="s">
        <v>85</v>
      </c>
      <c r="AI100" s="9">
        <v>0.802667</v>
      </c>
      <c r="AJ100" s="9" t="s">
        <v>85</v>
      </c>
      <c r="AK100" s="9" t="s">
        <v>85</v>
      </c>
      <c r="AL100" s="9">
        <v>0.81</v>
      </c>
      <c r="AM100" s="9" t="s">
        <v>85</v>
      </c>
      <c r="AN100" s="9" t="s">
        <v>85</v>
      </c>
      <c r="AO100" s="9">
        <v>0.778333</v>
      </c>
      <c r="AP100" s="9" t="s">
        <v>85</v>
      </c>
      <c r="AQ100" s="9" t="s">
        <v>85</v>
      </c>
      <c r="AR100" s="9">
        <v>0.775</v>
      </c>
      <c r="AS100" s="9" t="s">
        <v>85</v>
      </c>
      <c r="AT100" s="9" t="s">
        <v>85</v>
      </c>
      <c r="AU100" s="9">
        <v>0.799333</v>
      </c>
      <c r="AV100" s="9" t="s">
        <v>85</v>
      </c>
      <c r="AW100" s="9" t="s">
        <v>85</v>
      </c>
      <c r="AX100" s="9">
        <v>0.802333</v>
      </c>
      <c r="AY100" s="9" t="s">
        <v>85</v>
      </c>
      <c r="AZ100" s="9" t="s">
        <v>85</v>
      </c>
      <c r="BA100" s="9">
        <v>0.796333</v>
      </c>
      <c r="BB100" s="10" t="s">
        <v>85</v>
      </c>
      <c r="BC100" s="10" t="s">
        <v>85</v>
      </c>
      <c r="BD100" s="9">
        <v>0.805333</v>
      </c>
      <c r="BE100" s="9" t="s">
        <v>85</v>
      </c>
      <c r="BF100" s="9" t="s">
        <v>85</v>
      </c>
      <c r="BG100" s="9">
        <v>0.650333</v>
      </c>
      <c r="BH100" s="6"/>
      <c r="BI100" s="6" t="str">
        <f t="shared" si="1"/>
        <v>10VB_One_Acc</v>
      </c>
      <c r="BJ100" s="6" t="str">
        <f t="shared" si="2"/>
        <v>20V_One_Acc</v>
      </c>
      <c r="BK100" s="6" t="str">
        <f t="shared" si="3"/>
        <v>10V_One_Acc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</row>
    <row r="101" ht="15.75" customHeight="1">
      <c r="A101" s="15"/>
      <c r="B101" s="15"/>
      <c r="I101" s="1"/>
      <c r="J101" s="1"/>
      <c r="K101" s="1"/>
      <c r="O101" s="1"/>
      <c r="P101" s="1"/>
      <c r="Q101" s="1"/>
      <c r="R101" s="1"/>
      <c r="S101" s="1"/>
      <c r="T101" s="1"/>
      <c r="W101" s="1"/>
      <c r="AA101" s="1"/>
      <c r="AB101" s="1"/>
      <c r="AC101" s="1"/>
      <c r="AD101" s="1"/>
      <c r="AE101" s="1"/>
      <c r="AG101" s="1"/>
      <c r="AH101" s="1"/>
      <c r="AI101" s="1"/>
      <c r="AM101" s="1"/>
      <c r="AN101" s="1"/>
      <c r="AO101" s="1"/>
      <c r="AP101" s="1"/>
      <c r="AQ101" s="1"/>
      <c r="AR101" s="1"/>
      <c r="AU101" s="1"/>
      <c r="AY101" s="1"/>
      <c r="AZ101" s="1"/>
      <c r="BA101" s="1"/>
      <c r="BB101" s="1"/>
      <c r="BC101" s="1"/>
    </row>
    <row r="102" ht="15.75" customHeight="1">
      <c r="A102" s="15"/>
      <c r="B102" s="15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ht="15.75" customHeight="1">
      <c r="A103" s="15"/>
      <c r="B103" s="15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ht="15.75" customHeight="1">
      <c r="A104" s="15"/>
      <c r="B104" s="1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ht="15.75" customHeight="1">
      <c r="A105" s="15"/>
      <c r="B105" s="1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ht="15.75" customHeight="1">
      <c r="A106" s="15"/>
      <c r="B106" s="1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ht="15.75" customHeight="1"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ht="15.75" customHeight="1"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ht="15.75" customHeight="1"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ht="15.75" customHeight="1"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ht="15.75" customHeight="1"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ht="15.75" customHeight="1"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ht="15.75" customHeight="1"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ht="15.75" customHeight="1"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ht="15.75" customHeight="1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ht="15.75" customHeight="1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ht="15.75" customHeight="1"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ht="15.75" customHeight="1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ht="15.75" customHeight="1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ht="15.75" customHeight="1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ht="15.75" customHeight="1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ht="15.75" customHeight="1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ht="15.75" customHeight="1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ht="15.75" customHeight="1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ht="15.75" customHeight="1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ht="15.75" customHeight="1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ht="15.75" customHeight="1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ht="15.75" customHeight="1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ht="15.75" customHeight="1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ht="15.75" customHeight="1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ht="15.75" customHeight="1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ht="15.75" customHeight="1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ht="15.75" customHeight="1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ht="15.75" customHeight="1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ht="15.75" customHeight="1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ht="15.75" customHeight="1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ht="15.75" customHeight="1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ht="15.75" customHeight="1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ht="15.75" customHeight="1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ht="15.75" customHeight="1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ht="15.75" customHeight="1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ht="15.75" customHeight="1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ht="15.75" customHeight="1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ht="15.75" customHeight="1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ht="15.75" customHeight="1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ht="15.75" customHeight="1"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ht="15.75" customHeight="1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ht="15.75" customHeight="1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ht="15.75" customHeight="1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ht="15.75" customHeight="1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ht="15.75" customHeight="1"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ht="15.75" customHeight="1"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ht="15.75" customHeight="1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ht="15.75" customHeight="1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ht="15.75" customHeight="1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ht="15.75" customHeight="1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ht="15.75" customHeight="1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ht="15.75" customHeight="1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ht="15.75" customHeight="1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ht="15.75" customHeight="1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ht="15.75" customHeight="1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ht="15.75" customHeight="1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ht="15.75" customHeight="1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ht="15.75" customHeight="1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ht="15.75" customHeight="1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ht="15.75" customHeight="1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ht="15.75" customHeight="1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ht="15.75" customHeight="1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ht="15.75" customHeight="1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ht="15.75" customHeight="1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ht="15.75" customHeight="1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ht="15.75" customHeight="1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ht="15.75" customHeight="1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ht="15.75" customHeight="1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ht="15.75" customHeight="1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ht="15.75" customHeight="1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ht="15.75" customHeight="1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ht="15.75" customHeight="1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ht="15.75" customHeight="1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ht="15.75" customHeight="1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ht="15.75" customHeight="1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ht="15.75" customHeight="1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ht="15.75" customHeight="1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ht="15.75" customHeight="1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ht="15.75" customHeight="1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ht="15.75" customHeight="1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ht="15.75" customHeight="1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ht="15.75" customHeight="1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ht="15.75" customHeight="1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ht="15.75" customHeight="1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ht="15.75" customHeight="1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ht="15.75" customHeight="1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ht="15.75" customHeight="1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ht="15.75" customHeight="1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ht="15.75" customHeight="1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ht="15.75" customHeight="1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ht="15.75" customHeight="1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ht="15.75" customHeight="1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ht="15.75" customHeight="1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ht="15.75" customHeight="1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ht="15.75" customHeight="1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ht="15.75" customHeight="1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ht="15.75" customHeight="1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ht="15.75" customHeight="1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ht="15.75" customHeight="1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ht="15.75" customHeight="1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ht="15.75" customHeight="1"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ht="15.75" customHeight="1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ht="15.75" customHeight="1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ht="15.75" customHeight="1"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ht="15.75" customHeight="1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ht="15.75" customHeight="1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ht="15.75" customHeight="1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ht="15.75" customHeight="1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ht="15.75" customHeight="1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ht="15.75" customHeight="1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ht="15.75" customHeight="1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ht="15.75" customHeight="1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ht="15.75" customHeight="1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ht="15.75" customHeight="1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ht="15.75" customHeight="1"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ht="15.75" customHeight="1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ht="15.75" customHeight="1"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ht="15.75" customHeight="1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ht="15.75" customHeight="1"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ht="15.75" customHeight="1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ht="15.75" customHeight="1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ht="15.75" customHeight="1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ht="15.75" customHeight="1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ht="15.75" customHeight="1"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ht="15.75" customHeight="1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ht="15.75" customHeight="1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ht="15.75" customHeight="1"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ht="15.75" customHeight="1"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ht="15.75" customHeight="1"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ht="15.75" customHeight="1"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ht="15.75" customHeight="1"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ht="15.75" customHeight="1"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ht="15.75" customHeight="1"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ht="15.75" customHeight="1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ht="15.75" customHeight="1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ht="15.75" customHeight="1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ht="15.75" customHeight="1"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ht="15.75" customHeight="1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ht="15.75" customHeight="1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ht="15.75" customHeight="1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ht="15.75" customHeight="1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ht="15.75" customHeight="1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ht="15.75" customHeight="1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ht="15.75" customHeight="1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ht="15.75" customHeight="1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ht="15.75" customHeight="1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ht="15.75" customHeight="1"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ht="15.75" customHeight="1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ht="15.75" customHeight="1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ht="15.75" customHeight="1"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ht="15.75" customHeight="1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ht="15.75" customHeight="1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ht="15.75" customHeight="1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ht="15.75" customHeight="1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ht="15.75" customHeight="1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ht="15.75" customHeight="1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ht="15.75" customHeight="1"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ht="15.75" customHeight="1"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ht="15.75" customHeight="1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ht="15.75" customHeight="1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ht="15.75" customHeight="1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ht="15.75" customHeight="1"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ht="15.75" customHeight="1"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ht="15.75" customHeight="1"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ht="15.75" customHeight="1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ht="15.75" customHeight="1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ht="15.75" customHeight="1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ht="15.75" customHeight="1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ht="15.75" customHeight="1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ht="15.75" customHeight="1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ht="15.75" customHeight="1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ht="15.75" customHeight="1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ht="15.75" customHeight="1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ht="15.75" customHeight="1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ht="15.75" customHeight="1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ht="15.75" customHeight="1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ht="15.75" customHeight="1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ht="15.75" customHeight="1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ht="15.75" customHeight="1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ht="15.75" customHeight="1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ht="15.75" customHeight="1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ht="15.75" customHeight="1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ht="15.75" customHeight="1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ht="15.75" customHeight="1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ht="15.75" customHeight="1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ht="15.75" customHeight="1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ht="15.75" customHeight="1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ht="15.75" customHeight="1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ht="15.75" customHeight="1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ht="15.75" customHeight="1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ht="15.75" customHeight="1"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ht="15.75" customHeight="1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ht="15.75" customHeight="1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ht="15.75" customHeight="1"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C1:E1"/>
    <mergeCell ref="F1:H1"/>
    <mergeCell ref="I1:K1"/>
    <mergeCell ref="L1:N1"/>
    <mergeCell ref="O1:Q1"/>
    <mergeCell ref="R1:T1"/>
    <mergeCell ref="U1:W1"/>
    <mergeCell ref="AS1:AU1"/>
    <mergeCell ref="AV1:AX1"/>
    <mergeCell ref="AY1:BA1"/>
    <mergeCell ref="BB1:BD1"/>
    <mergeCell ref="BE1:BG1"/>
    <mergeCell ref="X1:Z1"/>
    <mergeCell ref="AA1:AC1"/>
    <mergeCell ref="AD1:AF1"/>
    <mergeCell ref="AG1:AI1"/>
    <mergeCell ref="AJ1:AL1"/>
    <mergeCell ref="AM1:AO1"/>
    <mergeCell ref="AP1:AR1"/>
  </mergeCells>
  <conditionalFormatting sqref="BI1:BK1000">
    <cfRule type="containsText" dxfId="3" priority="1" operator="containsText" text="Fold">
      <formula>NOT(ISERROR(SEARCH(("Fold"),(BI1))))</formula>
    </cfRule>
  </conditionalFormatting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8.63"/>
    <col customWidth="1" min="2" max="2" width="6.75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38"/>
    <col customWidth="1" min="13" max="13" width="17.75"/>
    <col customWidth="1" min="16" max="16" width="14.38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38"/>
    <col customWidth="1" min="38" max="38" width="13.88"/>
    <col customWidth="1" min="40" max="40" width="14.38"/>
    <col customWidth="1" min="42" max="42" width="13.38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38"/>
    <col customWidth="1" min="67" max="67" width="22.38"/>
    <col customWidth="1" min="68" max="68" width="17.38"/>
    <col customWidth="1" min="69" max="69" width="22.0"/>
    <col customWidth="1" min="73" max="73" width="12.38"/>
  </cols>
  <sheetData>
    <row r="1" ht="15.75" customHeight="1">
      <c r="A1" s="1" t="s">
        <v>0</v>
      </c>
      <c r="B1" s="15" t="s">
        <v>235</v>
      </c>
      <c r="C1" s="3" t="s">
        <v>2</v>
      </c>
      <c r="F1" s="3" t="s">
        <v>3</v>
      </c>
      <c r="I1" s="3" t="s">
        <v>4</v>
      </c>
      <c r="L1" s="3" t="s">
        <v>5</v>
      </c>
      <c r="O1" s="3" t="s">
        <v>6</v>
      </c>
      <c r="R1" s="3" t="s">
        <v>7</v>
      </c>
      <c r="U1" s="3" t="s">
        <v>8</v>
      </c>
      <c r="X1" s="3" t="s">
        <v>9</v>
      </c>
      <c r="AA1" s="3" t="s">
        <v>10</v>
      </c>
      <c r="AD1" s="3" t="s">
        <v>11</v>
      </c>
      <c r="AG1" s="3" t="s">
        <v>12</v>
      </c>
      <c r="AJ1" s="3" t="s">
        <v>13</v>
      </c>
      <c r="AM1" s="3" t="s">
        <v>14</v>
      </c>
      <c r="AP1" s="3" t="s">
        <v>15</v>
      </c>
      <c r="AS1" s="3" t="s">
        <v>16</v>
      </c>
      <c r="AV1" s="3" t="s">
        <v>17</v>
      </c>
      <c r="AY1" s="3" t="s">
        <v>18</v>
      </c>
      <c r="BB1" s="3" t="s">
        <v>19</v>
      </c>
      <c r="BE1" s="3" t="s">
        <v>20</v>
      </c>
      <c r="BH1" s="1"/>
      <c r="BJ1" s="1"/>
      <c r="BK1" s="1"/>
      <c r="BL1" s="1"/>
      <c r="BM1" s="1"/>
      <c r="BN1" s="1"/>
      <c r="BO1" s="1"/>
      <c r="BR1" s="1"/>
      <c r="BS1" s="1"/>
      <c r="BT1" s="1"/>
      <c r="BV1" s="1"/>
      <c r="BW1" s="1"/>
      <c r="BX1" s="1"/>
      <c r="BY1" s="1"/>
      <c r="BZ1" s="1"/>
      <c r="CA1" s="1"/>
      <c r="CB1" s="1"/>
      <c r="CC1" s="1"/>
    </row>
    <row r="2" ht="15.75" customHeight="1">
      <c r="A2" s="1"/>
      <c r="B2" s="15"/>
      <c r="C2" s="1" t="s">
        <v>21</v>
      </c>
      <c r="D2" s="1" t="s">
        <v>22</v>
      </c>
      <c r="E2" s="4" t="s">
        <v>23</v>
      </c>
      <c r="F2" s="1" t="s">
        <v>24</v>
      </c>
      <c r="G2" s="1" t="s">
        <v>25</v>
      </c>
      <c r="H2" s="4" t="s">
        <v>26</v>
      </c>
      <c r="I2" s="1" t="s">
        <v>27</v>
      </c>
      <c r="J2" s="1" t="s">
        <v>28</v>
      </c>
      <c r="K2" s="5" t="s">
        <v>29</v>
      </c>
      <c r="L2" s="1" t="s">
        <v>30</v>
      </c>
      <c r="M2" s="1" t="s">
        <v>31</v>
      </c>
      <c r="N2" s="5" t="s">
        <v>32</v>
      </c>
      <c r="O2" s="1" t="s">
        <v>33</v>
      </c>
      <c r="P2" s="1" t="s">
        <v>34</v>
      </c>
      <c r="Q2" s="5" t="s">
        <v>35</v>
      </c>
      <c r="R2" s="1" t="s">
        <v>36</v>
      </c>
      <c r="S2" s="1" t="s">
        <v>37</v>
      </c>
      <c r="T2" s="5" t="s">
        <v>38</v>
      </c>
      <c r="U2" s="1" t="s">
        <v>39</v>
      </c>
      <c r="V2" s="1" t="s">
        <v>40</v>
      </c>
      <c r="W2" s="5" t="s">
        <v>41</v>
      </c>
      <c r="X2" s="1" t="s">
        <v>42</v>
      </c>
      <c r="Y2" s="1" t="s">
        <v>43</v>
      </c>
      <c r="Z2" s="5" t="s">
        <v>44</v>
      </c>
      <c r="AA2" s="1" t="s">
        <v>45</v>
      </c>
      <c r="AB2" s="1" t="s">
        <v>46</v>
      </c>
      <c r="AC2" s="5" t="s">
        <v>47</v>
      </c>
      <c r="AD2" s="1" t="s">
        <v>48</v>
      </c>
      <c r="AE2" s="1" t="s">
        <v>49</v>
      </c>
      <c r="AF2" s="5" t="s">
        <v>50</v>
      </c>
      <c r="AG2" s="1" t="s">
        <v>51</v>
      </c>
      <c r="AH2" s="1" t="s">
        <v>52</v>
      </c>
      <c r="AI2" s="5" t="s">
        <v>53</v>
      </c>
      <c r="AJ2" s="1" t="s">
        <v>54</v>
      </c>
      <c r="AK2" s="1" t="s">
        <v>55</v>
      </c>
      <c r="AL2" s="5" t="s">
        <v>56</v>
      </c>
      <c r="AM2" s="1" t="s">
        <v>57</v>
      </c>
      <c r="AN2" s="1" t="s">
        <v>58</v>
      </c>
      <c r="AO2" s="5" t="s">
        <v>59</v>
      </c>
      <c r="AP2" s="1" t="s">
        <v>60</v>
      </c>
      <c r="AQ2" s="1" t="s">
        <v>61</v>
      </c>
      <c r="AR2" s="5" t="s">
        <v>62</v>
      </c>
      <c r="AS2" s="1" t="s">
        <v>63</v>
      </c>
      <c r="AT2" s="1" t="s">
        <v>64</v>
      </c>
      <c r="AU2" s="5" t="s">
        <v>65</v>
      </c>
      <c r="AV2" s="1" t="s">
        <v>66</v>
      </c>
      <c r="AW2" s="1" t="s">
        <v>67</v>
      </c>
      <c r="AX2" s="5" t="s">
        <v>68</v>
      </c>
      <c r="AY2" s="1" t="s">
        <v>69</v>
      </c>
      <c r="AZ2" s="1" t="s">
        <v>70</v>
      </c>
      <c r="BA2" s="5" t="s">
        <v>71</v>
      </c>
      <c r="BB2" s="1" t="s">
        <v>72</v>
      </c>
      <c r="BC2" s="1" t="s">
        <v>73</v>
      </c>
      <c r="BD2" s="5" t="s">
        <v>74</v>
      </c>
      <c r="BE2" s="1" t="s">
        <v>75</v>
      </c>
      <c r="BF2" s="1" t="s">
        <v>76</v>
      </c>
      <c r="BG2" s="5" t="s">
        <v>77</v>
      </c>
      <c r="BH2" s="1"/>
      <c r="BI2" s="1" t="s">
        <v>213</v>
      </c>
      <c r="BJ2" s="1" t="s">
        <v>214</v>
      </c>
      <c r="BK2" s="1" t="s">
        <v>215</v>
      </c>
      <c r="BL2" s="1"/>
      <c r="BM2" s="1" t="s">
        <v>216</v>
      </c>
      <c r="BN2" s="1" t="s">
        <v>217</v>
      </c>
      <c r="BO2" s="1" t="s">
        <v>218</v>
      </c>
      <c r="BP2" s="1" t="s">
        <v>219</v>
      </c>
      <c r="BR2" s="1"/>
      <c r="BS2" s="1"/>
      <c r="BT2" s="1"/>
      <c r="BV2" s="1"/>
      <c r="BW2" s="1"/>
      <c r="BX2" s="1"/>
      <c r="BY2" s="1"/>
      <c r="BZ2" s="1"/>
      <c r="CA2" s="1"/>
      <c r="CB2" s="1"/>
      <c r="CC2" s="1"/>
    </row>
    <row r="3" ht="15.75" customHeight="1">
      <c r="A3" s="1" t="s">
        <v>84</v>
      </c>
      <c r="B3" s="17">
        <v>10.0</v>
      </c>
      <c r="C3" s="9" t="s">
        <v>85</v>
      </c>
      <c r="D3" s="9" t="s">
        <v>85</v>
      </c>
      <c r="E3" s="9">
        <v>0.58</v>
      </c>
      <c r="F3" s="9" t="s">
        <v>85</v>
      </c>
      <c r="G3" s="9" t="s">
        <v>85</v>
      </c>
      <c r="H3" s="9">
        <v>0.1</v>
      </c>
      <c r="I3" s="9" t="s">
        <v>85</v>
      </c>
      <c r="J3" s="9" t="s">
        <v>85</v>
      </c>
      <c r="K3" s="9">
        <v>0.56</v>
      </c>
      <c r="L3" s="9" t="s">
        <v>85</v>
      </c>
      <c r="M3" s="9" t="s">
        <v>85</v>
      </c>
      <c r="N3" s="9">
        <v>0.59</v>
      </c>
      <c r="O3" s="9" t="s">
        <v>85</v>
      </c>
      <c r="P3" s="9" t="s">
        <v>85</v>
      </c>
      <c r="Q3" s="9">
        <v>0.76</v>
      </c>
      <c r="R3" s="9" t="s">
        <v>85</v>
      </c>
      <c r="S3" s="9" t="s">
        <v>85</v>
      </c>
      <c r="T3" s="9">
        <v>0.72</v>
      </c>
      <c r="U3" s="9" t="s">
        <v>85</v>
      </c>
      <c r="V3" s="9" t="s">
        <v>85</v>
      </c>
      <c r="W3" s="9">
        <v>0.55</v>
      </c>
      <c r="X3" s="9" t="s">
        <v>85</v>
      </c>
      <c r="Y3" s="9" t="s">
        <v>85</v>
      </c>
      <c r="Z3" s="9">
        <v>0.4</v>
      </c>
      <c r="AA3" s="10" t="s">
        <v>85</v>
      </c>
      <c r="AB3" s="10" t="s">
        <v>85</v>
      </c>
      <c r="AC3" s="9">
        <v>0.47</v>
      </c>
      <c r="AD3" s="9" t="s">
        <v>85</v>
      </c>
      <c r="AE3" s="9" t="s">
        <v>85</v>
      </c>
      <c r="AF3" s="9">
        <v>0.66</v>
      </c>
      <c r="AG3" s="9" t="s">
        <v>85</v>
      </c>
      <c r="AH3" s="9" t="s">
        <v>85</v>
      </c>
      <c r="AI3" s="9">
        <v>0.5</v>
      </c>
      <c r="AJ3" s="9" t="s">
        <v>85</v>
      </c>
      <c r="AK3" s="9" t="s">
        <v>85</v>
      </c>
      <c r="AL3" s="9">
        <v>0.38</v>
      </c>
      <c r="AM3" s="9" t="s">
        <v>85</v>
      </c>
      <c r="AN3" s="9" t="s">
        <v>85</v>
      </c>
      <c r="AO3" s="9">
        <v>0.62</v>
      </c>
      <c r="AP3" s="9" t="s">
        <v>85</v>
      </c>
      <c r="AQ3" s="9" t="s">
        <v>85</v>
      </c>
      <c r="AR3" s="9">
        <v>0.73</v>
      </c>
      <c r="AS3" s="9" t="s">
        <v>85</v>
      </c>
      <c r="AT3" s="9" t="s">
        <v>85</v>
      </c>
      <c r="AU3" s="9">
        <v>0.3</v>
      </c>
      <c r="AV3" s="9" t="s">
        <v>85</v>
      </c>
      <c r="AW3" s="9" t="s">
        <v>85</v>
      </c>
      <c r="AX3" s="9">
        <v>0.49</v>
      </c>
      <c r="AY3" s="9" t="s">
        <v>85</v>
      </c>
      <c r="AZ3" s="9" t="s">
        <v>85</v>
      </c>
      <c r="BA3" s="9">
        <v>0.68</v>
      </c>
      <c r="BB3" s="10" t="s">
        <v>85</v>
      </c>
      <c r="BC3" s="10" t="s">
        <v>85</v>
      </c>
      <c r="BD3" s="9">
        <v>0.22</v>
      </c>
      <c r="BE3" s="10" t="s">
        <v>85</v>
      </c>
      <c r="BF3" s="10" t="s">
        <v>85</v>
      </c>
      <c r="BG3" s="9">
        <v>0.46</v>
      </c>
      <c r="BH3" s="6"/>
      <c r="BI3" s="6" t="str">
        <f t="shared" ref="BI3:BI100" si="1">INDEX($C$2:$BG$2,0,MATCH(MAX(C3:BG3),C3:BG3,0))</f>
        <v>8B_One_Acc</v>
      </c>
      <c r="BJ3" s="6" t="str">
        <f t="shared" ref="BJ3:BJ100" si="2">INDEX($C$2:$BG$2,0,MATCH(LARGE(C3:BG3,2),C3:BG3,0))</f>
        <v>12BN_One_Acc</v>
      </c>
      <c r="BK3" s="6" t="str">
        <f t="shared" ref="BK3:BK100" si="3">INDEX($C$2:$BG$2,0,MATCH(LARGE(C3:BG3,3),C3:BG3,0))</f>
        <v>8BN_One_Acc</v>
      </c>
      <c r="BL3" s="6"/>
      <c r="BM3" s="6">
        <f>COUNTA(BI3:BK100)</f>
        <v>294</v>
      </c>
      <c r="BN3" s="6">
        <f>COUNTIF(BI3:BK100,"*De*")</f>
        <v>13</v>
      </c>
      <c r="BO3" s="6">
        <f>COUNTIF(BI3:BK100,"*V*")</f>
        <v>153</v>
      </c>
      <c r="BP3" s="6">
        <f>MINUS(BM3,SUM(BN3,BO3))</f>
        <v>128</v>
      </c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</row>
    <row r="4" ht="15.75" customHeight="1">
      <c r="A4" s="1" t="s">
        <v>89</v>
      </c>
      <c r="B4" s="17">
        <v>37.0</v>
      </c>
      <c r="C4" s="9" t="s">
        <v>85</v>
      </c>
      <c r="D4" s="9" t="s">
        <v>85</v>
      </c>
      <c r="E4" s="9">
        <v>0.283887</v>
      </c>
      <c r="F4" s="9" t="s">
        <v>85</v>
      </c>
      <c r="G4" s="9" t="s">
        <v>85</v>
      </c>
      <c r="H4" s="9">
        <v>0.02046</v>
      </c>
      <c r="I4" s="9" t="s">
        <v>85</v>
      </c>
      <c r="J4" s="9" t="s">
        <v>85</v>
      </c>
      <c r="K4" s="9">
        <v>0.350384</v>
      </c>
      <c r="L4" s="9" t="s">
        <v>85</v>
      </c>
      <c r="M4" s="9" t="s">
        <v>85</v>
      </c>
      <c r="N4" s="9">
        <v>0.161125</v>
      </c>
      <c r="O4" s="9" t="s">
        <v>85</v>
      </c>
      <c r="P4" s="9" t="s">
        <v>85</v>
      </c>
      <c r="Q4" s="9">
        <v>0.365729</v>
      </c>
      <c r="R4" s="9" t="s">
        <v>85</v>
      </c>
      <c r="S4" s="9" t="s">
        <v>85</v>
      </c>
      <c r="T4" s="9">
        <v>0.296675</v>
      </c>
      <c r="U4" s="9" t="s">
        <v>85</v>
      </c>
      <c r="V4" s="9" t="s">
        <v>85</v>
      </c>
      <c r="W4" s="9">
        <v>0.30179</v>
      </c>
      <c r="X4" s="9" t="s">
        <v>85</v>
      </c>
      <c r="Y4" s="9" t="s">
        <v>85</v>
      </c>
      <c r="Z4" s="9">
        <v>0.242967</v>
      </c>
      <c r="AA4" s="10" t="s">
        <v>85</v>
      </c>
      <c r="AB4" s="10" t="s">
        <v>85</v>
      </c>
      <c r="AC4" s="9">
        <v>0.265985</v>
      </c>
      <c r="AD4" s="9" t="s">
        <v>85</v>
      </c>
      <c r="AE4" s="9" t="s">
        <v>85</v>
      </c>
      <c r="AF4" s="9">
        <v>0.409207</v>
      </c>
      <c r="AG4" s="9" t="s">
        <v>85</v>
      </c>
      <c r="AH4" s="9" t="s">
        <v>85</v>
      </c>
      <c r="AI4" s="9">
        <v>0.332481</v>
      </c>
      <c r="AJ4" s="9" t="s">
        <v>85</v>
      </c>
      <c r="AK4" s="9" t="s">
        <v>85</v>
      </c>
      <c r="AL4" s="9">
        <v>0.28133</v>
      </c>
      <c r="AM4" s="9" t="s">
        <v>85</v>
      </c>
      <c r="AN4" s="9" t="s">
        <v>85</v>
      </c>
      <c r="AO4" s="9">
        <v>0.235294</v>
      </c>
      <c r="AP4" s="9" t="s">
        <v>85</v>
      </c>
      <c r="AQ4" s="9" t="s">
        <v>85</v>
      </c>
      <c r="AR4" s="9">
        <v>0.381074</v>
      </c>
      <c r="AS4" s="9" t="s">
        <v>85</v>
      </c>
      <c r="AT4" s="9" t="s">
        <v>85</v>
      </c>
      <c r="AU4" s="9">
        <v>0.084399</v>
      </c>
      <c r="AV4" s="9" t="s">
        <v>85</v>
      </c>
      <c r="AW4" s="9" t="s">
        <v>85</v>
      </c>
      <c r="AX4" s="9">
        <v>0.120205</v>
      </c>
      <c r="AY4" s="9" t="s">
        <v>85</v>
      </c>
      <c r="AZ4" s="9" t="s">
        <v>85</v>
      </c>
      <c r="BA4" s="9">
        <v>0.263427</v>
      </c>
      <c r="BB4" s="10" t="s">
        <v>85</v>
      </c>
      <c r="BC4" s="10" t="s">
        <v>85</v>
      </c>
      <c r="BD4" s="9">
        <v>0.168798</v>
      </c>
      <c r="BE4" s="10" t="s">
        <v>85</v>
      </c>
      <c r="BF4" s="10" t="s">
        <v>85</v>
      </c>
      <c r="BG4" s="9">
        <v>0.16624</v>
      </c>
      <c r="BH4" s="6"/>
      <c r="BI4" s="6" t="str">
        <f t="shared" si="1"/>
        <v>10BN_One_Acc</v>
      </c>
      <c r="BJ4" s="6" t="str">
        <f t="shared" si="2"/>
        <v>12BN_One_Acc</v>
      </c>
      <c r="BK4" s="6" t="str">
        <f t="shared" si="3"/>
        <v>8B_One_Acc</v>
      </c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</row>
    <row r="5" ht="15.75" customHeight="1">
      <c r="A5" s="1" t="s">
        <v>91</v>
      </c>
      <c r="B5" s="17">
        <v>3.0</v>
      </c>
      <c r="C5" s="9" t="s">
        <v>85</v>
      </c>
      <c r="D5" s="9" t="s">
        <v>85</v>
      </c>
      <c r="E5" s="9">
        <v>0.617143</v>
      </c>
      <c r="F5" s="9" t="s">
        <v>85</v>
      </c>
      <c r="G5" s="9" t="s">
        <v>85</v>
      </c>
      <c r="H5" s="9">
        <v>0.302857</v>
      </c>
      <c r="I5" s="9" t="s">
        <v>85</v>
      </c>
      <c r="J5" s="9" t="s">
        <v>85</v>
      </c>
      <c r="K5" s="9">
        <v>0.731429</v>
      </c>
      <c r="L5" s="9" t="s">
        <v>85</v>
      </c>
      <c r="M5" s="9" t="s">
        <v>85</v>
      </c>
      <c r="N5" s="9">
        <v>0.725714</v>
      </c>
      <c r="O5" s="9" t="s">
        <v>85</v>
      </c>
      <c r="P5" s="9" t="s">
        <v>85</v>
      </c>
      <c r="Q5" s="9">
        <v>0.657143</v>
      </c>
      <c r="R5" s="9" t="s">
        <v>85</v>
      </c>
      <c r="S5" s="9" t="s">
        <v>85</v>
      </c>
      <c r="T5" s="9">
        <v>0.725714</v>
      </c>
      <c r="U5" s="9" t="s">
        <v>85</v>
      </c>
      <c r="V5" s="9" t="s">
        <v>85</v>
      </c>
      <c r="W5" s="9">
        <v>0.68</v>
      </c>
      <c r="X5" s="9" t="s">
        <v>85</v>
      </c>
      <c r="Y5" s="9" t="s">
        <v>85</v>
      </c>
      <c r="Z5" s="9">
        <v>0.674286</v>
      </c>
      <c r="AA5" s="10" t="s">
        <v>85</v>
      </c>
      <c r="AB5" s="10" t="s">
        <v>85</v>
      </c>
      <c r="AC5" s="9">
        <v>0.737143</v>
      </c>
      <c r="AD5" s="9" t="s">
        <v>85</v>
      </c>
      <c r="AE5" s="9" t="s">
        <v>85</v>
      </c>
      <c r="AF5" s="9">
        <v>0.742857</v>
      </c>
      <c r="AG5" s="9" t="s">
        <v>85</v>
      </c>
      <c r="AH5" s="9" t="s">
        <v>85</v>
      </c>
      <c r="AI5" s="9">
        <v>0.685714</v>
      </c>
      <c r="AJ5" s="9" t="s">
        <v>85</v>
      </c>
      <c r="AK5" s="9" t="s">
        <v>85</v>
      </c>
      <c r="AL5" s="9">
        <v>0.64</v>
      </c>
      <c r="AM5" s="9" t="s">
        <v>85</v>
      </c>
      <c r="AN5" s="9" t="s">
        <v>85</v>
      </c>
      <c r="AO5" s="9">
        <v>0.731429</v>
      </c>
      <c r="AP5" s="9" t="s">
        <v>85</v>
      </c>
      <c r="AQ5" s="9" t="s">
        <v>85</v>
      </c>
      <c r="AR5" s="1" t="s">
        <v>85</v>
      </c>
      <c r="AS5" s="9" t="s">
        <v>85</v>
      </c>
      <c r="AT5" s="9" t="s">
        <v>85</v>
      </c>
      <c r="AU5" s="9">
        <v>0.72</v>
      </c>
      <c r="AV5" s="9" t="s">
        <v>85</v>
      </c>
      <c r="AW5" s="9" t="s">
        <v>85</v>
      </c>
      <c r="AX5" s="9">
        <v>0.754286</v>
      </c>
      <c r="AY5" s="9" t="s">
        <v>85</v>
      </c>
      <c r="AZ5" s="9" t="s">
        <v>85</v>
      </c>
      <c r="BA5" s="9">
        <v>0.788571</v>
      </c>
      <c r="BB5" s="10" t="s">
        <v>85</v>
      </c>
      <c r="BC5" s="10" t="s">
        <v>85</v>
      </c>
      <c r="BD5" s="9">
        <v>0.765714</v>
      </c>
      <c r="BE5" s="9" t="s">
        <v>85</v>
      </c>
      <c r="BF5" s="9" t="s">
        <v>85</v>
      </c>
      <c r="BG5" s="9">
        <v>0.582857</v>
      </c>
      <c r="BH5" s="6"/>
      <c r="BI5" s="6" t="str">
        <f t="shared" si="1"/>
        <v>20B_One_Acc</v>
      </c>
      <c r="BJ5" s="6" t="str">
        <f t="shared" si="2"/>
        <v>20V_One_Acc</v>
      </c>
      <c r="BK5" s="6" t="str">
        <f t="shared" si="3"/>
        <v>12VB_One_Acc</v>
      </c>
      <c r="BL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</row>
    <row r="6" ht="15.75" customHeight="1">
      <c r="A6" s="1" t="s">
        <v>93</v>
      </c>
      <c r="B6" s="17">
        <v>5.0</v>
      </c>
      <c r="C6" s="9" t="s">
        <v>85</v>
      </c>
      <c r="D6" s="9" t="s">
        <v>85</v>
      </c>
      <c r="E6" s="9">
        <v>0.5</v>
      </c>
      <c r="F6" s="9" t="s">
        <v>85</v>
      </c>
      <c r="G6" s="9" t="s">
        <v>85</v>
      </c>
      <c r="H6" s="9">
        <v>0.233333</v>
      </c>
      <c r="I6" s="9" t="s">
        <v>85</v>
      </c>
      <c r="J6" s="9" t="s">
        <v>85</v>
      </c>
      <c r="K6" s="9">
        <v>0.433333</v>
      </c>
      <c r="L6" s="9" t="s">
        <v>85</v>
      </c>
      <c r="M6" s="9" t="s">
        <v>85</v>
      </c>
      <c r="N6" s="9">
        <v>0.366667</v>
      </c>
      <c r="O6" s="9" t="s">
        <v>85</v>
      </c>
      <c r="P6" s="9" t="s">
        <v>85</v>
      </c>
      <c r="Q6" s="9">
        <v>0.533333</v>
      </c>
      <c r="R6" s="9" t="s">
        <v>85</v>
      </c>
      <c r="S6" s="9" t="s">
        <v>85</v>
      </c>
      <c r="T6" s="9">
        <v>0.5</v>
      </c>
      <c r="U6" s="9" t="s">
        <v>85</v>
      </c>
      <c r="V6" s="9" t="s">
        <v>85</v>
      </c>
      <c r="W6" s="9">
        <v>0.366667</v>
      </c>
      <c r="X6" s="9" t="s">
        <v>85</v>
      </c>
      <c r="Y6" s="9" t="s">
        <v>85</v>
      </c>
      <c r="Z6" s="9">
        <v>0.533333</v>
      </c>
      <c r="AA6" s="10" t="s">
        <v>85</v>
      </c>
      <c r="AB6" s="10" t="s">
        <v>85</v>
      </c>
      <c r="AC6" s="9">
        <v>0.6</v>
      </c>
      <c r="AD6" s="9" t="s">
        <v>85</v>
      </c>
      <c r="AE6" s="9" t="s">
        <v>85</v>
      </c>
      <c r="AF6" s="9">
        <v>0.566667</v>
      </c>
      <c r="AG6" s="9" t="s">
        <v>85</v>
      </c>
      <c r="AH6" s="9" t="s">
        <v>85</v>
      </c>
      <c r="AI6" s="9">
        <v>0.466667</v>
      </c>
      <c r="AJ6" s="9" t="s">
        <v>85</v>
      </c>
      <c r="AK6" s="9" t="s">
        <v>85</v>
      </c>
      <c r="AL6" s="9">
        <v>0.433333</v>
      </c>
      <c r="AM6" s="9" t="s">
        <v>85</v>
      </c>
      <c r="AN6" s="9" t="s">
        <v>85</v>
      </c>
      <c r="AO6" s="9">
        <v>0.433333</v>
      </c>
      <c r="AP6" s="9" t="s">
        <v>85</v>
      </c>
      <c r="AQ6" s="9" t="s">
        <v>85</v>
      </c>
      <c r="AR6" s="9">
        <v>0.466667</v>
      </c>
      <c r="AS6" s="9" t="s">
        <v>85</v>
      </c>
      <c r="AT6" s="9" t="s">
        <v>85</v>
      </c>
      <c r="AU6" s="9">
        <v>0.433333</v>
      </c>
      <c r="AV6" s="9" t="s">
        <v>85</v>
      </c>
      <c r="AW6" s="9" t="s">
        <v>85</v>
      </c>
      <c r="AX6" s="9">
        <v>0.366667</v>
      </c>
      <c r="AY6" s="9" t="s">
        <v>85</v>
      </c>
      <c r="AZ6" s="9" t="s">
        <v>85</v>
      </c>
      <c r="BA6" s="9">
        <v>0.566667</v>
      </c>
      <c r="BB6" s="10" t="s">
        <v>85</v>
      </c>
      <c r="BC6" s="10" t="s">
        <v>85</v>
      </c>
      <c r="BD6" s="9">
        <v>0.5</v>
      </c>
      <c r="BE6" s="9" t="s">
        <v>85</v>
      </c>
      <c r="BF6" s="9" t="s">
        <v>85</v>
      </c>
      <c r="BG6" s="9">
        <v>0.533333</v>
      </c>
      <c r="BH6" s="6"/>
      <c r="BI6" s="6" t="str">
        <f t="shared" si="1"/>
        <v>10B_One_Acc</v>
      </c>
      <c r="BJ6" s="6" t="str">
        <f t="shared" si="2"/>
        <v>10BN_One_Acc</v>
      </c>
      <c r="BK6" s="6" t="str">
        <f t="shared" si="3"/>
        <v>10BN_One_Acc</v>
      </c>
      <c r="BL6" s="6"/>
      <c r="BM6" s="1" t="s">
        <v>213</v>
      </c>
      <c r="BN6" s="6" t="s">
        <v>236</v>
      </c>
      <c r="BS6" s="6"/>
      <c r="BT6" s="6"/>
      <c r="BU6" s="6" t="s">
        <v>213</v>
      </c>
      <c r="BV6" s="6" t="s">
        <v>236</v>
      </c>
      <c r="BW6" s="6"/>
      <c r="BX6" s="6"/>
      <c r="BY6" s="6"/>
      <c r="BZ6" s="6"/>
      <c r="CA6" s="6"/>
      <c r="CB6" s="6"/>
      <c r="CC6" s="6"/>
    </row>
    <row r="7" ht="15.75" customHeight="1">
      <c r="A7" s="1" t="s">
        <v>95</v>
      </c>
      <c r="B7" s="17">
        <v>2.0</v>
      </c>
      <c r="C7" s="9" t="s">
        <v>85</v>
      </c>
      <c r="D7" s="9" t="s">
        <v>85</v>
      </c>
      <c r="E7" s="9">
        <v>0.85</v>
      </c>
      <c r="F7" s="9" t="s">
        <v>85</v>
      </c>
      <c r="G7" s="9" t="s">
        <v>85</v>
      </c>
      <c r="H7" s="9">
        <v>0.5</v>
      </c>
      <c r="I7" s="9" t="s">
        <v>85</v>
      </c>
      <c r="J7" s="9" t="s">
        <v>85</v>
      </c>
      <c r="K7" s="9">
        <v>0.9</v>
      </c>
      <c r="L7" s="9" t="s">
        <v>85</v>
      </c>
      <c r="M7" s="9" t="s">
        <v>85</v>
      </c>
      <c r="N7" s="9">
        <v>0.9</v>
      </c>
      <c r="O7" s="9" t="s">
        <v>85</v>
      </c>
      <c r="P7" s="9" t="s">
        <v>85</v>
      </c>
      <c r="Q7" s="9">
        <v>0.85</v>
      </c>
      <c r="R7" s="9" t="s">
        <v>85</v>
      </c>
      <c r="S7" s="9" t="s">
        <v>85</v>
      </c>
      <c r="T7" s="9">
        <v>0.85</v>
      </c>
      <c r="U7" s="9" t="s">
        <v>85</v>
      </c>
      <c r="V7" s="9" t="s">
        <v>85</v>
      </c>
      <c r="W7" s="9">
        <v>0.6</v>
      </c>
      <c r="X7" s="9" t="s">
        <v>85</v>
      </c>
      <c r="Y7" s="9" t="s">
        <v>85</v>
      </c>
      <c r="Z7" s="9">
        <v>0.6</v>
      </c>
      <c r="AA7" s="10" t="s">
        <v>85</v>
      </c>
      <c r="AB7" s="10" t="s">
        <v>85</v>
      </c>
      <c r="AC7" s="9">
        <v>0.9</v>
      </c>
      <c r="AD7" s="9" t="s">
        <v>85</v>
      </c>
      <c r="AE7" s="9" t="s">
        <v>85</v>
      </c>
      <c r="AF7" s="9">
        <v>0.9</v>
      </c>
      <c r="AG7" s="9" t="s">
        <v>85</v>
      </c>
      <c r="AH7" s="9" t="s">
        <v>85</v>
      </c>
      <c r="AI7" s="9">
        <v>0.75</v>
      </c>
      <c r="AJ7" s="9" t="s">
        <v>85</v>
      </c>
      <c r="AK7" s="9" t="s">
        <v>85</v>
      </c>
      <c r="AL7" s="9">
        <v>0.6</v>
      </c>
      <c r="AM7" s="9" t="s">
        <v>85</v>
      </c>
      <c r="AN7" s="9" t="s">
        <v>85</v>
      </c>
      <c r="AO7" s="9">
        <v>0.8</v>
      </c>
      <c r="AP7" s="9" t="s">
        <v>85</v>
      </c>
      <c r="AQ7" s="9" t="s">
        <v>85</v>
      </c>
      <c r="AR7" s="9">
        <v>0.7</v>
      </c>
      <c r="AS7" s="9" t="s">
        <v>85</v>
      </c>
      <c r="AT7" s="9" t="s">
        <v>85</v>
      </c>
      <c r="AU7" s="9">
        <v>0.85</v>
      </c>
      <c r="AV7" s="9" t="s">
        <v>85</v>
      </c>
      <c r="AW7" s="9" t="s">
        <v>85</v>
      </c>
      <c r="AX7" s="9">
        <v>0.85</v>
      </c>
      <c r="AY7" s="9" t="s">
        <v>85</v>
      </c>
      <c r="AZ7" s="9" t="s">
        <v>85</v>
      </c>
      <c r="BA7" s="9">
        <v>0.8</v>
      </c>
      <c r="BB7" s="10" t="s">
        <v>85</v>
      </c>
      <c r="BC7" s="10" t="s">
        <v>85</v>
      </c>
      <c r="BD7" s="9">
        <v>0.9</v>
      </c>
      <c r="BE7" s="9" t="s">
        <v>85</v>
      </c>
      <c r="BF7" s="9" t="s">
        <v>85</v>
      </c>
      <c r="BG7" s="9">
        <v>0.75</v>
      </c>
      <c r="BH7" s="6"/>
      <c r="BI7" s="6" t="str">
        <f t="shared" si="1"/>
        <v>5V_One_Acc</v>
      </c>
      <c r="BJ7" s="6" t="str">
        <f t="shared" si="2"/>
        <v>5V_One_Acc</v>
      </c>
      <c r="BK7" s="6" t="str">
        <f t="shared" si="3"/>
        <v>5V_One_Acc</v>
      </c>
      <c r="BL7" s="6"/>
      <c r="BN7" s="6">
        <f>COUNTIF(B3:B100,"&lt;=2")</f>
        <v>38</v>
      </c>
      <c r="BO7" s="6">
        <f>COUNTIFS(B3:B100,"&gt;=3",B3:B100,"&lt;=5")</f>
        <v>32</v>
      </c>
      <c r="BP7" s="6">
        <f>COUNTIFS(B3:B100,"&gt;5",B3:B100,"&lt;=10")</f>
        <v>16</v>
      </c>
      <c r="BQ7" s="6">
        <f>COUNTIFS(B3:B100,"&gt;10",B3:B100,"&lt;30")</f>
        <v>5</v>
      </c>
      <c r="BR7" s="6">
        <f>COUNTIFS(B3:B100,"&gt;=30")</f>
        <v>7</v>
      </c>
      <c r="BS7" s="6"/>
      <c r="BT7" s="6"/>
      <c r="BU7" s="6"/>
      <c r="BV7" s="6">
        <v>38.0</v>
      </c>
      <c r="BW7" s="6">
        <v>32.0</v>
      </c>
      <c r="BX7" s="6">
        <v>16.0</v>
      </c>
      <c r="BY7" s="6">
        <v>5.0</v>
      </c>
      <c r="BZ7" s="6">
        <v>7.0</v>
      </c>
      <c r="CA7" s="6"/>
      <c r="CB7" s="6"/>
      <c r="CC7" s="6"/>
    </row>
    <row r="8" ht="15.75" customHeight="1">
      <c r="A8" s="1" t="s">
        <v>97</v>
      </c>
      <c r="B8" s="17">
        <v>2.0</v>
      </c>
      <c r="C8" s="9" t="s">
        <v>85</v>
      </c>
      <c r="D8" s="9" t="s">
        <v>85</v>
      </c>
      <c r="E8" s="9">
        <v>0.75</v>
      </c>
      <c r="F8" s="9" t="s">
        <v>85</v>
      </c>
      <c r="G8" s="9" t="s">
        <v>85</v>
      </c>
      <c r="H8" s="9">
        <v>0.5</v>
      </c>
      <c r="I8" s="9" t="s">
        <v>85</v>
      </c>
      <c r="J8" s="9" t="s">
        <v>85</v>
      </c>
      <c r="K8" s="9">
        <v>0.8</v>
      </c>
      <c r="L8" s="9" t="s">
        <v>85</v>
      </c>
      <c r="M8" s="9" t="s">
        <v>85</v>
      </c>
      <c r="N8" s="9">
        <v>0.85</v>
      </c>
      <c r="O8" s="9" t="s">
        <v>85</v>
      </c>
      <c r="P8" s="9" t="s">
        <v>85</v>
      </c>
      <c r="Q8" s="9">
        <v>0.6</v>
      </c>
      <c r="R8" s="9" t="s">
        <v>85</v>
      </c>
      <c r="S8" s="9" t="s">
        <v>85</v>
      </c>
      <c r="T8" s="9">
        <v>0.75</v>
      </c>
      <c r="U8" s="9" t="s">
        <v>85</v>
      </c>
      <c r="V8" s="9" t="s">
        <v>85</v>
      </c>
      <c r="W8" s="9">
        <v>0.7</v>
      </c>
      <c r="X8" s="9" t="s">
        <v>85</v>
      </c>
      <c r="Y8" s="9" t="s">
        <v>85</v>
      </c>
      <c r="Z8" s="9">
        <v>0.75</v>
      </c>
      <c r="AA8" s="10" t="s">
        <v>85</v>
      </c>
      <c r="AB8" s="10" t="s">
        <v>85</v>
      </c>
      <c r="AC8" s="9">
        <v>0.65</v>
      </c>
      <c r="AD8" s="9" t="s">
        <v>85</v>
      </c>
      <c r="AE8" s="9" t="s">
        <v>85</v>
      </c>
      <c r="AF8" s="9">
        <v>0.8</v>
      </c>
      <c r="AG8" s="9" t="s">
        <v>85</v>
      </c>
      <c r="AH8" s="9" t="s">
        <v>85</v>
      </c>
      <c r="AI8" s="9">
        <v>0.9</v>
      </c>
      <c r="AJ8" s="9" t="s">
        <v>85</v>
      </c>
      <c r="AK8" s="9" t="s">
        <v>85</v>
      </c>
      <c r="AL8" s="9">
        <v>0.9</v>
      </c>
      <c r="AM8" s="9" t="s">
        <v>85</v>
      </c>
      <c r="AN8" s="9" t="s">
        <v>85</v>
      </c>
      <c r="AO8" s="9">
        <v>0.7</v>
      </c>
      <c r="AP8" s="9" t="s">
        <v>85</v>
      </c>
      <c r="AQ8" s="9" t="s">
        <v>85</v>
      </c>
      <c r="AR8" s="9">
        <v>0.7</v>
      </c>
      <c r="AS8" s="9" t="s">
        <v>85</v>
      </c>
      <c r="AT8" s="9" t="s">
        <v>85</v>
      </c>
      <c r="AU8" s="9">
        <v>0.75</v>
      </c>
      <c r="AV8" s="9" t="s">
        <v>85</v>
      </c>
      <c r="AW8" s="9" t="s">
        <v>85</v>
      </c>
      <c r="AX8" s="9">
        <v>0.75</v>
      </c>
      <c r="AY8" s="9" t="s">
        <v>85</v>
      </c>
      <c r="AZ8" s="9" t="s">
        <v>85</v>
      </c>
      <c r="BA8" s="9">
        <v>0.75</v>
      </c>
      <c r="BB8" s="10" t="s">
        <v>85</v>
      </c>
      <c r="BC8" s="10" t="s">
        <v>85</v>
      </c>
      <c r="BD8" s="9">
        <v>0.7</v>
      </c>
      <c r="BE8" s="9" t="s">
        <v>85</v>
      </c>
      <c r="BF8" s="9" t="s">
        <v>85</v>
      </c>
      <c r="BG8" s="9">
        <v>0.55</v>
      </c>
      <c r="BH8" s="6"/>
      <c r="BI8" s="6" t="str">
        <f t="shared" si="1"/>
        <v>10V_One_Acc</v>
      </c>
      <c r="BJ8" s="6" t="str">
        <f t="shared" si="2"/>
        <v>10V_One_Acc</v>
      </c>
      <c r="BK8" s="6" t="str">
        <f t="shared" si="3"/>
        <v>5VB_One_Acc</v>
      </c>
      <c r="BL8" s="6"/>
      <c r="BM8" s="6"/>
      <c r="BN8" s="6" t="s">
        <v>237</v>
      </c>
      <c r="BO8" s="6" t="s">
        <v>238</v>
      </c>
      <c r="BP8" s="6" t="s">
        <v>239</v>
      </c>
      <c r="BQ8" s="6" t="s">
        <v>240</v>
      </c>
      <c r="BR8" s="6" t="s">
        <v>241</v>
      </c>
      <c r="BS8" s="6"/>
      <c r="BT8" s="6"/>
      <c r="BU8" s="13"/>
      <c r="BV8" s="6" t="s">
        <v>237</v>
      </c>
      <c r="BW8" s="6" t="s">
        <v>238</v>
      </c>
      <c r="BX8" s="6" t="s">
        <v>239</v>
      </c>
      <c r="BY8" s="6" t="s">
        <v>240</v>
      </c>
      <c r="BZ8" s="6" t="s">
        <v>241</v>
      </c>
      <c r="CA8" s="6"/>
      <c r="CB8" s="6"/>
      <c r="CC8" s="6"/>
    </row>
    <row r="9" ht="15.75" customHeight="1">
      <c r="A9" s="1" t="s">
        <v>98</v>
      </c>
      <c r="B9" s="17">
        <v>3.0</v>
      </c>
      <c r="C9" s="9" t="s">
        <v>85</v>
      </c>
      <c r="D9" s="9" t="s">
        <v>85</v>
      </c>
      <c r="E9" s="9">
        <v>0.9</v>
      </c>
      <c r="F9" s="9" t="s">
        <v>85</v>
      </c>
      <c r="G9" s="9" t="s">
        <v>85</v>
      </c>
      <c r="H9" s="9">
        <v>0.346667</v>
      </c>
      <c r="I9" s="9" t="s">
        <v>85</v>
      </c>
      <c r="J9" s="9" t="s">
        <v>85</v>
      </c>
      <c r="K9" s="9">
        <v>0.966667</v>
      </c>
      <c r="L9" s="9" t="s">
        <v>85</v>
      </c>
      <c r="M9" s="9" t="s">
        <v>85</v>
      </c>
      <c r="N9" s="9">
        <v>0.986667</v>
      </c>
      <c r="O9" s="9" t="s">
        <v>85</v>
      </c>
      <c r="P9" s="9" t="s">
        <v>85</v>
      </c>
      <c r="Q9" s="9">
        <v>0.9</v>
      </c>
      <c r="R9" s="9" t="s">
        <v>85</v>
      </c>
      <c r="S9" s="9" t="s">
        <v>85</v>
      </c>
      <c r="T9" s="9">
        <v>0.906667</v>
      </c>
      <c r="U9" s="9" t="s">
        <v>85</v>
      </c>
      <c r="V9" s="9" t="s">
        <v>85</v>
      </c>
      <c r="W9" s="9">
        <v>0.973333</v>
      </c>
      <c r="X9" s="9" t="s">
        <v>85</v>
      </c>
      <c r="Y9" s="9" t="s">
        <v>85</v>
      </c>
      <c r="Z9" s="9">
        <v>0.96</v>
      </c>
      <c r="AA9" s="10" t="s">
        <v>85</v>
      </c>
      <c r="AB9" s="10" t="s">
        <v>85</v>
      </c>
      <c r="AC9" s="9">
        <v>0.886667</v>
      </c>
      <c r="AD9" s="9" t="s">
        <v>85</v>
      </c>
      <c r="AE9" s="9" t="s">
        <v>85</v>
      </c>
      <c r="AF9" s="9">
        <v>0.9</v>
      </c>
      <c r="AG9" s="9" t="s">
        <v>85</v>
      </c>
      <c r="AH9" s="9" t="s">
        <v>85</v>
      </c>
      <c r="AI9" s="9">
        <v>0.946667</v>
      </c>
      <c r="AJ9" s="9" t="s">
        <v>85</v>
      </c>
      <c r="AK9" s="9" t="s">
        <v>85</v>
      </c>
      <c r="AL9" s="9">
        <v>0.9</v>
      </c>
      <c r="AM9" s="9" t="s">
        <v>85</v>
      </c>
      <c r="AN9" s="9" t="s">
        <v>85</v>
      </c>
      <c r="AO9" s="9">
        <v>0.9</v>
      </c>
      <c r="AP9" s="9" t="s">
        <v>85</v>
      </c>
      <c r="AQ9" s="9" t="s">
        <v>85</v>
      </c>
      <c r="AR9" s="9">
        <v>0.9</v>
      </c>
      <c r="AS9" s="9" t="s">
        <v>85</v>
      </c>
      <c r="AT9" s="9" t="s">
        <v>85</v>
      </c>
      <c r="AU9" s="9">
        <v>0.893333</v>
      </c>
      <c r="AV9" s="9" t="s">
        <v>85</v>
      </c>
      <c r="AW9" s="9" t="s">
        <v>85</v>
      </c>
      <c r="AX9" s="9">
        <v>0.893333</v>
      </c>
      <c r="AY9" s="9" t="s">
        <v>85</v>
      </c>
      <c r="AZ9" s="9" t="s">
        <v>85</v>
      </c>
      <c r="BA9" s="9">
        <v>0.86</v>
      </c>
      <c r="BB9" s="10" t="s">
        <v>85</v>
      </c>
      <c r="BC9" s="10" t="s">
        <v>85</v>
      </c>
      <c r="BD9" s="9">
        <v>0.94</v>
      </c>
      <c r="BE9" s="9" t="s">
        <v>85</v>
      </c>
      <c r="BF9" s="9" t="s">
        <v>85</v>
      </c>
      <c r="BG9" s="9">
        <v>0.993333</v>
      </c>
      <c r="BH9" s="6"/>
      <c r="BI9" s="6" t="str">
        <f t="shared" si="1"/>
        <v>De_One_Acc</v>
      </c>
      <c r="BJ9" s="6" t="str">
        <f t="shared" si="2"/>
        <v>5VB_One_Acc</v>
      </c>
      <c r="BK9" s="6" t="str">
        <f t="shared" si="3"/>
        <v>8V_One_Acc</v>
      </c>
      <c r="BL9" s="6"/>
      <c r="BM9" s="6" t="s">
        <v>233</v>
      </c>
      <c r="BN9" s="18">
        <f t="shared" ref="BN9:BR9" si="4">MINUS(BN7,SUM(BN10,BN11))</f>
        <v>15</v>
      </c>
      <c r="BO9" s="18">
        <f t="shared" si="4"/>
        <v>13</v>
      </c>
      <c r="BP9" s="18">
        <f t="shared" si="4"/>
        <v>7</v>
      </c>
      <c r="BQ9" s="18">
        <f t="shared" si="4"/>
        <v>2</v>
      </c>
      <c r="BR9" s="18">
        <f t="shared" si="4"/>
        <v>5</v>
      </c>
      <c r="BS9" s="6">
        <f t="shared" ref="BS9:BS11" si="5">SUM(BN9:BR9)</f>
        <v>42</v>
      </c>
      <c r="BT9" s="6"/>
      <c r="BU9" s="6" t="s">
        <v>233</v>
      </c>
      <c r="BV9" s="6">
        <f t="shared" ref="BV9:BV11" si="6">DIVIDE(BN9,$BV$7)</f>
        <v>0.3947368421</v>
      </c>
      <c r="BW9" s="6">
        <f t="shared" ref="BW9:BW11" si="7">DIVIDE(BO9,$BW$7)</f>
        <v>0.40625</v>
      </c>
      <c r="BX9" s="6">
        <f t="shared" ref="BX9:BX11" si="8">DIVIDE(BP9,$BX$7)</f>
        <v>0.4375</v>
      </c>
      <c r="BY9" s="6">
        <f t="shared" ref="BY9:BY11" si="9">DIVIDE(BQ9,$BY$7)</f>
        <v>0.4</v>
      </c>
      <c r="BZ9" s="6">
        <f t="shared" ref="BZ9:BZ11" si="10">DIVIDE(BR9,$BZ$7)</f>
        <v>0.7142857143</v>
      </c>
      <c r="CA9" s="6">
        <v>42.0</v>
      </c>
      <c r="CB9" s="6"/>
      <c r="CC9" s="6"/>
    </row>
    <row r="10" ht="15.75" customHeight="1">
      <c r="A10" s="1" t="s">
        <v>99</v>
      </c>
      <c r="B10" s="17">
        <v>4.0</v>
      </c>
      <c r="C10" s="9" t="s">
        <v>85</v>
      </c>
      <c r="D10" s="9" t="s">
        <v>85</v>
      </c>
      <c r="E10" s="9">
        <v>0.55</v>
      </c>
      <c r="F10" s="9" t="s">
        <v>85</v>
      </c>
      <c r="G10" s="9" t="s">
        <v>85</v>
      </c>
      <c r="H10" s="9">
        <v>0.2</v>
      </c>
      <c r="I10" s="9" t="s">
        <v>85</v>
      </c>
      <c r="J10" s="9" t="s">
        <v>85</v>
      </c>
      <c r="K10" s="9">
        <v>0.683333</v>
      </c>
      <c r="L10" s="9" t="s">
        <v>85</v>
      </c>
      <c r="M10" s="9" t="s">
        <v>85</v>
      </c>
      <c r="N10" s="9">
        <v>0.666667</v>
      </c>
      <c r="O10" s="9" t="s">
        <v>85</v>
      </c>
      <c r="P10" s="9" t="s">
        <v>85</v>
      </c>
      <c r="Q10" s="9">
        <v>0.583333</v>
      </c>
      <c r="R10" s="9" t="s">
        <v>85</v>
      </c>
      <c r="S10" s="9" t="s">
        <v>85</v>
      </c>
      <c r="T10" s="9">
        <v>0.583333</v>
      </c>
      <c r="U10" s="9" t="s">
        <v>85</v>
      </c>
      <c r="V10" s="9" t="s">
        <v>85</v>
      </c>
      <c r="W10" s="9">
        <v>0.716667</v>
      </c>
      <c r="X10" s="9" t="s">
        <v>85</v>
      </c>
      <c r="Y10" s="9" t="s">
        <v>85</v>
      </c>
      <c r="Z10" s="9">
        <v>0.666667</v>
      </c>
      <c r="AA10" s="10" t="s">
        <v>85</v>
      </c>
      <c r="AB10" s="10" t="s">
        <v>85</v>
      </c>
      <c r="AC10" s="9">
        <v>0.583333</v>
      </c>
      <c r="AD10" s="9" t="s">
        <v>85</v>
      </c>
      <c r="AE10" s="9" t="s">
        <v>85</v>
      </c>
      <c r="AF10" s="9">
        <v>0.55</v>
      </c>
      <c r="AG10" s="9" t="s">
        <v>85</v>
      </c>
      <c r="AH10" s="9" t="s">
        <v>85</v>
      </c>
      <c r="AI10" s="9">
        <v>0.65</v>
      </c>
      <c r="AJ10" s="9" t="s">
        <v>85</v>
      </c>
      <c r="AK10" s="9" t="s">
        <v>85</v>
      </c>
      <c r="AL10" s="9">
        <v>0.7</v>
      </c>
      <c r="AM10" s="9" t="s">
        <v>85</v>
      </c>
      <c r="AN10" s="9" t="s">
        <v>85</v>
      </c>
      <c r="AO10" s="9">
        <v>0.633333</v>
      </c>
      <c r="AP10" s="9" t="s">
        <v>85</v>
      </c>
      <c r="AQ10" s="9" t="s">
        <v>85</v>
      </c>
      <c r="AR10" s="9">
        <v>0.6</v>
      </c>
      <c r="AS10" s="9" t="s">
        <v>85</v>
      </c>
      <c r="AT10" s="9" t="s">
        <v>85</v>
      </c>
      <c r="AU10" s="9">
        <v>0.766667</v>
      </c>
      <c r="AV10" s="9" t="s">
        <v>85</v>
      </c>
      <c r="AW10" s="9" t="s">
        <v>85</v>
      </c>
      <c r="AX10" s="9">
        <v>0.7</v>
      </c>
      <c r="AY10" s="9" t="s">
        <v>85</v>
      </c>
      <c r="AZ10" s="9" t="s">
        <v>85</v>
      </c>
      <c r="BA10" s="9">
        <v>0.55</v>
      </c>
      <c r="BB10" s="10" t="s">
        <v>85</v>
      </c>
      <c r="BC10" s="10" t="s">
        <v>85</v>
      </c>
      <c r="BD10" s="9">
        <v>0.683333</v>
      </c>
      <c r="BE10" s="9" t="s">
        <v>85</v>
      </c>
      <c r="BF10" s="9" t="s">
        <v>85</v>
      </c>
      <c r="BG10" s="9">
        <v>0.583333</v>
      </c>
      <c r="BH10" s="6"/>
      <c r="BI10" s="6" t="str">
        <f t="shared" si="1"/>
        <v>12V_One_Acc</v>
      </c>
      <c r="BJ10" s="6" t="str">
        <f t="shared" si="2"/>
        <v>8V_One_Acc</v>
      </c>
      <c r="BK10" s="6" t="str">
        <f t="shared" si="3"/>
        <v>10VB_One_Acc</v>
      </c>
      <c r="BL10" s="6"/>
      <c r="BM10" s="6" t="s">
        <v>234</v>
      </c>
      <c r="BN10" s="18">
        <f>COUNTIFS(BI3:BI100,"*V*",B3:B100,"&lt;=2")</f>
        <v>16</v>
      </c>
      <c r="BO10" s="19">
        <f>COUNTIFS(BI3:BI100,"*V*",B3:B100,"&gt;2",B3:B100,"&lt;=5")</f>
        <v>19</v>
      </c>
      <c r="BP10" s="18">
        <f>COUNTIFS(BI3:BI100,"*V*",B3:B100,"&gt;5",B3:B100,"&lt;=10")</f>
        <v>8</v>
      </c>
      <c r="BQ10" s="18">
        <f>COUNTIFS(BI3:BI100,"*V*",B3:B100,"&gt;10",B3:B100,"&lt;30")</f>
        <v>2</v>
      </c>
      <c r="BR10" s="18">
        <f>COUNTIFS(BI3:BI100,"*V*",B3:B100,"&gt;=30")</f>
        <v>2</v>
      </c>
      <c r="BS10" s="6">
        <f t="shared" si="5"/>
        <v>47</v>
      </c>
      <c r="BT10" s="6"/>
      <c r="BU10" s="6" t="s">
        <v>234</v>
      </c>
      <c r="BV10" s="6">
        <f t="shared" si="6"/>
        <v>0.4210526316</v>
      </c>
      <c r="BW10" s="6">
        <f t="shared" si="7"/>
        <v>0.59375</v>
      </c>
      <c r="BX10" s="6">
        <f t="shared" si="8"/>
        <v>0.5</v>
      </c>
      <c r="BY10" s="6">
        <f t="shared" si="9"/>
        <v>0.4</v>
      </c>
      <c r="BZ10" s="6">
        <f t="shared" si="10"/>
        <v>0.2857142857</v>
      </c>
      <c r="CA10" s="6">
        <v>47.0</v>
      </c>
      <c r="CB10" s="6"/>
      <c r="CC10" s="6"/>
    </row>
    <row r="11" ht="15.75" customHeight="1">
      <c r="A11" s="1" t="s">
        <v>101</v>
      </c>
      <c r="B11" s="17">
        <v>3.0</v>
      </c>
      <c r="C11" s="9" t="s">
        <v>85</v>
      </c>
      <c r="D11" s="9" t="s">
        <v>85</v>
      </c>
      <c r="E11" s="9">
        <v>0.955556</v>
      </c>
      <c r="F11" s="9" t="s">
        <v>85</v>
      </c>
      <c r="G11" s="9" t="s">
        <v>85</v>
      </c>
      <c r="H11" s="9">
        <v>0.331111</v>
      </c>
      <c r="I11" s="9" t="s">
        <v>85</v>
      </c>
      <c r="J11" s="9" t="s">
        <v>85</v>
      </c>
      <c r="K11" s="9">
        <v>0.984444</v>
      </c>
      <c r="L11" s="9" t="s">
        <v>85</v>
      </c>
      <c r="M11" s="9" t="s">
        <v>85</v>
      </c>
      <c r="N11" s="9">
        <v>0.975556</v>
      </c>
      <c r="O11" s="9" t="s">
        <v>85</v>
      </c>
      <c r="P11" s="9" t="s">
        <v>85</v>
      </c>
      <c r="Q11" s="9">
        <v>0.935556</v>
      </c>
      <c r="R11" s="9" t="s">
        <v>85</v>
      </c>
      <c r="S11" s="9" t="s">
        <v>85</v>
      </c>
      <c r="T11" s="9">
        <v>0.938889</v>
      </c>
      <c r="U11" s="9" t="s">
        <v>85</v>
      </c>
      <c r="V11" s="9" t="s">
        <v>85</v>
      </c>
      <c r="W11" s="9">
        <v>0.945556</v>
      </c>
      <c r="X11" s="9" t="s">
        <v>85</v>
      </c>
      <c r="Y11" s="9" t="s">
        <v>85</v>
      </c>
      <c r="Z11" s="9">
        <v>0.956667</v>
      </c>
      <c r="AA11" s="10" t="s">
        <v>85</v>
      </c>
      <c r="AB11" s="10" t="s">
        <v>85</v>
      </c>
      <c r="AC11" s="9">
        <v>0.965556</v>
      </c>
      <c r="AD11" s="9" t="s">
        <v>85</v>
      </c>
      <c r="AE11" s="9" t="s">
        <v>85</v>
      </c>
      <c r="AF11" s="9">
        <v>0.96</v>
      </c>
      <c r="AG11" s="9" t="s">
        <v>85</v>
      </c>
      <c r="AH11" s="9" t="s">
        <v>85</v>
      </c>
      <c r="AI11" s="9">
        <v>0.974444</v>
      </c>
      <c r="AJ11" s="9" t="s">
        <v>85</v>
      </c>
      <c r="AK11" s="9" t="s">
        <v>85</v>
      </c>
      <c r="AL11" s="9">
        <v>0.975556</v>
      </c>
      <c r="AM11" s="9" t="s">
        <v>85</v>
      </c>
      <c r="AN11" s="9" t="s">
        <v>85</v>
      </c>
      <c r="AO11" s="9">
        <v>0.961111</v>
      </c>
      <c r="AP11" s="9" t="s">
        <v>85</v>
      </c>
      <c r="AQ11" s="9" t="s">
        <v>85</v>
      </c>
      <c r="AR11" s="1" t="s">
        <v>85</v>
      </c>
      <c r="AS11" s="9" t="s">
        <v>85</v>
      </c>
      <c r="AT11" s="9" t="s">
        <v>85</v>
      </c>
      <c r="AU11" s="9">
        <v>0.933333</v>
      </c>
      <c r="AV11" s="9" t="s">
        <v>85</v>
      </c>
      <c r="AW11" s="9" t="s">
        <v>85</v>
      </c>
      <c r="AX11" s="9">
        <v>0.948889</v>
      </c>
      <c r="AY11" s="9" t="s">
        <v>85</v>
      </c>
      <c r="AZ11" s="9" t="s">
        <v>85</v>
      </c>
      <c r="BA11" s="9">
        <v>0.971111</v>
      </c>
      <c r="BB11" s="10" t="s">
        <v>85</v>
      </c>
      <c r="BC11" s="10" t="s">
        <v>85</v>
      </c>
      <c r="BD11" s="9">
        <v>0.94</v>
      </c>
      <c r="BE11" s="9" t="s">
        <v>85</v>
      </c>
      <c r="BF11" s="9" t="s">
        <v>85</v>
      </c>
      <c r="BG11" s="9">
        <v>0.861111</v>
      </c>
      <c r="BH11" s="6"/>
      <c r="BI11" s="6" t="str">
        <f t="shared" si="1"/>
        <v>5V_One_Acc</v>
      </c>
      <c r="BJ11" s="6" t="str">
        <f t="shared" si="2"/>
        <v>5VB_One_Acc</v>
      </c>
      <c r="BK11" s="6" t="str">
        <f t="shared" si="3"/>
        <v>5VB_One_Acc</v>
      </c>
      <c r="BL11" s="6"/>
      <c r="BM11" s="6" t="s">
        <v>20</v>
      </c>
      <c r="BN11" s="18">
        <f>COUNTIFS(BI3:BI100,"*De*",B3:B100,"&lt;=2")</f>
        <v>7</v>
      </c>
      <c r="BO11" s="19">
        <f>COUNTIFS(BI3:BI100,"*De*",B3:B100,"&gt;2",B3:B100,"&lt;=5)")</f>
        <v>0</v>
      </c>
      <c r="BP11" s="18">
        <f>COUNTIFS(BI3:BI100,"*De*",B3:B100,"&gt;5",B3:B100,"&lt;=10")</f>
        <v>1</v>
      </c>
      <c r="BQ11" s="18">
        <f>COUNTIFS(BI3:BI100,"*De*",B3:B100,"&gt;10",B3:B100,"&lt;30")</f>
        <v>1</v>
      </c>
      <c r="BR11" s="18">
        <f>COUNTIFS(BI3:BI100,"*De*",B3:B100,"&gt;=30")</f>
        <v>0</v>
      </c>
      <c r="BS11" s="6">
        <f t="shared" si="5"/>
        <v>9</v>
      </c>
      <c r="BT11" s="6"/>
      <c r="BU11" s="6" t="s">
        <v>20</v>
      </c>
      <c r="BV11" s="6">
        <f t="shared" si="6"/>
        <v>0.1842105263</v>
      </c>
      <c r="BW11" s="6">
        <f t="shared" si="7"/>
        <v>0</v>
      </c>
      <c r="BX11" s="6">
        <f t="shared" si="8"/>
        <v>0.0625</v>
      </c>
      <c r="BY11" s="6">
        <f t="shared" si="9"/>
        <v>0.2</v>
      </c>
      <c r="BZ11" s="6">
        <f t="shared" si="10"/>
        <v>0</v>
      </c>
      <c r="CA11" s="6">
        <v>9.0</v>
      </c>
      <c r="CB11" s="6"/>
      <c r="CC11" s="6"/>
    </row>
    <row r="12" ht="15.75" customHeight="1">
      <c r="A12" s="1" t="s">
        <v>103</v>
      </c>
      <c r="B12" s="17">
        <v>2.0</v>
      </c>
      <c r="C12" s="9" t="s">
        <v>85</v>
      </c>
      <c r="D12" s="9" t="s">
        <v>85</v>
      </c>
      <c r="E12" s="9">
        <v>0.976676</v>
      </c>
      <c r="F12" s="9" t="s">
        <v>85</v>
      </c>
      <c r="G12" s="9" t="s">
        <v>85</v>
      </c>
      <c r="H12" s="9">
        <v>0.717201</v>
      </c>
      <c r="I12" s="9" t="s">
        <v>85</v>
      </c>
      <c r="J12" s="9" t="s">
        <v>85</v>
      </c>
      <c r="K12" s="9">
        <v>0.962099</v>
      </c>
      <c r="L12" s="9" t="s">
        <v>85</v>
      </c>
      <c r="M12" s="9" t="s">
        <v>85</v>
      </c>
      <c r="N12" s="9">
        <v>0.965015</v>
      </c>
      <c r="O12" s="9" t="s">
        <v>85</v>
      </c>
      <c r="P12" s="9" t="s">
        <v>85</v>
      </c>
      <c r="Q12" s="9">
        <v>0.96793</v>
      </c>
      <c r="R12" s="9" t="s">
        <v>85</v>
      </c>
      <c r="S12" s="9" t="s">
        <v>85</v>
      </c>
      <c r="T12" s="9">
        <v>0.979592</v>
      </c>
      <c r="U12" s="9" t="s">
        <v>85</v>
      </c>
      <c r="V12" s="9" t="s">
        <v>85</v>
      </c>
      <c r="W12" s="9">
        <v>0.944606</v>
      </c>
      <c r="X12" s="9" t="s">
        <v>85</v>
      </c>
      <c r="Y12" s="9" t="s">
        <v>85</v>
      </c>
      <c r="Z12" s="9">
        <v>0.944606</v>
      </c>
      <c r="AA12" s="10" t="s">
        <v>85</v>
      </c>
      <c r="AB12" s="10" t="s">
        <v>85</v>
      </c>
      <c r="AC12" s="9">
        <v>0.982507</v>
      </c>
      <c r="AD12" s="9" t="s">
        <v>85</v>
      </c>
      <c r="AE12" s="9" t="s">
        <v>85</v>
      </c>
      <c r="AF12" s="9">
        <v>0.982507</v>
      </c>
      <c r="AG12" s="9" t="s">
        <v>85</v>
      </c>
      <c r="AH12" s="9" t="s">
        <v>85</v>
      </c>
      <c r="AI12" s="9">
        <v>0.947522</v>
      </c>
      <c r="AJ12" s="9" t="s">
        <v>85</v>
      </c>
      <c r="AK12" s="9" t="s">
        <v>85</v>
      </c>
      <c r="AL12" s="9">
        <v>0.932945</v>
      </c>
      <c r="AM12" s="9" t="s">
        <v>85</v>
      </c>
      <c r="AN12" s="9" t="s">
        <v>85</v>
      </c>
      <c r="AO12" s="9">
        <v>0.979592</v>
      </c>
      <c r="AP12" s="9" t="s">
        <v>85</v>
      </c>
      <c r="AQ12" s="9" t="s">
        <v>85</v>
      </c>
      <c r="AR12" s="9">
        <v>0.982507</v>
      </c>
      <c r="AS12" s="9" t="s">
        <v>85</v>
      </c>
      <c r="AT12" s="9" t="s">
        <v>85</v>
      </c>
      <c r="AU12" s="9">
        <v>0.932945</v>
      </c>
      <c r="AV12" s="9" t="s">
        <v>85</v>
      </c>
      <c r="AW12" s="9" t="s">
        <v>85</v>
      </c>
      <c r="AX12" s="9">
        <v>0.956268</v>
      </c>
      <c r="AY12" s="9" t="s">
        <v>85</v>
      </c>
      <c r="AZ12" s="9" t="s">
        <v>85</v>
      </c>
      <c r="BA12" s="9">
        <v>0.947522</v>
      </c>
      <c r="BB12" s="10" t="s">
        <v>85</v>
      </c>
      <c r="BC12" s="10" t="s">
        <v>85</v>
      </c>
      <c r="BD12" s="9">
        <v>0.947522</v>
      </c>
      <c r="BE12" s="9" t="s">
        <v>85</v>
      </c>
      <c r="BF12" s="9" t="s">
        <v>85</v>
      </c>
      <c r="BG12" s="9">
        <v>0.970845</v>
      </c>
      <c r="BH12" s="6"/>
      <c r="BI12" s="6" t="str">
        <f t="shared" si="1"/>
        <v>10B_One_Acc</v>
      </c>
      <c r="BJ12" s="6" t="str">
        <f t="shared" si="2"/>
        <v>10B_One_Acc</v>
      </c>
      <c r="BK12" s="6" t="str">
        <f t="shared" si="3"/>
        <v>10B_One_Acc</v>
      </c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</row>
    <row r="13" ht="15.75" customHeight="1">
      <c r="A13" s="1" t="s">
        <v>105</v>
      </c>
      <c r="B13" s="17">
        <v>3.0</v>
      </c>
      <c r="C13" s="9" t="s">
        <v>85</v>
      </c>
      <c r="D13" s="9" t="s">
        <v>85</v>
      </c>
      <c r="E13" s="9">
        <v>0.547917</v>
      </c>
      <c r="F13" s="9" t="s">
        <v>85</v>
      </c>
      <c r="G13" s="9" t="s">
        <v>85</v>
      </c>
      <c r="H13" s="9">
        <v>0.532552</v>
      </c>
      <c r="I13" s="9" t="s">
        <v>85</v>
      </c>
      <c r="J13" s="9" t="s">
        <v>85</v>
      </c>
      <c r="K13" s="9">
        <v>0.532552</v>
      </c>
      <c r="L13" s="9" t="s">
        <v>85</v>
      </c>
      <c r="M13" s="9" t="s">
        <v>85</v>
      </c>
      <c r="N13" s="9">
        <v>0.532552</v>
      </c>
      <c r="O13" s="9" t="s">
        <v>85</v>
      </c>
      <c r="P13" s="9" t="s">
        <v>85</v>
      </c>
      <c r="Q13" s="9">
        <v>0.535677</v>
      </c>
      <c r="R13" s="9" t="s">
        <v>85</v>
      </c>
      <c r="S13" s="9" t="s">
        <v>85</v>
      </c>
      <c r="T13" s="9">
        <v>0.532552</v>
      </c>
      <c r="U13" s="9" t="s">
        <v>85</v>
      </c>
      <c r="V13" s="9" t="s">
        <v>85</v>
      </c>
      <c r="W13" s="9">
        <v>0.56276</v>
      </c>
      <c r="X13" s="9" t="s">
        <v>85</v>
      </c>
      <c r="Y13" s="9" t="s">
        <v>85</v>
      </c>
      <c r="Z13" s="9">
        <v>0.532552</v>
      </c>
      <c r="AA13" s="10" t="s">
        <v>85</v>
      </c>
      <c r="AB13" s="10" t="s">
        <v>85</v>
      </c>
      <c r="AC13" s="9">
        <v>0.579427</v>
      </c>
      <c r="AD13" s="9" t="s">
        <v>85</v>
      </c>
      <c r="AE13" s="9" t="s">
        <v>85</v>
      </c>
      <c r="AF13" s="9">
        <v>0.532552</v>
      </c>
      <c r="AG13" s="9" t="s">
        <v>85</v>
      </c>
      <c r="AH13" s="9" t="s">
        <v>85</v>
      </c>
      <c r="AI13" s="9">
        <v>0.532552</v>
      </c>
      <c r="AJ13" s="9" t="s">
        <v>85</v>
      </c>
      <c r="AK13" s="9" t="s">
        <v>85</v>
      </c>
      <c r="AL13" s="9">
        <v>0.532552</v>
      </c>
      <c r="AM13" s="9" t="s">
        <v>85</v>
      </c>
      <c r="AN13" s="9" t="s">
        <v>85</v>
      </c>
      <c r="AO13" s="9">
        <v>0.579427</v>
      </c>
      <c r="AP13" s="9" t="s">
        <v>85</v>
      </c>
      <c r="AQ13" s="9" t="s">
        <v>85</v>
      </c>
      <c r="AR13" s="9">
        <v>0.578385</v>
      </c>
      <c r="AS13" s="9" t="s">
        <v>85</v>
      </c>
      <c r="AT13" s="9" t="s">
        <v>85</v>
      </c>
      <c r="AU13" s="9">
        <v>0.59974</v>
      </c>
      <c r="AV13" s="9" t="s">
        <v>85</v>
      </c>
      <c r="AW13" s="9" t="s">
        <v>85</v>
      </c>
      <c r="AX13" s="9">
        <v>0.532552</v>
      </c>
      <c r="AY13" s="9" t="s">
        <v>85</v>
      </c>
      <c r="AZ13" s="9" t="s">
        <v>85</v>
      </c>
      <c r="BA13" s="9">
        <v>0.588542</v>
      </c>
      <c r="BB13" s="10" t="s">
        <v>85</v>
      </c>
      <c r="BC13" s="10" t="s">
        <v>85</v>
      </c>
      <c r="BD13" s="9">
        <v>0.532552</v>
      </c>
      <c r="BE13" s="9" t="s">
        <v>85</v>
      </c>
      <c r="BF13" s="9" t="s">
        <v>85</v>
      </c>
      <c r="BG13" s="9">
        <v>0.5625</v>
      </c>
      <c r="BH13" s="6"/>
      <c r="BI13" s="6" t="str">
        <f t="shared" si="1"/>
        <v>12V_One_Acc</v>
      </c>
      <c r="BJ13" s="6" t="str">
        <f t="shared" si="2"/>
        <v>20B_One_Acc</v>
      </c>
      <c r="BK13" s="6" t="str">
        <f t="shared" si="3"/>
        <v>10B_One_Acc</v>
      </c>
      <c r="BL13" s="6"/>
      <c r="BM13" s="6"/>
      <c r="BN13" s="6" t="s">
        <v>242</v>
      </c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</row>
    <row r="14" ht="15.75" customHeight="1">
      <c r="A14" s="1" t="s">
        <v>107</v>
      </c>
      <c r="B14" s="17">
        <v>4.0</v>
      </c>
      <c r="C14" s="9" t="s">
        <v>85</v>
      </c>
      <c r="D14" s="9" t="s">
        <v>85</v>
      </c>
      <c r="E14" s="9">
        <v>0.435507</v>
      </c>
      <c r="F14" s="9" t="s">
        <v>85</v>
      </c>
      <c r="G14" s="9" t="s">
        <v>85</v>
      </c>
      <c r="H14" s="9">
        <v>0.247826</v>
      </c>
      <c r="I14" s="9" t="s">
        <v>85</v>
      </c>
      <c r="J14" s="9" t="s">
        <v>85</v>
      </c>
      <c r="K14" s="9">
        <v>0.496377</v>
      </c>
      <c r="L14" s="9" t="s">
        <v>85</v>
      </c>
      <c r="M14" s="9" t="s">
        <v>85</v>
      </c>
      <c r="N14" s="9">
        <v>0.494203</v>
      </c>
      <c r="O14" s="9" t="s">
        <v>85</v>
      </c>
      <c r="P14" s="9" t="s">
        <v>85</v>
      </c>
      <c r="Q14" s="9">
        <v>0.643478</v>
      </c>
      <c r="R14" s="9" t="s">
        <v>85</v>
      </c>
      <c r="S14" s="9" t="s">
        <v>85</v>
      </c>
      <c r="T14" s="9">
        <v>0.603623</v>
      </c>
      <c r="U14" s="9" t="s">
        <v>85</v>
      </c>
      <c r="V14" s="9" t="s">
        <v>85</v>
      </c>
      <c r="W14" s="9">
        <v>0.628261</v>
      </c>
      <c r="X14" s="9" t="s">
        <v>85</v>
      </c>
      <c r="Y14" s="9" t="s">
        <v>85</v>
      </c>
      <c r="Z14" s="9">
        <v>0.602899</v>
      </c>
      <c r="AA14" s="10" t="s">
        <v>85</v>
      </c>
      <c r="AB14" s="10" t="s">
        <v>85</v>
      </c>
      <c r="AC14" s="9">
        <v>0.656522</v>
      </c>
      <c r="AD14" s="9" t="s">
        <v>85</v>
      </c>
      <c r="AE14" s="9" t="s">
        <v>85</v>
      </c>
      <c r="AF14" s="9">
        <v>0.668841</v>
      </c>
      <c r="AG14" s="9" t="s">
        <v>85</v>
      </c>
      <c r="AH14" s="9" t="s">
        <v>85</v>
      </c>
      <c r="AI14" s="9">
        <v>0.641304</v>
      </c>
      <c r="AJ14" s="9" t="s">
        <v>85</v>
      </c>
      <c r="AK14" s="9" t="s">
        <v>85</v>
      </c>
      <c r="AL14" s="9">
        <v>0.634058</v>
      </c>
      <c r="AM14" s="9" t="s">
        <v>85</v>
      </c>
      <c r="AN14" s="9" t="s">
        <v>85</v>
      </c>
      <c r="AO14" s="9">
        <v>0.63913</v>
      </c>
      <c r="AP14" s="9" t="s">
        <v>85</v>
      </c>
      <c r="AQ14" s="9" t="s">
        <v>85</v>
      </c>
      <c r="AR14" s="9">
        <v>0.646377</v>
      </c>
      <c r="AS14" s="9" t="s">
        <v>85</v>
      </c>
      <c r="AT14" s="9" t="s">
        <v>85</v>
      </c>
      <c r="AU14" s="9">
        <v>0.697826</v>
      </c>
      <c r="AV14" s="9" t="s">
        <v>85</v>
      </c>
      <c r="AW14" s="9" t="s">
        <v>85</v>
      </c>
      <c r="AX14" s="9">
        <v>0.742029</v>
      </c>
      <c r="AY14" s="9" t="s">
        <v>85</v>
      </c>
      <c r="AZ14" s="9" t="s">
        <v>85</v>
      </c>
      <c r="BA14" s="9">
        <v>0.787681</v>
      </c>
      <c r="BB14" s="10" t="s">
        <v>85</v>
      </c>
      <c r="BC14" s="10" t="s">
        <v>85</v>
      </c>
      <c r="BD14" s="9">
        <v>0.797101</v>
      </c>
      <c r="BE14" s="9" t="s">
        <v>85</v>
      </c>
      <c r="BF14" s="9" t="s">
        <v>85</v>
      </c>
      <c r="BG14" s="9">
        <v>0.281884</v>
      </c>
      <c r="BH14" s="6"/>
      <c r="BI14" s="6" t="str">
        <f t="shared" si="1"/>
        <v>20V_One_Acc</v>
      </c>
      <c r="BJ14" s="6" t="str">
        <f t="shared" si="2"/>
        <v>20B_One_Acc</v>
      </c>
      <c r="BK14" s="6" t="str">
        <f t="shared" si="3"/>
        <v>12VB_One_Acc</v>
      </c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</row>
    <row r="15" ht="15.75" customHeight="1">
      <c r="A15" s="1" t="s">
        <v>109</v>
      </c>
      <c r="B15" s="17">
        <v>2.0</v>
      </c>
      <c r="C15" s="9" t="s">
        <v>85</v>
      </c>
      <c r="D15" s="9" t="s">
        <v>85</v>
      </c>
      <c r="E15" s="9">
        <v>0.75</v>
      </c>
      <c r="F15" s="9" t="s">
        <v>85</v>
      </c>
      <c r="G15" s="9" t="s">
        <v>85</v>
      </c>
      <c r="H15" s="9">
        <v>0.464286</v>
      </c>
      <c r="I15" s="9" t="s">
        <v>85</v>
      </c>
      <c r="J15" s="9" t="s">
        <v>85</v>
      </c>
      <c r="K15" s="9">
        <v>0.821429</v>
      </c>
      <c r="L15" s="9" t="s">
        <v>85</v>
      </c>
      <c r="M15" s="9" t="s">
        <v>85</v>
      </c>
      <c r="N15" s="9">
        <v>0.75</v>
      </c>
      <c r="O15" s="9" t="s">
        <v>85</v>
      </c>
      <c r="P15" s="9" t="s">
        <v>85</v>
      </c>
      <c r="Q15" s="9">
        <v>0.714286</v>
      </c>
      <c r="R15" s="9" t="s">
        <v>85</v>
      </c>
      <c r="S15" s="9" t="s">
        <v>85</v>
      </c>
      <c r="T15" s="9">
        <v>0.75</v>
      </c>
      <c r="U15" s="9" t="s">
        <v>85</v>
      </c>
      <c r="V15" s="9" t="s">
        <v>85</v>
      </c>
      <c r="W15" s="9">
        <v>0.964286</v>
      </c>
      <c r="X15" s="9" t="s">
        <v>85</v>
      </c>
      <c r="Y15" s="9" t="s">
        <v>85</v>
      </c>
      <c r="Z15" s="9">
        <v>1.0</v>
      </c>
      <c r="AA15" s="10" t="s">
        <v>85</v>
      </c>
      <c r="AB15" s="10" t="s">
        <v>85</v>
      </c>
      <c r="AC15" s="9">
        <v>0.857143</v>
      </c>
      <c r="AD15" s="9" t="s">
        <v>85</v>
      </c>
      <c r="AE15" s="9" t="s">
        <v>85</v>
      </c>
      <c r="AF15" s="9">
        <v>0.857143</v>
      </c>
      <c r="AG15" s="9" t="s">
        <v>85</v>
      </c>
      <c r="AH15" s="9" t="s">
        <v>85</v>
      </c>
      <c r="AI15" s="9">
        <v>0.857143</v>
      </c>
      <c r="AJ15" s="9" t="s">
        <v>85</v>
      </c>
      <c r="AK15" s="9" t="s">
        <v>85</v>
      </c>
      <c r="AL15" s="9">
        <v>0.857143</v>
      </c>
      <c r="AM15" s="9" t="s">
        <v>85</v>
      </c>
      <c r="AN15" s="9" t="s">
        <v>85</v>
      </c>
      <c r="AO15" s="9">
        <v>0.928571</v>
      </c>
      <c r="AP15" s="9" t="s">
        <v>85</v>
      </c>
      <c r="AQ15" s="9" t="s">
        <v>85</v>
      </c>
      <c r="AR15" s="9">
        <v>0.928571</v>
      </c>
      <c r="AS15" s="9" t="s">
        <v>85</v>
      </c>
      <c r="AT15" s="9" t="s">
        <v>85</v>
      </c>
      <c r="AU15" s="9">
        <v>0.964286</v>
      </c>
      <c r="AV15" s="9" t="s">
        <v>85</v>
      </c>
      <c r="AW15" s="9" t="s">
        <v>85</v>
      </c>
      <c r="AX15" s="9">
        <v>0.964286</v>
      </c>
      <c r="AY15" s="9" t="s">
        <v>85</v>
      </c>
      <c r="AZ15" s="9" t="s">
        <v>85</v>
      </c>
      <c r="BA15" s="9">
        <v>0.928571</v>
      </c>
      <c r="BB15" s="10" t="s">
        <v>85</v>
      </c>
      <c r="BC15" s="10" t="s">
        <v>85</v>
      </c>
      <c r="BD15" s="9">
        <v>0.964286</v>
      </c>
      <c r="BE15" s="9" t="s">
        <v>85</v>
      </c>
      <c r="BF15" s="9" t="s">
        <v>85</v>
      </c>
      <c r="BG15" s="9">
        <v>0.928571</v>
      </c>
      <c r="BH15" s="6"/>
      <c r="BI15" s="6" t="str">
        <f t="shared" si="1"/>
        <v>8VB_One_Acc</v>
      </c>
      <c r="BJ15" s="6" t="str">
        <f t="shared" si="2"/>
        <v>8V_One_Acc</v>
      </c>
      <c r="BK15" s="6" t="str">
        <f t="shared" si="3"/>
        <v>8V_One_Acc</v>
      </c>
      <c r="BL15" s="6"/>
      <c r="BM15" s="1" t="s">
        <v>214</v>
      </c>
      <c r="BN15" s="6" t="s">
        <v>236</v>
      </c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</row>
    <row r="16" ht="15.75" customHeight="1">
      <c r="A16" s="1" t="s">
        <v>110</v>
      </c>
      <c r="B16" s="17">
        <v>2.0</v>
      </c>
      <c r="C16" s="9" t="s">
        <v>85</v>
      </c>
      <c r="D16" s="9" t="s">
        <v>85</v>
      </c>
      <c r="E16" s="9">
        <v>0.812</v>
      </c>
      <c r="F16" s="9" t="s">
        <v>85</v>
      </c>
      <c r="G16" s="9" t="s">
        <v>85</v>
      </c>
      <c r="H16" s="9">
        <v>0.5</v>
      </c>
      <c r="I16" s="9" t="s">
        <v>85</v>
      </c>
      <c r="J16" s="9" t="s">
        <v>85</v>
      </c>
      <c r="K16" s="9">
        <v>0.684</v>
      </c>
      <c r="L16" s="9" t="s">
        <v>85</v>
      </c>
      <c r="M16" s="9" t="s">
        <v>85</v>
      </c>
      <c r="N16" s="9">
        <v>0.672</v>
      </c>
      <c r="O16" s="9" t="s">
        <v>85</v>
      </c>
      <c r="P16" s="9" t="s">
        <v>85</v>
      </c>
      <c r="Q16" s="9">
        <v>0.836</v>
      </c>
      <c r="R16" s="9" t="s">
        <v>85</v>
      </c>
      <c r="S16" s="9" t="s">
        <v>85</v>
      </c>
      <c r="T16" s="9">
        <v>0.824</v>
      </c>
      <c r="U16" s="9" t="s">
        <v>85</v>
      </c>
      <c r="V16" s="9" t="s">
        <v>85</v>
      </c>
      <c r="W16" s="9">
        <v>0.712</v>
      </c>
      <c r="X16" s="9" t="s">
        <v>85</v>
      </c>
      <c r="Y16" s="9" t="s">
        <v>85</v>
      </c>
      <c r="Z16" s="9">
        <v>0.692</v>
      </c>
      <c r="AA16" s="10" t="s">
        <v>85</v>
      </c>
      <c r="AB16" s="10" t="s">
        <v>85</v>
      </c>
      <c r="AC16" s="9">
        <v>0.824</v>
      </c>
      <c r="AD16" s="9" t="s">
        <v>85</v>
      </c>
      <c r="AE16" s="9" t="s">
        <v>85</v>
      </c>
      <c r="AF16" s="9">
        <v>0.828</v>
      </c>
      <c r="AG16" s="9" t="s">
        <v>85</v>
      </c>
      <c r="AH16" s="9" t="s">
        <v>85</v>
      </c>
      <c r="AI16" s="9">
        <v>0.616</v>
      </c>
      <c r="AJ16" s="9" t="s">
        <v>85</v>
      </c>
      <c r="AK16" s="9" t="s">
        <v>85</v>
      </c>
      <c r="AL16" s="9">
        <v>0.676</v>
      </c>
      <c r="AM16" s="9" t="s">
        <v>85</v>
      </c>
      <c r="AN16" s="9" t="s">
        <v>85</v>
      </c>
      <c r="AO16" s="9">
        <v>0.8</v>
      </c>
      <c r="AP16" s="9" t="s">
        <v>85</v>
      </c>
      <c r="AQ16" s="9" t="s">
        <v>85</v>
      </c>
      <c r="AR16" s="9">
        <v>0.812</v>
      </c>
      <c r="AS16" s="9" t="s">
        <v>85</v>
      </c>
      <c r="AT16" s="9" t="s">
        <v>85</v>
      </c>
      <c r="AU16" s="9">
        <v>0.648</v>
      </c>
      <c r="AV16" s="9" t="s">
        <v>85</v>
      </c>
      <c r="AW16" s="9" t="s">
        <v>85</v>
      </c>
      <c r="AX16" s="9">
        <v>0.644</v>
      </c>
      <c r="AY16" s="9" t="s">
        <v>85</v>
      </c>
      <c r="AZ16" s="9" t="s">
        <v>85</v>
      </c>
      <c r="BA16" s="9">
        <v>0.784</v>
      </c>
      <c r="BB16" s="10" t="s">
        <v>85</v>
      </c>
      <c r="BC16" s="10" t="s">
        <v>85</v>
      </c>
      <c r="BD16" s="9">
        <v>0.684</v>
      </c>
      <c r="BE16" s="9" t="s">
        <v>85</v>
      </c>
      <c r="BF16" s="9" t="s">
        <v>85</v>
      </c>
      <c r="BG16" s="9">
        <v>0.604</v>
      </c>
      <c r="BH16" s="6"/>
      <c r="BI16" s="6" t="str">
        <f t="shared" si="1"/>
        <v>8B_One_Acc</v>
      </c>
      <c r="BJ16" s="6" t="str">
        <f t="shared" si="2"/>
        <v>10BN_One_Acc</v>
      </c>
      <c r="BK16" s="6" t="str">
        <f t="shared" si="3"/>
        <v>8BN_One_Acc</v>
      </c>
      <c r="BL16" s="6"/>
      <c r="BN16" s="6" t="s">
        <v>243</v>
      </c>
      <c r="BO16" s="6" t="s">
        <v>244</v>
      </c>
      <c r="BP16" s="6" t="s">
        <v>245</v>
      </c>
      <c r="BQ16" s="6" t="s">
        <v>246</v>
      </c>
      <c r="BR16" s="6" t="s">
        <v>247</v>
      </c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</row>
    <row r="17" ht="15.75" customHeight="1">
      <c r="A17" s="1" t="s">
        <v>111</v>
      </c>
      <c r="B17" s="17">
        <v>24.0</v>
      </c>
      <c r="C17" s="9" t="s">
        <v>85</v>
      </c>
      <c r="D17" s="9" t="s">
        <v>85</v>
      </c>
      <c r="E17" s="9">
        <v>0.445952</v>
      </c>
      <c r="F17" s="9" t="s">
        <v>85</v>
      </c>
      <c r="G17" s="9" t="s">
        <v>85</v>
      </c>
      <c r="H17" s="9">
        <v>0.041667</v>
      </c>
      <c r="I17" s="9" t="s">
        <v>85</v>
      </c>
      <c r="J17" s="9" t="s">
        <v>85</v>
      </c>
      <c r="K17" s="9">
        <v>0.253274</v>
      </c>
      <c r="L17" s="9" t="s">
        <v>85</v>
      </c>
      <c r="M17" s="9" t="s">
        <v>85</v>
      </c>
      <c r="N17" s="9">
        <v>0.37631</v>
      </c>
      <c r="O17" s="9" t="s">
        <v>85</v>
      </c>
      <c r="P17" s="9" t="s">
        <v>85</v>
      </c>
      <c r="Q17" s="9">
        <v>0.352976</v>
      </c>
      <c r="R17" s="9" t="s">
        <v>85</v>
      </c>
      <c r="S17" s="9" t="s">
        <v>85</v>
      </c>
      <c r="T17" s="9">
        <v>0.471131</v>
      </c>
      <c r="U17" s="9" t="s">
        <v>85</v>
      </c>
      <c r="V17" s="9" t="s">
        <v>85</v>
      </c>
      <c r="W17" s="9">
        <v>0.489762</v>
      </c>
      <c r="X17" s="9" t="s">
        <v>85</v>
      </c>
      <c r="Y17" s="9" t="s">
        <v>85</v>
      </c>
      <c r="Z17" s="9">
        <v>0.255119</v>
      </c>
      <c r="AA17" s="10" t="s">
        <v>85</v>
      </c>
      <c r="AB17" s="10" t="s">
        <v>85</v>
      </c>
      <c r="AC17" s="9">
        <v>0.475595</v>
      </c>
      <c r="AD17" s="9" t="s">
        <v>85</v>
      </c>
      <c r="AE17" s="9" t="s">
        <v>85</v>
      </c>
      <c r="AF17" s="9">
        <v>0.224286</v>
      </c>
      <c r="AG17" s="9" t="s">
        <v>85</v>
      </c>
      <c r="AH17" s="9" t="s">
        <v>85</v>
      </c>
      <c r="AI17" s="9">
        <v>0.407679</v>
      </c>
      <c r="AJ17" s="9" t="s">
        <v>85</v>
      </c>
      <c r="AK17" s="9" t="s">
        <v>85</v>
      </c>
      <c r="AL17" s="9">
        <v>0.2325</v>
      </c>
      <c r="AM17" s="9" t="s">
        <v>85</v>
      </c>
      <c r="AN17" s="9" t="s">
        <v>85</v>
      </c>
      <c r="AO17" s="9">
        <v>0.560119</v>
      </c>
      <c r="AP17" s="9" t="s">
        <v>85</v>
      </c>
      <c r="AQ17" s="9" t="s">
        <v>85</v>
      </c>
      <c r="AR17" s="9">
        <v>0.472381</v>
      </c>
      <c r="AS17" s="9" t="s">
        <v>85</v>
      </c>
      <c r="AT17" s="9" t="s">
        <v>85</v>
      </c>
      <c r="AU17" s="9">
        <v>0.593988</v>
      </c>
      <c r="AV17" s="9" t="s">
        <v>85</v>
      </c>
      <c r="AW17" s="9" t="s">
        <v>85</v>
      </c>
      <c r="AX17" s="9">
        <v>0.354048</v>
      </c>
      <c r="AY17" s="9" t="s">
        <v>85</v>
      </c>
      <c r="AZ17" s="9" t="s">
        <v>85</v>
      </c>
      <c r="BA17" s="9">
        <v>0.49875</v>
      </c>
      <c r="BB17" s="10" t="s">
        <v>85</v>
      </c>
      <c r="BC17" s="10" t="s">
        <v>85</v>
      </c>
      <c r="BD17" s="9">
        <v>0.254405</v>
      </c>
      <c r="BE17" s="9" t="s">
        <v>85</v>
      </c>
      <c r="BF17" s="9" t="s">
        <v>85</v>
      </c>
      <c r="BG17" s="9">
        <v>0.598333</v>
      </c>
      <c r="BH17" s="6"/>
      <c r="BI17" s="6" t="str">
        <f t="shared" si="1"/>
        <v>De_One_Acc</v>
      </c>
      <c r="BJ17" s="6" t="str">
        <f t="shared" si="2"/>
        <v>12V_One_Acc</v>
      </c>
      <c r="BK17" s="6" t="str">
        <f t="shared" si="3"/>
        <v>12B_One_Acc</v>
      </c>
      <c r="BL17" s="6"/>
      <c r="BM17" s="6"/>
      <c r="BN17" s="6">
        <f>COUNTIF(B3:B109,"&lt;=2")</f>
        <v>38</v>
      </c>
      <c r="BO17" s="6">
        <f>COUNTIFS(B3:B109,"&gt;=3",B3:B109,"&lt;=5")</f>
        <v>32</v>
      </c>
      <c r="BP17" s="6">
        <f>COUNTIFS(B3:B109,"&gt;5",B3:B109,"&lt;=10")</f>
        <v>16</v>
      </c>
      <c r="BQ17" s="6">
        <f>COUNTIFS(B3:B109,"&gt;10",B3:B109,"&lt;30")</f>
        <v>5</v>
      </c>
      <c r="BR17" s="6">
        <f>COUNTIFS(B3:B109,"&gt;=30")</f>
        <v>7</v>
      </c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</row>
    <row r="18" ht="15.75" customHeight="1">
      <c r="A18" s="1" t="s">
        <v>112</v>
      </c>
      <c r="B18" s="17">
        <v>4.0</v>
      </c>
      <c r="C18" s="9" t="s">
        <v>85</v>
      </c>
      <c r="D18" s="9" t="s">
        <v>85</v>
      </c>
      <c r="E18" s="9">
        <v>0.905229</v>
      </c>
      <c r="F18" s="9" t="s">
        <v>85</v>
      </c>
      <c r="G18" s="9" t="s">
        <v>85</v>
      </c>
      <c r="H18" s="9">
        <v>0.300654</v>
      </c>
      <c r="I18" s="9" t="s">
        <v>85</v>
      </c>
      <c r="J18" s="9" t="s">
        <v>85</v>
      </c>
      <c r="K18" s="9">
        <v>0.892157</v>
      </c>
      <c r="L18" s="9" t="s">
        <v>85</v>
      </c>
      <c r="M18" s="9" t="s">
        <v>85</v>
      </c>
      <c r="N18" s="9">
        <v>0.892157</v>
      </c>
      <c r="O18" s="9" t="s">
        <v>85</v>
      </c>
      <c r="P18" s="9" t="s">
        <v>85</v>
      </c>
      <c r="Q18" s="9">
        <v>0.892157</v>
      </c>
      <c r="R18" s="9" t="s">
        <v>85</v>
      </c>
      <c r="S18" s="9" t="s">
        <v>85</v>
      </c>
      <c r="T18" s="9">
        <v>0.905229</v>
      </c>
      <c r="U18" s="9" t="s">
        <v>85</v>
      </c>
      <c r="V18" s="9" t="s">
        <v>85</v>
      </c>
      <c r="W18" s="9">
        <v>0.892157</v>
      </c>
      <c r="X18" s="9" t="s">
        <v>85</v>
      </c>
      <c r="Y18" s="9" t="s">
        <v>85</v>
      </c>
      <c r="Z18" s="9">
        <v>0.892157</v>
      </c>
      <c r="AA18" s="10" t="s">
        <v>85</v>
      </c>
      <c r="AB18" s="10" t="s">
        <v>85</v>
      </c>
      <c r="AC18" s="9">
        <v>0.875817</v>
      </c>
      <c r="AD18" s="9" t="s">
        <v>85</v>
      </c>
      <c r="AE18" s="9" t="s">
        <v>85</v>
      </c>
      <c r="AF18" s="9">
        <v>0.885621</v>
      </c>
      <c r="AG18" s="9" t="s">
        <v>85</v>
      </c>
      <c r="AH18" s="9" t="s">
        <v>85</v>
      </c>
      <c r="AI18" s="9">
        <v>0.915033</v>
      </c>
      <c r="AJ18" s="9" t="s">
        <v>85</v>
      </c>
      <c r="AK18" s="9" t="s">
        <v>85</v>
      </c>
      <c r="AL18" s="9">
        <v>0.892157</v>
      </c>
      <c r="AM18" s="9" t="s">
        <v>85</v>
      </c>
      <c r="AN18" s="9" t="s">
        <v>85</v>
      </c>
      <c r="AO18" s="9">
        <v>0.888889</v>
      </c>
      <c r="AP18" s="9" t="s">
        <v>85</v>
      </c>
      <c r="AQ18" s="9" t="s">
        <v>85</v>
      </c>
      <c r="AR18" s="9">
        <v>0.901961</v>
      </c>
      <c r="AS18" s="9" t="s">
        <v>85</v>
      </c>
      <c r="AT18" s="9" t="s">
        <v>85</v>
      </c>
      <c r="AU18" s="9">
        <v>0.888889</v>
      </c>
      <c r="AV18" s="9" t="s">
        <v>85</v>
      </c>
      <c r="AW18" s="9" t="s">
        <v>85</v>
      </c>
      <c r="AX18" s="9">
        <v>0.888889</v>
      </c>
      <c r="AY18" s="9" t="s">
        <v>85</v>
      </c>
      <c r="AZ18" s="9" t="s">
        <v>85</v>
      </c>
      <c r="BA18" s="9">
        <v>0.898693</v>
      </c>
      <c r="BB18" s="10" t="s">
        <v>85</v>
      </c>
      <c r="BC18" s="10" t="s">
        <v>85</v>
      </c>
      <c r="BD18" s="9">
        <v>0.895425</v>
      </c>
      <c r="BE18" s="9" t="s">
        <v>85</v>
      </c>
      <c r="BF18" s="9" t="s">
        <v>85</v>
      </c>
      <c r="BG18" s="9">
        <v>0.330065</v>
      </c>
      <c r="BH18" s="6"/>
      <c r="BI18" s="6" t="str">
        <f t="shared" si="1"/>
        <v>10V_One_Acc</v>
      </c>
      <c r="BJ18" s="6" t="str">
        <f t="shared" si="2"/>
        <v>5B_One_Acc</v>
      </c>
      <c r="BK18" s="6" t="str">
        <f t="shared" si="3"/>
        <v>5B_One_Acc</v>
      </c>
      <c r="BL18" s="6"/>
      <c r="BM18" s="6" t="s">
        <v>226</v>
      </c>
      <c r="BN18" s="18">
        <f t="shared" ref="BN18:BR18" si="11">MINUS(BN17,SUM(BN19,BN20))</f>
        <v>16</v>
      </c>
      <c r="BO18" s="18">
        <f t="shared" si="11"/>
        <v>15</v>
      </c>
      <c r="BP18" s="18">
        <f t="shared" si="11"/>
        <v>7</v>
      </c>
      <c r="BQ18" s="18">
        <f t="shared" si="11"/>
        <v>2</v>
      </c>
      <c r="BR18" s="18">
        <f t="shared" si="11"/>
        <v>4</v>
      </c>
      <c r="BS18" s="6">
        <f t="shared" ref="BS18:BS20" si="12">SUM(BN18:BR18)</f>
        <v>44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</row>
    <row r="19" ht="15.75" customHeight="1">
      <c r="A19" s="1" t="s">
        <v>113</v>
      </c>
      <c r="B19" s="17">
        <v>3.0</v>
      </c>
      <c r="C19" s="9" t="s">
        <v>85</v>
      </c>
      <c r="D19" s="9" t="s">
        <v>85</v>
      </c>
      <c r="E19" s="9">
        <v>0.625899</v>
      </c>
      <c r="F19" s="9" t="s">
        <v>85</v>
      </c>
      <c r="G19" s="9" t="s">
        <v>85</v>
      </c>
      <c r="H19" s="9">
        <v>0.467626</v>
      </c>
      <c r="I19" s="9" t="s">
        <v>85</v>
      </c>
      <c r="J19" s="9" t="s">
        <v>85</v>
      </c>
      <c r="K19" s="9">
        <v>0.733813</v>
      </c>
      <c r="L19" s="9" t="s">
        <v>85</v>
      </c>
      <c r="M19" s="9" t="s">
        <v>85</v>
      </c>
      <c r="N19" s="9">
        <v>0.654676</v>
      </c>
      <c r="O19" s="9" t="s">
        <v>85</v>
      </c>
      <c r="P19" s="9" t="s">
        <v>85</v>
      </c>
      <c r="Q19" s="9">
        <v>0.640288</v>
      </c>
      <c r="R19" s="9" t="s">
        <v>85</v>
      </c>
      <c r="S19" s="9" t="s">
        <v>85</v>
      </c>
      <c r="T19" s="9">
        <v>0.705036</v>
      </c>
      <c r="U19" s="9" t="s">
        <v>85</v>
      </c>
      <c r="V19" s="9" t="s">
        <v>85</v>
      </c>
      <c r="W19" s="9">
        <v>0.726619</v>
      </c>
      <c r="X19" s="9" t="s">
        <v>85</v>
      </c>
      <c r="Y19" s="9" t="s">
        <v>85</v>
      </c>
      <c r="Z19" s="9">
        <v>0.705036</v>
      </c>
      <c r="AA19" s="10" t="s">
        <v>85</v>
      </c>
      <c r="AB19" s="10" t="s">
        <v>85</v>
      </c>
      <c r="AC19" s="9">
        <v>0.676259</v>
      </c>
      <c r="AD19" s="9" t="s">
        <v>85</v>
      </c>
      <c r="AE19" s="9" t="s">
        <v>85</v>
      </c>
      <c r="AF19" s="9">
        <v>0.669065</v>
      </c>
      <c r="AG19" s="9" t="s">
        <v>85</v>
      </c>
      <c r="AH19" s="9" t="s">
        <v>85</v>
      </c>
      <c r="AI19" s="9">
        <v>0.669065</v>
      </c>
      <c r="AJ19" s="9" t="s">
        <v>85</v>
      </c>
      <c r="AK19" s="9" t="s">
        <v>85</v>
      </c>
      <c r="AL19" s="9">
        <v>0.719424</v>
      </c>
      <c r="AM19" s="9" t="s">
        <v>85</v>
      </c>
      <c r="AN19" s="9" t="s">
        <v>85</v>
      </c>
      <c r="AO19" s="9">
        <v>0.690647</v>
      </c>
      <c r="AP19" s="9" t="s">
        <v>85</v>
      </c>
      <c r="AQ19" s="9" t="s">
        <v>85</v>
      </c>
      <c r="AR19" s="9">
        <v>0.66187</v>
      </c>
      <c r="AS19" s="9" t="s">
        <v>85</v>
      </c>
      <c r="AT19" s="9" t="s">
        <v>85</v>
      </c>
      <c r="AU19" s="9">
        <v>0.733813</v>
      </c>
      <c r="AV19" s="9" t="s">
        <v>85</v>
      </c>
      <c r="AW19" s="9" t="s">
        <v>85</v>
      </c>
      <c r="AX19" s="9">
        <v>0.748201</v>
      </c>
      <c r="AY19" s="9" t="s">
        <v>85</v>
      </c>
      <c r="AZ19" s="9" t="s">
        <v>85</v>
      </c>
      <c r="BA19" s="9">
        <v>0.71223</v>
      </c>
      <c r="BB19" s="10" t="s">
        <v>85</v>
      </c>
      <c r="BC19" s="10" t="s">
        <v>85</v>
      </c>
      <c r="BD19" s="9">
        <v>0.654676</v>
      </c>
      <c r="BE19" s="9" t="s">
        <v>85</v>
      </c>
      <c r="BF19" s="9" t="s">
        <v>85</v>
      </c>
      <c r="BG19" s="9">
        <v>0.719424</v>
      </c>
      <c r="BH19" s="6"/>
      <c r="BI19" s="6" t="str">
        <f t="shared" si="1"/>
        <v>12VB_One_Acc</v>
      </c>
      <c r="BJ19" s="6" t="str">
        <f t="shared" si="2"/>
        <v>5V_One_Acc</v>
      </c>
      <c r="BK19" s="6" t="str">
        <f t="shared" si="3"/>
        <v>5V_One_Acc</v>
      </c>
      <c r="BL19" s="6"/>
      <c r="BM19" s="6" t="s">
        <v>227</v>
      </c>
      <c r="BN19" s="18">
        <f>COUNTIFS(BJ3:BJ109,"*V*",B3:B109,"&lt;=2")</f>
        <v>22</v>
      </c>
      <c r="BO19" s="19">
        <f>COUNTIFS(BJ3:BJ109,"*V*",B3:B109,"&gt;=3",B3:B109,"&lt;=5")</f>
        <v>17</v>
      </c>
      <c r="BP19" s="18">
        <f>COUNTIFS(BJ3:BJ109,"*V*",B3:B109,"&gt;5",B3:B109,"&lt;=10")</f>
        <v>9</v>
      </c>
      <c r="BQ19" s="18">
        <f>COUNTIFS(BJ3:BJ109,"*V*",B3:B109,"&gt;10",B3:B109,"&lt;30")</f>
        <v>3</v>
      </c>
      <c r="BR19" s="18">
        <f>COUNTIFS(BJ3:BJ109,"*V*",B3:B109,"&gt;=30")</f>
        <v>3</v>
      </c>
      <c r="BS19" s="6">
        <f t="shared" si="12"/>
        <v>54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</row>
    <row r="20" ht="15.75" customHeight="1">
      <c r="A20" s="1" t="s">
        <v>114</v>
      </c>
      <c r="B20" s="17">
        <v>2.0</v>
      </c>
      <c r="C20" s="9" t="s">
        <v>85</v>
      </c>
      <c r="D20" s="9" t="s">
        <v>85</v>
      </c>
      <c r="E20" s="9">
        <v>0.724638</v>
      </c>
      <c r="F20" s="9" t="s">
        <v>85</v>
      </c>
      <c r="G20" s="9" t="s">
        <v>85</v>
      </c>
      <c r="H20" s="9">
        <v>0.583333</v>
      </c>
      <c r="I20" s="9" t="s">
        <v>85</v>
      </c>
      <c r="J20" s="9" t="s">
        <v>85</v>
      </c>
      <c r="K20" s="9">
        <v>0.768116</v>
      </c>
      <c r="L20" s="9" t="s">
        <v>85</v>
      </c>
      <c r="M20" s="9" t="s">
        <v>85</v>
      </c>
      <c r="N20" s="9">
        <v>0.764493</v>
      </c>
      <c r="O20" s="9" t="s">
        <v>85</v>
      </c>
      <c r="P20" s="9" t="s">
        <v>85</v>
      </c>
      <c r="Q20" s="9">
        <v>0.713768</v>
      </c>
      <c r="R20" s="9" t="s">
        <v>85</v>
      </c>
      <c r="S20" s="9" t="s">
        <v>85</v>
      </c>
      <c r="T20" s="9">
        <v>0.695652</v>
      </c>
      <c r="U20" s="9" t="s">
        <v>85</v>
      </c>
      <c r="V20" s="9" t="s">
        <v>85</v>
      </c>
      <c r="W20" s="9">
        <v>0.76087</v>
      </c>
      <c r="X20" s="9" t="s">
        <v>85</v>
      </c>
      <c r="Y20" s="9" t="s">
        <v>85</v>
      </c>
      <c r="Z20" s="9">
        <v>0.757246</v>
      </c>
      <c r="AA20" s="10" t="s">
        <v>85</v>
      </c>
      <c r="AB20" s="10" t="s">
        <v>85</v>
      </c>
      <c r="AC20" s="9">
        <v>0.75</v>
      </c>
      <c r="AD20" s="9" t="s">
        <v>85</v>
      </c>
      <c r="AE20" s="9" t="s">
        <v>85</v>
      </c>
      <c r="AF20" s="9">
        <v>0.742754</v>
      </c>
      <c r="AG20" s="9" t="s">
        <v>85</v>
      </c>
      <c r="AH20" s="9" t="s">
        <v>85</v>
      </c>
      <c r="AI20" s="9">
        <v>0.75</v>
      </c>
      <c r="AJ20" s="9" t="s">
        <v>85</v>
      </c>
      <c r="AK20" s="9" t="s">
        <v>85</v>
      </c>
      <c r="AL20" s="9">
        <v>0.75</v>
      </c>
      <c r="AM20" s="9" t="s">
        <v>85</v>
      </c>
      <c r="AN20" s="9" t="s">
        <v>85</v>
      </c>
      <c r="AO20" s="9">
        <v>0.764493</v>
      </c>
      <c r="AP20" s="9" t="s">
        <v>85</v>
      </c>
      <c r="AQ20" s="9" t="s">
        <v>85</v>
      </c>
      <c r="AR20" s="9">
        <v>0.753623</v>
      </c>
      <c r="AS20" s="9" t="s">
        <v>85</v>
      </c>
      <c r="AT20" s="9" t="s">
        <v>85</v>
      </c>
      <c r="AU20" s="9">
        <v>0.771739</v>
      </c>
      <c r="AV20" s="9" t="s">
        <v>85</v>
      </c>
      <c r="AW20" s="9" t="s">
        <v>85</v>
      </c>
      <c r="AX20" s="9">
        <v>0.753623</v>
      </c>
      <c r="AY20" s="9" t="s">
        <v>85</v>
      </c>
      <c r="AZ20" s="9" t="s">
        <v>85</v>
      </c>
      <c r="BA20" s="9">
        <v>0.753623</v>
      </c>
      <c r="BB20" s="10" t="s">
        <v>85</v>
      </c>
      <c r="BC20" s="10" t="s">
        <v>85</v>
      </c>
      <c r="BD20" s="9">
        <v>0.735507</v>
      </c>
      <c r="BE20" s="9" t="s">
        <v>85</v>
      </c>
      <c r="BF20" s="9" t="s">
        <v>85</v>
      </c>
      <c r="BG20" s="9">
        <v>0.75</v>
      </c>
      <c r="BH20" s="6"/>
      <c r="BI20" s="6" t="str">
        <f t="shared" si="1"/>
        <v>12V_One_Acc</v>
      </c>
      <c r="BJ20" s="6" t="str">
        <f t="shared" si="2"/>
        <v>5V_One_Acc</v>
      </c>
      <c r="BK20" s="6" t="str">
        <f t="shared" si="3"/>
        <v>5VB_One_Acc</v>
      </c>
      <c r="BL20" s="6"/>
      <c r="BM20" s="6" t="s">
        <v>20</v>
      </c>
      <c r="BN20" s="18">
        <f>COUNTIFS(BJ3:BJ109,"*De*",B3:B109,"&lt;=2")</f>
        <v>0</v>
      </c>
      <c r="BO20" s="19">
        <f>COUNTIFS(BJ3:BJ109,"*De*",B3:B109,"&gt;=3",B3:B109,"&lt;=5")</f>
        <v>0</v>
      </c>
      <c r="BP20" s="18">
        <f>COUNTIFS(BJ3:BJ109,"*De*",B3:B109,"&gt;5",B3:B109,"&lt;=10")</f>
        <v>0</v>
      </c>
      <c r="BQ20" s="18">
        <f>COUNTIFS(BJ3:BJ109,"*De*",B3:B109,"&gt;10",B3:B109,"&lt;30")</f>
        <v>0</v>
      </c>
      <c r="BR20" s="18">
        <f>COUNTIFS(BJ3:BJ109,"*De*",B3:B109,"&gt;=30")</f>
        <v>0</v>
      </c>
      <c r="BS20" s="6">
        <f t="shared" si="12"/>
        <v>0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</row>
    <row r="21" ht="15.75" customHeight="1">
      <c r="A21" s="1" t="s">
        <v>115</v>
      </c>
      <c r="B21" s="17">
        <v>6.0</v>
      </c>
      <c r="C21" s="9" t="s">
        <v>85</v>
      </c>
      <c r="D21" s="9" t="s">
        <v>85</v>
      </c>
      <c r="E21" s="9">
        <v>0.582734</v>
      </c>
      <c r="F21" s="9" t="s">
        <v>85</v>
      </c>
      <c r="G21" s="9" t="s">
        <v>85</v>
      </c>
      <c r="H21" s="9">
        <v>0.302158</v>
      </c>
      <c r="I21" s="9" t="s">
        <v>85</v>
      </c>
      <c r="J21" s="9" t="s">
        <v>85</v>
      </c>
      <c r="K21" s="9">
        <v>0.669065</v>
      </c>
      <c r="L21" s="9" t="s">
        <v>85</v>
      </c>
      <c r="M21" s="9" t="s">
        <v>85</v>
      </c>
      <c r="N21" s="9">
        <v>0.676259</v>
      </c>
      <c r="O21" s="9" t="s">
        <v>85</v>
      </c>
      <c r="P21" s="9" t="s">
        <v>85</v>
      </c>
      <c r="Q21" s="9">
        <v>0.640288</v>
      </c>
      <c r="R21" s="9" t="s">
        <v>85</v>
      </c>
      <c r="S21" s="9" t="s">
        <v>85</v>
      </c>
      <c r="T21" s="9">
        <v>0.597122</v>
      </c>
      <c r="U21" s="9" t="s">
        <v>85</v>
      </c>
      <c r="V21" s="9" t="s">
        <v>85</v>
      </c>
      <c r="W21" s="9">
        <v>0.669065</v>
      </c>
      <c r="X21" s="9" t="s">
        <v>85</v>
      </c>
      <c r="Y21" s="9" t="s">
        <v>85</v>
      </c>
      <c r="Z21" s="9">
        <v>0.669065</v>
      </c>
      <c r="AA21" s="10" t="s">
        <v>85</v>
      </c>
      <c r="AB21" s="10" t="s">
        <v>85</v>
      </c>
      <c r="AC21" s="9">
        <v>0.654676</v>
      </c>
      <c r="AD21" s="9" t="s">
        <v>85</v>
      </c>
      <c r="AE21" s="9" t="s">
        <v>85</v>
      </c>
      <c r="AF21" s="9">
        <v>0.633094</v>
      </c>
      <c r="AG21" s="9" t="s">
        <v>85</v>
      </c>
      <c r="AH21" s="9" t="s">
        <v>85</v>
      </c>
      <c r="AI21" s="9">
        <v>0.654676</v>
      </c>
      <c r="AJ21" s="9" t="s">
        <v>85</v>
      </c>
      <c r="AK21" s="9" t="s">
        <v>85</v>
      </c>
      <c r="AL21" s="9">
        <v>0.582734</v>
      </c>
      <c r="AM21" s="9" t="s">
        <v>85</v>
      </c>
      <c r="AN21" s="9" t="s">
        <v>85</v>
      </c>
      <c r="AO21" s="9">
        <v>0.690647</v>
      </c>
      <c r="AP21" s="9" t="s">
        <v>85</v>
      </c>
      <c r="AQ21" s="9" t="s">
        <v>85</v>
      </c>
      <c r="AR21" s="9">
        <v>0.654676</v>
      </c>
      <c r="AS21" s="9" t="s">
        <v>85</v>
      </c>
      <c r="AT21" s="9" t="s">
        <v>85</v>
      </c>
      <c r="AU21" s="9">
        <v>0.676259</v>
      </c>
      <c r="AV21" s="9" t="s">
        <v>85</v>
      </c>
      <c r="AW21" s="9" t="s">
        <v>85</v>
      </c>
      <c r="AX21" s="9">
        <v>0.654676</v>
      </c>
      <c r="AY21" s="9" t="s">
        <v>85</v>
      </c>
      <c r="AZ21" s="9" t="s">
        <v>85</v>
      </c>
      <c r="BA21" s="9">
        <v>0.625899</v>
      </c>
      <c r="BB21" s="10" t="s">
        <v>85</v>
      </c>
      <c r="BC21" s="10" t="s">
        <v>85</v>
      </c>
      <c r="BD21" s="9">
        <v>0.625899</v>
      </c>
      <c r="BE21" s="9" t="s">
        <v>85</v>
      </c>
      <c r="BF21" s="9" t="s">
        <v>85</v>
      </c>
      <c r="BG21" s="9">
        <v>0.690647</v>
      </c>
      <c r="BH21" s="6"/>
      <c r="BI21" s="6" t="str">
        <f t="shared" si="1"/>
        <v>12B_One_Acc</v>
      </c>
      <c r="BJ21" s="6" t="str">
        <f t="shared" si="2"/>
        <v>12B_One_Acc</v>
      </c>
      <c r="BK21" s="6" t="str">
        <f t="shared" si="3"/>
        <v>5VB_One_Acc</v>
      </c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</row>
    <row r="22" ht="15.75" customHeight="1">
      <c r="A22" s="1" t="s">
        <v>116</v>
      </c>
      <c r="B22" s="17">
        <v>2.0</v>
      </c>
      <c r="C22" s="9" t="s">
        <v>85</v>
      </c>
      <c r="D22" s="9" t="s">
        <v>85</v>
      </c>
      <c r="E22" s="9">
        <v>0.741007</v>
      </c>
      <c r="F22" s="9" t="s">
        <v>85</v>
      </c>
      <c r="G22" s="9" t="s">
        <v>85</v>
      </c>
      <c r="H22" s="9">
        <v>0.748201</v>
      </c>
      <c r="I22" s="9" t="s">
        <v>85</v>
      </c>
      <c r="J22" s="9" t="s">
        <v>85</v>
      </c>
      <c r="K22" s="9">
        <v>0.748201</v>
      </c>
      <c r="L22" s="9" t="s">
        <v>85</v>
      </c>
      <c r="M22" s="9" t="s">
        <v>85</v>
      </c>
      <c r="N22" s="9">
        <v>0.748201</v>
      </c>
      <c r="O22" s="9" t="s">
        <v>85</v>
      </c>
      <c r="P22" s="9" t="s">
        <v>85</v>
      </c>
      <c r="Q22" s="9">
        <v>0.748201</v>
      </c>
      <c r="R22" s="9" t="s">
        <v>85</v>
      </c>
      <c r="S22" s="9" t="s">
        <v>85</v>
      </c>
      <c r="T22" s="9">
        <v>0.748201</v>
      </c>
      <c r="U22" s="9" t="s">
        <v>85</v>
      </c>
      <c r="V22" s="9" t="s">
        <v>85</v>
      </c>
      <c r="W22" s="9">
        <v>0.748201</v>
      </c>
      <c r="X22" s="9" t="s">
        <v>85</v>
      </c>
      <c r="Y22" s="9" t="s">
        <v>85</v>
      </c>
      <c r="Z22" s="9">
        <v>0.748201</v>
      </c>
      <c r="AA22" s="10" t="s">
        <v>85</v>
      </c>
      <c r="AB22" s="10" t="s">
        <v>85</v>
      </c>
      <c r="AC22" s="9">
        <v>0.741007</v>
      </c>
      <c r="AD22" s="9" t="s">
        <v>85</v>
      </c>
      <c r="AE22" s="9" t="s">
        <v>85</v>
      </c>
      <c r="AF22" s="9">
        <v>0.748201</v>
      </c>
      <c r="AG22" s="9" t="s">
        <v>85</v>
      </c>
      <c r="AH22" s="9" t="s">
        <v>85</v>
      </c>
      <c r="AI22" s="9">
        <v>0.748201</v>
      </c>
      <c r="AJ22" s="9" t="s">
        <v>85</v>
      </c>
      <c r="AK22" s="9" t="s">
        <v>85</v>
      </c>
      <c r="AL22" s="9">
        <v>0.748201</v>
      </c>
      <c r="AM22" s="9" t="s">
        <v>85</v>
      </c>
      <c r="AN22" s="9" t="s">
        <v>85</v>
      </c>
      <c r="AO22" s="9">
        <v>0.705036</v>
      </c>
      <c r="AP22" s="9" t="s">
        <v>85</v>
      </c>
      <c r="AQ22" s="9" t="s">
        <v>85</v>
      </c>
      <c r="AR22" s="9">
        <v>0.748201</v>
      </c>
      <c r="AS22" s="9" t="s">
        <v>85</v>
      </c>
      <c r="AT22" s="9" t="s">
        <v>85</v>
      </c>
      <c r="AU22" s="9">
        <v>0.748201</v>
      </c>
      <c r="AV22" s="9" t="s">
        <v>85</v>
      </c>
      <c r="AW22" s="9" t="s">
        <v>85</v>
      </c>
      <c r="AX22" s="9">
        <v>0.748201</v>
      </c>
      <c r="AY22" s="9" t="s">
        <v>85</v>
      </c>
      <c r="AZ22" s="9" t="s">
        <v>85</v>
      </c>
      <c r="BA22" s="9">
        <v>0.748201</v>
      </c>
      <c r="BB22" s="10" t="s">
        <v>85</v>
      </c>
      <c r="BC22" s="10" t="s">
        <v>85</v>
      </c>
      <c r="BD22" s="9">
        <v>0.748201</v>
      </c>
      <c r="BE22" s="9" t="s">
        <v>85</v>
      </c>
      <c r="BF22" s="9" t="s">
        <v>85</v>
      </c>
      <c r="BG22" s="9">
        <v>0.66187</v>
      </c>
      <c r="BH22" s="6"/>
      <c r="BI22" s="6" t="str">
        <f t="shared" si="1"/>
        <v>5BN_One_Acc</v>
      </c>
      <c r="BJ22" s="6" t="str">
        <f t="shared" si="2"/>
        <v>5BN_One_Acc</v>
      </c>
      <c r="BK22" s="6" t="str">
        <f t="shared" si="3"/>
        <v>5BN_One_Acc</v>
      </c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</row>
    <row r="23" ht="15.75" customHeight="1">
      <c r="A23" s="1" t="s">
        <v>117</v>
      </c>
      <c r="B23" s="17">
        <v>2.0</v>
      </c>
      <c r="C23" s="9" t="s">
        <v>85</v>
      </c>
      <c r="D23" s="9" t="s">
        <v>85</v>
      </c>
      <c r="E23" s="9">
        <v>0.64</v>
      </c>
      <c r="F23" s="9" t="s">
        <v>85</v>
      </c>
      <c r="G23" s="9" t="s">
        <v>85</v>
      </c>
      <c r="H23" s="9">
        <v>0.64</v>
      </c>
      <c r="I23" s="9" t="s">
        <v>85</v>
      </c>
      <c r="J23" s="9" t="s">
        <v>85</v>
      </c>
      <c r="K23" s="9">
        <v>0.64</v>
      </c>
      <c r="L23" s="9" t="s">
        <v>85</v>
      </c>
      <c r="M23" s="9" t="s">
        <v>85</v>
      </c>
      <c r="N23" s="9">
        <v>0.64</v>
      </c>
      <c r="O23" s="9" t="s">
        <v>85</v>
      </c>
      <c r="P23" s="9" t="s">
        <v>85</v>
      </c>
      <c r="Q23" s="9">
        <v>0.64</v>
      </c>
      <c r="R23" s="9" t="s">
        <v>85</v>
      </c>
      <c r="S23" s="9" t="s">
        <v>85</v>
      </c>
      <c r="T23" s="9">
        <v>0.64</v>
      </c>
      <c r="U23" s="9" t="s">
        <v>85</v>
      </c>
      <c r="V23" s="9" t="s">
        <v>85</v>
      </c>
      <c r="W23" s="9">
        <v>0.64</v>
      </c>
      <c r="X23" s="9" t="s">
        <v>85</v>
      </c>
      <c r="Y23" s="9" t="s">
        <v>85</v>
      </c>
      <c r="Z23" s="9">
        <v>0.64</v>
      </c>
      <c r="AA23" s="10" t="s">
        <v>85</v>
      </c>
      <c r="AB23" s="10" t="s">
        <v>85</v>
      </c>
      <c r="AC23" s="9">
        <v>0.64</v>
      </c>
      <c r="AD23" s="9" t="s">
        <v>85</v>
      </c>
      <c r="AE23" s="9" t="s">
        <v>85</v>
      </c>
      <c r="AF23" s="9">
        <v>0.64</v>
      </c>
      <c r="AG23" s="9" t="s">
        <v>85</v>
      </c>
      <c r="AH23" s="9" t="s">
        <v>85</v>
      </c>
      <c r="AI23" s="9">
        <v>0.64</v>
      </c>
      <c r="AJ23" s="9" t="s">
        <v>85</v>
      </c>
      <c r="AK23" s="9" t="s">
        <v>85</v>
      </c>
      <c r="AL23" s="9">
        <v>0.64</v>
      </c>
      <c r="AM23" s="9" t="s">
        <v>85</v>
      </c>
      <c r="AN23" s="9" t="s">
        <v>85</v>
      </c>
      <c r="AO23" s="9">
        <v>0.64</v>
      </c>
      <c r="AP23" s="9" t="s">
        <v>85</v>
      </c>
      <c r="AQ23" s="9" t="s">
        <v>85</v>
      </c>
      <c r="AR23" s="9">
        <v>0.64</v>
      </c>
      <c r="AS23" s="9" t="s">
        <v>85</v>
      </c>
      <c r="AT23" s="9" t="s">
        <v>85</v>
      </c>
      <c r="AU23" s="9">
        <v>0.64</v>
      </c>
      <c r="AV23" s="9" t="s">
        <v>85</v>
      </c>
      <c r="AW23" s="9" t="s">
        <v>85</v>
      </c>
      <c r="AX23" s="9">
        <v>0.64</v>
      </c>
      <c r="AY23" s="9" t="s">
        <v>85</v>
      </c>
      <c r="AZ23" s="9" t="s">
        <v>85</v>
      </c>
      <c r="BA23" s="9">
        <v>0.64</v>
      </c>
      <c r="BB23" s="10" t="s">
        <v>85</v>
      </c>
      <c r="BC23" s="10" t="s">
        <v>85</v>
      </c>
      <c r="BD23" s="9">
        <v>0.64</v>
      </c>
      <c r="BE23" s="9" t="s">
        <v>85</v>
      </c>
      <c r="BF23" s="9" t="s">
        <v>85</v>
      </c>
      <c r="BG23" s="9">
        <v>0.64</v>
      </c>
      <c r="BH23" s="6"/>
      <c r="BI23" s="6" t="str">
        <f t="shared" si="1"/>
        <v>5B_One_Acc</v>
      </c>
      <c r="BJ23" s="6" t="str">
        <f t="shared" si="2"/>
        <v>5B_One_Acc</v>
      </c>
      <c r="BK23" s="6" t="str">
        <f t="shared" si="3"/>
        <v>5B_One_Acc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</row>
    <row r="24" ht="15.75" customHeight="1">
      <c r="A24" s="1" t="s">
        <v>118</v>
      </c>
      <c r="B24" s="17">
        <v>5.0</v>
      </c>
      <c r="C24" s="9" t="s">
        <v>85</v>
      </c>
      <c r="D24" s="9" t="s">
        <v>85</v>
      </c>
      <c r="E24" s="9">
        <v>0.922444</v>
      </c>
      <c r="F24" s="9" t="s">
        <v>85</v>
      </c>
      <c r="G24" s="9" t="s">
        <v>85</v>
      </c>
      <c r="H24" s="9">
        <v>0.583778</v>
      </c>
      <c r="I24" s="9" t="s">
        <v>85</v>
      </c>
      <c r="J24" s="9" t="s">
        <v>85</v>
      </c>
      <c r="K24" s="9">
        <v>0.918444</v>
      </c>
      <c r="L24" s="9" t="s">
        <v>85</v>
      </c>
      <c r="M24" s="9" t="s">
        <v>85</v>
      </c>
      <c r="N24" s="9">
        <v>0.919556</v>
      </c>
      <c r="O24" s="9" t="s">
        <v>85</v>
      </c>
      <c r="P24" s="9" t="s">
        <v>85</v>
      </c>
      <c r="Q24" s="9">
        <v>0.922</v>
      </c>
      <c r="R24" s="9" t="s">
        <v>85</v>
      </c>
      <c r="S24" s="9" t="s">
        <v>85</v>
      </c>
      <c r="T24" s="9">
        <v>0.922</v>
      </c>
      <c r="U24" s="9" t="s">
        <v>85</v>
      </c>
      <c r="V24" s="9" t="s">
        <v>85</v>
      </c>
      <c r="W24" s="9">
        <v>0.921778</v>
      </c>
      <c r="X24" s="9" t="s">
        <v>85</v>
      </c>
      <c r="Y24" s="9" t="s">
        <v>85</v>
      </c>
      <c r="Z24" s="9">
        <v>0.925778</v>
      </c>
      <c r="AA24" s="10" t="s">
        <v>85</v>
      </c>
      <c r="AB24" s="10" t="s">
        <v>85</v>
      </c>
      <c r="AC24" s="9">
        <v>0.928444</v>
      </c>
      <c r="AD24" s="9" t="s">
        <v>85</v>
      </c>
      <c r="AE24" s="9" t="s">
        <v>85</v>
      </c>
      <c r="AF24" s="9">
        <v>0.924889</v>
      </c>
      <c r="AG24" s="9" t="s">
        <v>85</v>
      </c>
      <c r="AH24" s="9" t="s">
        <v>85</v>
      </c>
      <c r="AI24" s="9">
        <v>0.924</v>
      </c>
      <c r="AJ24" s="9" t="s">
        <v>85</v>
      </c>
      <c r="AK24" s="9" t="s">
        <v>85</v>
      </c>
      <c r="AL24" s="9">
        <v>0.924222</v>
      </c>
      <c r="AM24" s="9" t="s">
        <v>85</v>
      </c>
      <c r="AN24" s="9" t="s">
        <v>85</v>
      </c>
      <c r="AO24" s="9">
        <v>0.928222</v>
      </c>
      <c r="AP24" s="9" t="s">
        <v>85</v>
      </c>
      <c r="AQ24" s="9" t="s">
        <v>85</v>
      </c>
      <c r="AR24" s="9">
        <v>0.925333</v>
      </c>
      <c r="AS24" s="9" t="s">
        <v>85</v>
      </c>
      <c r="AT24" s="9" t="s">
        <v>85</v>
      </c>
      <c r="AU24" s="9">
        <v>0.924667</v>
      </c>
      <c r="AV24" s="9" t="s">
        <v>85</v>
      </c>
      <c r="AW24" s="9" t="s">
        <v>85</v>
      </c>
      <c r="AX24" s="9">
        <v>0.931111</v>
      </c>
      <c r="AY24" s="9" t="s">
        <v>85</v>
      </c>
      <c r="AZ24" s="9" t="s">
        <v>85</v>
      </c>
      <c r="BA24" s="9">
        <v>0.921556</v>
      </c>
      <c r="BB24" s="10" t="s">
        <v>85</v>
      </c>
      <c r="BC24" s="10" t="s">
        <v>85</v>
      </c>
      <c r="BD24" s="9">
        <v>0.926667</v>
      </c>
      <c r="BE24" s="9" t="s">
        <v>85</v>
      </c>
      <c r="BF24" s="9" t="s">
        <v>85</v>
      </c>
      <c r="BG24" s="9">
        <v>0.926444</v>
      </c>
      <c r="BH24" s="6"/>
      <c r="BI24" s="6" t="str">
        <f t="shared" si="1"/>
        <v>12VB_One_Acc</v>
      </c>
      <c r="BJ24" s="6" t="str">
        <f t="shared" si="2"/>
        <v>10B_One_Acc</v>
      </c>
      <c r="BK24" s="6" t="str">
        <f t="shared" si="3"/>
        <v>12B_One_Acc</v>
      </c>
      <c r="BL24" s="6"/>
      <c r="BM24" s="1" t="s">
        <v>215</v>
      </c>
      <c r="BN24" s="6" t="s">
        <v>236</v>
      </c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</row>
    <row r="25" ht="15.75" customHeight="1">
      <c r="A25" s="1" t="s">
        <v>119</v>
      </c>
      <c r="B25" s="17">
        <v>2.0</v>
      </c>
      <c r="C25" s="9" t="s">
        <v>85</v>
      </c>
      <c r="D25" s="9" t="s">
        <v>85</v>
      </c>
      <c r="E25" s="9">
        <v>0.796748</v>
      </c>
      <c r="F25" s="9" t="s">
        <v>85</v>
      </c>
      <c r="G25" s="9" t="s">
        <v>85</v>
      </c>
      <c r="H25" s="9">
        <v>0.497096</v>
      </c>
      <c r="I25" s="9" t="s">
        <v>85</v>
      </c>
      <c r="J25" s="9" t="s">
        <v>85</v>
      </c>
      <c r="K25" s="9">
        <v>0.885017</v>
      </c>
      <c r="L25" s="9" t="s">
        <v>85</v>
      </c>
      <c r="M25" s="9" t="s">
        <v>85</v>
      </c>
      <c r="N25" s="9">
        <v>0.912892</v>
      </c>
      <c r="O25" s="9" t="s">
        <v>85</v>
      </c>
      <c r="P25" s="9" t="s">
        <v>85</v>
      </c>
      <c r="Q25" s="9">
        <v>0.789779</v>
      </c>
      <c r="R25" s="9" t="s">
        <v>85</v>
      </c>
      <c r="S25" s="9" t="s">
        <v>85</v>
      </c>
      <c r="T25" s="9">
        <v>0.81417</v>
      </c>
      <c r="U25" s="9" t="s">
        <v>85</v>
      </c>
      <c r="V25" s="9" t="s">
        <v>85</v>
      </c>
      <c r="W25" s="9">
        <v>0.872242</v>
      </c>
      <c r="X25" s="9" t="s">
        <v>85</v>
      </c>
      <c r="Y25" s="9" t="s">
        <v>85</v>
      </c>
      <c r="Z25" s="9">
        <v>0.875726</v>
      </c>
      <c r="AA25" s="10" t="s">
        <v>85</v>
      </c>
      <c r="AB25" s="10" t="s">
        <v>85</v>
      </c>
      <c r="AC25" s="9">
        <v>0.851336</v>
      </c>
      <c r="AD25" s="9" t="s">
        <v>85</v>
      </c>
      <c r="AE25" s="9" t="s">
        <v>85</v>
      </c>
      <c r="AF25" s="9">
        <v>0.84669</v>
      </c>
      <c r="AG25" s="9" t="s">
        <v>85</v>
      </c>
      <c r="AH25" s="9" t="s">
        <v>85</v>
      </c>
      <c r="AI25" s="9">
        <v>0.836237</v>
      </c>
      <c r="AJ25" s="9" t="s">
        <v>85</v>
      </c>
      <c r="AK25" s="9" t="s">
        <v>85</v>
      </c>
      <c r="AL25" s="9">
        <v>0.801394</v>
      </c>
      <c r="AM25" s="9" t="s">
        <v>85</v>
      </c>
      <c r="AN25" s="9" t="s">
        <v>85</v>
      </c>
      <c r="AO25" s="9">
        <v>0.826945</v>
      </c>
      <c r="AP25" s="9" t="s">
        <v>85</v>
      </c>
      <c r="AQ25" s="9" t="s">
        <v>85</v>
      </c>
      <c r="AR25" s="9">
        <v>0.811847</v>
      </c>
      <c r="AS25" s="9" t="s">
        <v>85</v>
      </c>
      <c r="AT25" s="9" t="s">
        <v>85</v>
      </c>
      <c r="AU25" s="9">
        <v>0.831591</v>
      </c>
      <c r="AV25" s="9" t="s">
        <v>85</v>
      </c>
      <c r="AW25" s="9" t="s">
        <v>85</v>
      </c>
      <c r="AX25" s="9">
        <v>0.824623</v>
      </c>
      <c r="AY25" s="9" t="s">
        <v>85</v>
      </c>
      <c r="AZ25" s="9" t="s">
        <v>85</v>
      </c>
      <c r="BA25" s="9">
        <v>0.8223</v>
      </c>
      <c r="BB25" s="10" t="s">
        <v>85</v>
      </c>
      <c r="BC25" s="10" t="s">
        <v>85</v>
      </c>
      <c r="BD25" s="9">
        <v>0.658537</v>
      </c>
      <c r="BE25" s="9" t="s">
        <v>85</v>
      </c>
      <c r="BF25" s="9" t="s">
        <v>85</v>
      </c>
      <c r="BG25" s="9">
        <v>0.816492</v>
      </c>
      <c r="BH25" s="6"/>
      <c r="BI25" s="6" t="str">
        <f t="shared" si="1"/>
        <v>5VB_One_Acc</v>
      </c>
      <c r="BJ25" s="6" t="str">
        <f t="shared" si="2"/>
        <v>5V_One_Acc</v>
      </c>
      <c r="BK25" s="6" t="str">
        <f t="shared" si="3"/>
        <v>8VB_One_Acc</v>
      </c>
      <c r="BL25" s="6"/>
      <c r="BN25" s="20" t="s">
        <v>243</v>
      </c>
      <c r="BO25" s="20" t="s">
        <v>244</v>
      </c>
      <c r="BP25" s="20" t="s">
        <v>245</v>
      </c>
      <c r="BQ25" s="20" t="s">
        <v>246</v>
      </c>
      <c r="BR25" s="20" t="s">
        <v>247</v>
      </c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</row>
    <row r="26" ht="15.75" customHeight="1">
      <c r="A26" s="1" t="s">
        <v>120</v>
      </c>
      <c r="B26" s="17">
        <v>7.0</v>
      </c>
      <c r="C26" s="9" t="s">
        <v>85</v>
      </c>
      <c r="D26" s="9" t="s">
        <v>85</v>
      </c>
      <c r="E26" s="9">
        <v>0.632343</v>
      </c>
      <c r="F26" s="9" t="s">
        <v>85</v>
      </c>
      <c r="G26" s="9" t="s">
        <v>85</v>
      </c>
      <c r="H26" s="9">
        <v>0.242381</v>
      </c>
      <c r="I26" s="9" t="s">
        <v>85</v>
      </c>
      <c r="J26" s="9" t="s">
        <v>85</v>
      </c>
      <c r="K26" s="9">
        <v>0.607574</v>
      </c>
      <c r="L26" s="9" t="s">
        <v>85</v>
      </c>
      <c r="M26" s="9" t="s">
        <v>85</v>
      </c>
      <c r="N26" s="9">
        <v>0.650499</v>
      </c>
      <c r="O26" s="9" t="s">
        <v>85</v>
      </c>
      <c r="P26" s="9" t="s">
        <v>85</v>
      </c>
      <c r="Q26" s="9">
        <v>0.677474</v>
      </c>
      <c r="R26" s="9" t="s">
        <v>85</v>
      </c>
      <c r="S26" s="9" t="s">
        <v>85</v>
      </c>
      <c r="T26" s="9">
        <v>0.670341</v>
      </c>
      <c r="U26" s="9" t="s">
        <v>85</v>
      </c>
      <c r="V26" s="9" t="s">
        <v>85</v>
      </c>
      <c r="W26" s="9">
        <v>0.643237</v>
      </c>
      <c r="X26" s="9" t="s">
        <v>85</v>
      </c>
      <c r="Y26" s="9" t="s">
        <v>85</v>
      </c>
      <c r="Z26" s="9">
        <v>0.606017</v>
      </c>
      <c r="AA26" s="10" t="s">
        <v>85</v>
      </c>
      <c r="AB26" s="10" t="s">
        <v>85</v>
      </c>
      <c r="AC26" s="9">
        <v>0.627415</v>
      </c>
      <c r="AD26" s="9" t="s">
        <v>85</v>
      </c>
      <c r="AE26" s="9" t="s">
        <v>85</v>
      </c>
      <c r="AF26" s="9">
        <v>0.66671</v>
      </c>
      <c r="AG26" s="9" t="s">
        <v>85</v>
      </c>
      <c r="AH26" s="9" t="s">
        <v>85</v>
      </c>
      <c r="AI26" s="9">
        <v>0.652445</v>
      </c>
      <c r="AJ26" s="9" t="s">
        <v>85</v>
      </c>
      <c r="AK26" s="9" t="s">
        <v>85</v>
      </c>
      <c r="AL26" s="9">
        <v>0.634937</v>
      </c>
      <c r="AM26" s="9" t="s">
        <v>85</v>
      </c>
      <c r="AN26" s="9" t="s">
        <v>85</v>
      </c>
      <c r="AO26" s="9">
        <v>0.67488</v>
      </c>
      <c r="AP26" s="9" t="s">
        <v>85</v>
      </c>
      <c r="AQ26" s="9" t="s">
        <v>85</v>
      </c>
      <c r="AR26" s="9">
        <v>0.638568</v>
      </c>
      <c r="AS26" s="9" t="s">
        <v>85</v>
      </c>
      <c r="AT26" s="9" t="s">
        <v>85</v>
      </c>
      <c r="AU26" s="9">
        <v>0.626248</v>
      </c>
      <c r="AV26" s="9" t="s">
        <v>85</v>
      </c>
      <c r="AW26" s="9" t="s">
        <v>85</v>
      </c>
      <c r="AX26" s="9">
        <v>0.658151</v>
      </c>
      <c r="AY26" s="9" t="s">
        <v>85</v>
      </c>
      <c r="AZ26" s="9" t="s">
        <v>85</v>
      </c>
      <c r="BA26" s="9">
        <v>0.609519</v>
      </c>
      <c r="BB26" s="10" t="s">
        <v>85</v>
      </c>
      <c r="BC26" s="10" t="s">
        <v>85</v>
      </c>
      <c r="BD26" s="9">
        <v>0.600571</v>
      </c>
      <c r="BE26" s="9" t="s">
        <v>85</v>
      </c>
      <c r="BF26" s="9" t="s">
        <v>85</v>
      </c>
      <c r="BG26" s="9">
        <v>0.610686</v>
      </c>
      <c r="BH26" s="6"/>
      <c r="BI26" s="6" t="str">
        <f t="shared" si="1"/>
        <v>8B_One_Acc</v>
      </c>
      <c r="BJ26" s="6" t="str">
        <f t="shared" si="2"/>
        <v>12B_One_Acc</v>
      </c>
      <c r="BK26" s="6" t="str">
        <f t="shared" si="3"/>
        <v>8BN_One_Acc</v>
      </c>
      <c r="BL26" s="6"/>
      <c r="BM26" s="6"/>
      <c r="BN26" s="6">
        <f>COUNTIF(B3:B118,"&lt;=2")</f>
        <v>38</v>
      </c>
      <c r="BO26" s="6">
        <f>COUNTIFS(B3:B118,"&gt;=3",B3:B118,"&lt;=5")</f>
        <v>32</v>
      </c>
      <c r="BP26" s="6">
        <f>COUNTIFS(B3:B118,"&gt;5",B3:B118,"&lt;=10")</f>
        <v>16</v>
      </c>
      <c r="BQ26" s="6">
        <f>COUNTIFS(B3:B118,"&gt;10",B3:B118,"&lt;30")</f>
        <v>5</v>
      </c>
      <c r="BR26" s="6">
        <f>COUNTIFS(B3:B118,"&gt;=30")</f>
        <v>7</v>
      </c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</row>
    <row r="27" ht="15.75" customHeight="1">
      <c r="A27" s="1" t="s">
        <v>121</v>
      </c>
      <c r="B27" s="17">
        <v>4.0</v>
      </c>
      <c r="C27" s="9" t="s">
        <v>85</v>
      </c>
      <c r="D27" s="9" t="s">
        <v>85</v>
      </c>
      <c r="E27" s="9">
        <v>0.248</v>
      </c>
      <c r="F27" s="9" t="s">
        <v>85</v>
      </c>
      <c r="G27" s="9" t="s">
        <v>85</v>
      </c>
      <c r="H27" s="9">
        <v>0.252</v>
      </c>
      <c r="I27" s="9" t="s">
        <v>85</v>
      </c>
      <c r="J27" s="9" t="s">
        <v>85</v>
      </c>
      <c r="K27" s="9">
        <v>0.248</v>
      </c>
      <c r="L27" s="9" t="s">
        <v>85</v>
      </c>
      <c r="M27" s="9" t="s">
        <v>85</v>
      </c>
      <c r="N27" s="9">
        <v>0.276</v>
      </c>
      <c r="O27" s="9" t="s">
        <v>85</v>
      </c>
      <c r="P27" s="9" t="s">
        <v>85</v>
      </c>
      <c r="Q27" s="9">
        <v>0.252</v>
      </c>
      <c r="R27" s="9" t="s">
        <v>85</v>
      </c>
      <c r="S27" s="9" t="s">
        <v>85</v>
      </c>
      <c r="T27" s="9">
        <v>0.248</v>
      </c>
      <c r="U27" s="9" t="s">
        <v>85</v>
      </c>
      <c r="V27" s="9" t="s">
        <v>85</v>
      </c>
      <c r="W27" s="9">
        <v>0.248</v>
      </c>
      <c r="X27" s="9" t="s">
        <v>85</v>
      </c>
      <c r="Y27" s="9" t="s">
        <v>85</v>
      </c>
      <c r="Z27" s="9">
        <v>0.248</v>
      </c>
      <c r="AA27" s="10" t="s">
        <v>85</v>
      </c>
      <c r="AB27" s="10" t="s">
        <v>85</v>
      </c>
      <c r="AC27" s="9">
        <v>0.248</v>
      </c>
      <c r="AD27" s="9" t="s">
        <v>85</v>
      </c>
      <c r="AE27" s="9" t="s">
        <v>85</v>
      </c>
      <c r="AF27" s="9">
        <v>0.252</v>
      </c>
      <c r="AG27" s="9" t="s">
        <v>85</v>
      </c>
      <c r="AH27" s="9" t="s">
        <v>85</v>
      </c>
      <c r="AI27" s="9">
        <v>0.38</v>
      </c>
      <c r="AJ27" s="9" t="s">
        <v>85</v>
      </c>
      <c r="AK27" s="9" t="s">
        <v>85</v>
      </c>
      <c r="AL27" s="9">
        <v>0.402</v>
      </c>
      <c r="AM27" s="9" t="s">
        <v>85</v>
      </c>
      <c r="AN27" s="9" t="s">
        <v>85</v>
      </c>
      <c r="AO27" s="9">
        <v>0.258</v>
      </c>
      <c r="AP27" s="9" t="s">
        <v>85</v>
      </c>
      <c r="AQ27" s="9" t="s">
        <v>85</v>
      </c>
      <c r="AR27" s="9">
        <v>0.286</v>
      </c>
      <c r="AS27" s="9" t="s">
        <v>85</v>
      </c>
      <c r="AT27" s="9" t="s">
        <v>85</v>
      </c>
      <c r="AU27" s="9">
        <v>0.288</v>
      </c>
      <c r="AV27" s="9" t="s">
        <v>85</v>
      </c>
      <c r="AW27" s="9" t="s">
        <v>85</v>
      </c>
      <c r="AX27" s="9">
        <v>0.248</v>
      </c>
      <c r="AY27" s="9" t="s">
        <v>85</v>
      </c>
      <c r="AZ27" s="9" t="s">
        <v>85</v>
      </c>
      <c r="BA27" s="9">
        <v>0.278</v>
      </c>
      <c r="BB27" s="10" t="s">
        <v>85</v>
      </c>
      <c r="BC27" s="10" t="s">
        <v>85</v>
      </c>
      <c r="BD27" s="9">
        <v>0.252</v>
      </c>
      <c r="BE27" s="9" t="s">
        <v>85</v>
      </c>
      <c r="BF27" s="9" t="s">
        <v>85</v>
      </c>
      <c r="BG27" s="9">
        <v>0.272</v>
      </c>
      <c r="BH27" s="6"/>
      <c r="BI27" s="6" t="str">
        <f t="shared" si="1"/>
        <v>10VB_One_Acc</v>
      </c>
      <c r="BJ27" s="6" t="str">
        <f t="shared" si="2"/>
        <v>10V_One_Acc</v>
      </c>
      <c r="BK27" s="6" t="str">
        <f t="shared" si="3"/>
        <v>12V_One_Acc</v>
      </c>
      <c r="BL27" s="6"/>
      <c r="BM27" s="6" t="s">
        <v>226</v>
      </c>
      <c r="BN27" s="18">
        <f t="shared" ref="BN27:BR27" si="13">MINUS(BN26,SUM(BN28,BN29))</f>
        <v>17</v>
      </c>
      <c r="BO27" s="18">
        <f t="shared" si="13"/>
        <v>14</v>
      </c>
      <c r="BP27" s="18">
        <f t="shared" si="13"/>
        <v>10</v>
      </c>
      <c r="BQ27" s="18">
        <f t="shared" si="13"/>
        <v>2</v>
      </c>
      <c r="BR27" s="18">
        <f t="shared" si="13"/>
        <v>3</v>
      </c>
      <c r="BS27" s="6">
        <f t="shared" ref="BS27:BS29" si="14">SUM(BN27:BR27)</f>
        <v>46</v>
      </c>
      <c r="BT27" s="6"/>
      <c r="BU27" s="6"/>
      <c r="BV27" s="6"/>
      <c r="BW27" s="6"/>
      <c r="BX27" s="6"/>
      <c r="BY27" s="6"/>
      <c r="BZ27" s="6"/>
      <c r="CA27" s="6"/>
      <c r="CB27" s="6"/>
      <c r="CC27" s="6"/>
    </row>
    <row r="28" ht="15.75" customHeight="1">
      <c r="A28" s="1" t="s">
        <v>122</v>
      </c>
      <c r="B28" s="17">
        <v>14.0</v>
      </c>
      <c r="C28" s="9" t="s">
        <v>85</v>
      </c>
      <c r="D28" s="9" t="s">
        <v>85</v>
      </c>
      <c r="E28" s="9">
        <v>0.466864</v>
      </c>
      <c r="F28" s="9" t="s">
        <v>85</v>
      </c>
      <c r="G28" s="9" t="s">
        <v>85</v>
      </c>
      <c r="H28" s="9">
        <v>0.064497</v>
      </c>
      <c r="I28" s="9" t="s">
        <v>85</v>
      </c>
      <c r="J28" s="9" t="s">
        <v>85</v>
      </c>
      <c r="K28" s="9">
        <v>0.602959</v>
      </c>
      <c r="L28" s="9" t="s">
        <v>85</v>
      </c>
      <c r="M28" s="9" t="s">
        <v>85</v>
      </c>
      <c r="N28" s="9">
        <v>0.624852</v>
      </c>
      <c r="O28" s="9" t="s">
        <v>85</v>
      </c>
      <c r="P28" s="9" t="s">
        <v>85</v>
      </c>
      <c r="Q28" s="9">
        <v>0.632544</v>
      </c>
      <c r="R28" s="9" t="s">
        <v>85</v>
      </c>
      <c r="S28" s="9" t="s">
        <v>85</v>
      </c>
      <c r="T28" s="9">
        <v>0.63787</v>
      </c>
      <c r="U28" s="9" t="s">
        <v>85</v>
      </c>
      <c r="V28" s="9" t="s">
        <v>85</v>
      </c>
      <c r="W28" s="9">
        <v>0.704142</v>
      </c>
      <c r="X28" s="9" t="s">
        <v>85</v>
      </c>
      <c r="Y28" s="9" t="s">
        <v>85</v>
      </c>
      <c r="Z28" s="9">
        <v>0.516568</v>
      </c>
      <c r="AA28" s="10" t="s">
        <v>85</v>
      </c>
      <c r="AB28" s="10" t="s">
        <v>85</v>
      </c>
      <c r="AC28" s="9">
        <v>0.552663</v>
      </c>
      <c r="AD28" s="9" t="s">
        <v>85</v>
      </c>
      <c r="AE28" s="9" t="s">
        <v>85</v>
      </c>
      <c r="AF28" s="9">
        <v>0.676331</v>
      </c>
      <c r="AG28" s="9" t="s">
        <v>85</v>
      </c>
      <c r="AH28" s="9" t="s">
        <v>85</v>
      </c>
      <c r="AI28" s="9">
        <v>0.436686</v>
      </c>
      <c r="AJ28" s="9" t="s">
        <v>85</v>
      </c>
      <c r="AK28" s="9" t="s">
        <v>85</v>
      </c>
      <c r="AL28" s="9">
        <v>0.671006</v>
      </c>
      <c r="AM28" s="9" t="s">
        <v>85</v>
      </c>
      <c r="AN28" s="9" t="s">
        <v>85</v>
      </c>
      <c r="AO28" s="9">
        <v>0.36213</v>
      </c>
      <c r="AP28" s="9" t="s">
        <v>85</v>
      </c>
      <c r="AQ28" s="9" t="s">
        <v>85</v>
      </c>
      <c r="AR28" s="9">
        <v>0.613018</v>
      </c>
      <c r="AS28" s="9" t="s">
        <v>85</v>
      </c>
      <c r="AT28" s="9" t="s">
        <v>85</v>
      </c>
      <c r="AU28" s="9">
        <v>0.646746</v>
      </c>
      <c r="AV28" s="9" t="s">
        <v>85</v>
      </c>
      <c r="AW28" s="9" t="s">
        <v>85</v>
      </c>
      <c r="AX28" s="9">
        <v>0.539645</v>
      </c>
      <c r="AY28" s="9" t="s">
        <v>85</v>
      </c>
      <c r="AZ28" s="9" t="s">
        <v>85</v>
      </c>
      <c r="BA28" s="9">
        <v>0.605325</v>
      </c>
      <c r="BB28" s="10" t="s">
        <v>85</v>
      </c>
      <c r="BC28" s="10" t="s">
        <v>85</v>
      </c>
      <c r="BD28" s="9">
        <v>0.390533</v>
      </c>
      <c r="BE28" s="9" t="s">
        <v>85</v>
      </c>
      <c r="BF28" s="9" t="s">
        <v>85</v>
      </c>
      <c r="BG28" s="9">
        <v>0.13787</v>
      </c>
      <c r="BH28" s="6"/>
      <c r="BI28" s="6" t="str">
        <f t="shared" si="1"/>
        <v>8V_One_Acc</v>
      </c>
      <c r="BJ28" s="6" t="str">
        <f t="shared" si="2"/>
        <v>10BN_One_Acc</v>
      </c>
      <c r="BK28" s="6" t="str">
        <f t="shared" si="3"/>
        <v>10VB_One_Acc</v>
      </c>
      <c r="BL28" s="6"/>
      <c r="BM28" s="6" t="s">
        <v>227</v>
      </c>
      <c r="BN28" s="18">
        <f>COUNTIFS(BK3:BK118,"*V*",B3:B118,"&lt;=2")</f>
        <v>21</v>
      </c>
      <c r="BO28" s="19">
        <f>COUNTIFS(BK3:BK118,"*V*",B3:B118,"&gt;=3",B3:B118,"&lt;=5")</f>
        <v>18</v>
      </c>
      <c r="BP28" s="18">
        <f>COUNTIFS(BK3:BK118,"*V*",B3:B118,"&gt;5",B3:B118,"&lt;=10")</f>
        <v>6</v>
      </c>
      <c r="BQ28" s="18">
        <f>COUNTIFS(BK3:BK118,"*V*",B3:B118,"&gt;10",B3:B118,"&lt;30")</f>
        <v>3</v>
      </c>
      <c r="BR28" s="18">
        <f>COUNTIFS(BK3:BK118,"*V*",B3:B118,"&gt;=30")</f>
        <v>4</v>
      </c>
      <c r="BS28" s="6">
        <f t="shared" si="14"/>
        <v>52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</row>
    <row r="29" ht="15.75" customHeight="1">
      <c r="A29" s="1" t="s">
        <v>123</v>
      </c>
      <c r="B29" s="17">
        <v>4.0</v>
      </c>
      <c r="C29" s="9" t="s">
        <v>85</v>
      </c>
      <c r="D29" s="9" t="s">
        <v>85</v>
      </c>
      <c r="E29" s="9">
        <v>0.465909</v>
      </c>
      <c r="F29" s="9" t="s">
        <v>85</v>
      </c>
      <c r="G29" s="9" t="s">
        <v>85</v>
      </c>
      <c r="H29" s="9">
        <v>0.159091</v>
      </c>
      <c r="I29" s="9" t="s">
        <v>85</v>
      </c>
      <c r="J29" s="9" t="s">
        <v>85</v>
      </c>
      <c r="K29" s="9">
        <v>0.647727</v>
      </c>
      <c r="L29" s="9" t="s">
        <v>85</v>
      </c>
      <c r="M29" s="9" t="s">
        <v>85</v>
      </c>
      <c r="N29" s="9">
        <v>0.738636</v>
      </c>
      <c r="O29" s="9" t="s">
        <v>85</v>
      </c>
      <c r="P29" s="9" t="s">
        <v>85</v>
      </c>
      <c r="Q29" s="9">
        <v>0.613636</v>
      </c>
      <c r="R29" s="9" t="s">
        <v>85</v>
      </c>
      <c r="S29" s="9" t="s">
        <v>85</v>
      </c>
      <c r="T29" s="9">
        <v>0.556818</v>
      </c>
      <c r="U29" s="9" t="s">
        <v>85</v>
      </c>
      <c r="V29" s="9" t="s">
        <v>85</v>
      </c>
      <c r="W29" s="9">
        <v>0.579545</v>
      </c>
      <c r="X29" s="9" t="s">
        <v>85</v>
      </c>
      <c r="Y29" s="9" t="s">
        <v>85</v>
      </c>
      <c r="Z29" s="9">
        <v>0.784091</v>
      </c>
      <c r="AA29" s="10" t="s">
        <v>85</v>
      </c>
      <c r="AB29" s="10" t="s">
        <v>85</v>
      </c>
      <c r="AC29" s="9">
        <v>0.545455</v>
      </c>
      <c r="AD29" s="9" t="s">
        <v>85</v>
      </c>
      <c r="AE29" s="9" t="s">
        <v>85</v>
      </c>
      <c r="AF29" s="9">
        <v>0.5</v>
      </c>
      <c r="AG29" s="9" t="s">
        <v>85</v>
      </c>
      <c r="AH29" s="9" t="s">
        <v>85</v>
      </c>
      <c r="AI29" s="9">
        <v>0.75</v>
      </c>
      <c r="AJ29" s="9" t="s">
        <v>85</v>
      </c>
      <c r="AK29" s="9" t="s">
        <v>85</v>
      </c>
      <c r="AL29" s="9">
        <v>0.693182</v>
      </c>
      <c r="AM29" s="9" t="s">
        <v>85</v>
      </c>
      <c r="AN29" s="9" t="s">
        <v>85</v>
      </c>
      <c r="AO29" s="9">
        <v>0.715909</v>
      </c>
      <c r="AP29" s="9" t="s">
        <v>85</v>
      </c>
      <c r="AQ29" s="9" t="s">
        <v>85</v>
      </c>
      <c r="AR29" s="9">
        <v>0.681818</v>
      </c>
      <c r="AS29" s="9" t="s">
        <v>85</v>
      </c>
      <c r="AT29" s="9" t="s">
        <v>85</v>
      </c>
      <c r="AU29" s="9">
        <v>0.659091</v>
      </c>
      <c r="AV29" s="9" t="s">
        <v>85</v>
      </c>
      <c r="AW29" s="9" t="s">
        <v>85</v>
      </c>
      <c r="AX29" s="9">
        <v>0.818182</v>
      </c>
      <c r="AY29" s="9" t="s">
        <v>85</v>
      </c>
      <c r="AZ29" s="9" t="s">
        <v>85</v>
      </c>
      <c r="BA29" s="9">
        <v>0.704545</v>
      </c>
      <c r="BB29" s="10" t="s">
        <v>85</v>
      </c>
      <c r="BC29" s="10" t="s">
        <v>85</v>
      </c>
      <c r="BD29" s="9">
        <v>0.840909</v>
      </c>
      <c r="BE29" s="9" t="s">
        <v>85</v>
      </c>
      <c r="BF29" s="9" t="s">
        <v>85</v>
      </c>
      <c r="BG29" s="9">
        <v>0.590909</v>
      </c>
      <c r="BH29" s="6"/>
      <c r="BI29" s="6" t="str">
        <f t="shared" si="1"/>
        <v>20V_One_Acc</v>
      </c>
      <c r="BJ29" s="6" t="str">
        <f t="shared" si="2"/>
        <v>12VB_One_Acc</v>
      </c>
      <c r="BK29" s="6" t="str">
        <f t="shared" si="3"/>
        <v>8VB_One_Acc</v>
      </c>
      <c r="BL29" s="6"/>
      <c r="BM29" s="6" t="s">
        <v>20</v>
      </c>
      <c r="BN29" s="18">
        <f>COUNTIFS(BK3:BK118,"*De*",B3:B118,"&lt;=2")</f>
        <v>0</v>
      </c>
      <c r="BO29" s="19">
        <f>COUNTIFS(BK3:BK118,"*De*",B3:B118,"&gt;=3",B3:B118,"&lt;=5")</f>
        <v>0</v>
      </c>
      <c r="BP29" s="18">
        <f>COUNTIFS(BK3:BK118,"*De*",B3:B118,"&gt;5",B3:B118,"&lt;=10")</f>
        <v>0</v>
      </c>
      <c r="BQ29" s="18">
        <f>COUNTIFS(BK3:BK118,"*De*",B3:B118,"&gt;10",B3:B118,"&lt;30")</f>
        <v>0</v>
      </c>
      <c r="BR29" s="18">
        <f>COUNTIFS(BK3:BK118,"*De*",B3:B118,"&gt;=30")</f>
        <v>0</v>
      </c>
      <c r="BS29" s="6">
        <f t="shared" si="14"/>
        <v>0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</row>
    <row r="30" ht="15.75" customHeight="1">
      <c r="A30" s="1" t="s">
        <v>124</v>
      </c>
      <c r="B30" s="17">
        <v>14.0</v>
      </c>
      <c r="C30" s="9" t="s">
        <v>85</v>
      </c>
      <c r="D30" s="9" t="s">
        <v>85</v>
      </c>
      <c r="E30" s="9">
        <v>0.560976</v>
      </c>
      <c r="F30" s="9" t="s">
        <v>85</v>
      </c>
      <c r="G30" s="9" t="s">
        <v>85</v>
      </c>
      <c r="H30" s="9">
        <v>0.143415</v>
      </c>
      <c r="I30" s="9" t="s">
        <v>85</v>
      </c>
      <c r="J30" s="9" t="s">
        <v>85</v>
      </c>
      <c r="K30" s="9">
        <v>0.570732</v>
      </c>
      <c r="L30" s="9" t="s">
        <v>85</v>
      </c>
      <c r="M30" s="9" t="s">
        <v>85</v>
      </c>
      <c r="N30" s="9">
        <v>0.49122</v>
      </c>
      <c r="O30" s="9" t="s">
        <v>85</v>
      </c>
      <c r="P30" s="9" t="s">
        <v>85</v>
      </c>
      <c r="Q30" s="9">
        <v>0.630244</v>
      </c>
      <c r="R30" s="9" t="s">
        <v>85</v>
      </c>
      <c r="S30" s="9" t="s">
        <v>85</v>
      </c>
      <c r="T30" s="9">
        <v>0.638537</v>
      </c>
      <c r="U30" s="9" t="s">
        <v>85</v>
      </c>
      <c r="V30" s="9" t="s">
        <v>85</v>
      </c>
      <c r="W30" s="9">
        <v>0.686341</v>
      </c>
      <c r="X30" s="9" t="s">
        <v>85</v>
      </c>
      <c r="Y30" s="9" t="s">
        <v>85</v>
      </c>
      <c r="Z30" s="9">
        <v>0.574146</v>
      </c>
      <c r="AA30" s="10" t="s">
        <v>85</v>
      </c>
      <c r="AB30" s="10" t="s">
        <v>85</v>
      </c>
      <c r="AC30" s="9">
        <v>0.7</v>
      </c>
      <c r="AD30" s="9" t="s">
        <v>85</v>
      </c>
      <c r="AE30" s="9" t="s">
        <v>85</v>
      </c>
      <c r="AF30" s="9">
        <v>0.607805</v>
      </c>
      <c r="AG30" s="9" t="s">
        <v>85</v>
      </c>
      <c r="AH30" s="9" t="s">
        <v>85</v>
      </c>
      <c r="AI30" s="9">
        <v>0.690244</v>
      </c>
      <c r="AJ30" s="9" t="s">
        <v>85</v>
      </c>
      <c r="AK30" s="9" t="s">
        <v>85</v>
      </c>
      <c r="AL30" s="9">
        <v>0.415122</v>
      </c>
      <c r="AM30" s="9" t="s">
        <v>85</v>
      </c>
      <c r="AN30" s="9" t="s">
        <v>85</v>
      </c>
      <c r="AO30" s="9">
        <v>0.561951</v>
      </c>
      <c r="AP30" s="9" t="s">
        <v>85</v>
      </c>
      <c r="AQ30" s="9" t="s">
        <v>85</v>
      </c>
      <c r="AR30" s="9">
        <v>0.679024</v>
      </c>
      <c r="AS30" s="9" t="s">
        <v>85</v>
      </c>
      <c r="AT30" s="9" t="s">
        <v>85</v>
      </c>
      <c r="AU30" s="9">
        <v>0.601951</v>
      </c>
      <c r="AV30" s="9" t="s">
        <v>85</v>
      </c>
      <c r="AW30" s="9" t="s">
        <v>85</v>
      </c>
      <c r="AX30" s="9">
        <v>0.369756</v>
      </c>
      <c r="AY30" s="9" t="s">
        <v>85</v>
      </c>
      <c r="AZ30" s="9" t="s">
        <v>85</v>
      </c>
      <c r="BA30" s="9">
        <v>0.665366</v>
      </c>
      <c r="BB30" s="10" t="s">
        <v>85</v>
      </c>
      <c r="BC30" s="10" t="s">
        <v>85</v>
      </c>
      <c r="BD30" s="9">
        <v>0.570244</v>
      </c>
      <c r="BE30" s="9" t="s">
        <v>85</v>
      </c>
      <c r="BF30" s="9" t="s">
        <v>85</v>
      </c>
      <c r="BG30" s="9">
        <v>0.396098</v>
      </c>
      <c r="BH30" s="6"/>
      <c r="BI30" s="6" t="str">
        <f t="shared" si="1"/>
        <v>10B_One_Acc</v>
      </c>
      <c r="BJ30" s="6" t="str">
        <f t="shared" si="2"/>
        <v>10V_One_Acc</v>
      </c>
      <c r="BK30" s="6" t="str">
        <f t="shared" si="3"/>
        <v>8V_One_Acc</v>
      </c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</row>
    <row r="31" ht="15.75" customHeight="1">
      <c r="A31" s="1" t="s">
        <v>125</v>
      </c>
      <c r="B31" s="17">
        <v>50.0</v>
      </c>
      <c r="C31" s="9" t="s">
        <v>85</v>
      </c>
      <c r="D31" s="9" t="s">
        <v>85</v>
      </c>
      <c r="E31" s="9">
        <v>0.404396</v>
      </c>
      <c r="F31" s="9" t="s">
        <v>85</v>
      </c>
      <c r="G31" s="9" t="s">
        <v>85</v>
      </c>
      <c r="H31" s="9">
        <v>0.125275</v>
      </c>
      <c r="I31" s="9" t="s">
        <v>85</v>
      </c>
      <c r="J31" s="9" t="s">
        <v>85</v>
      </c>
      <c r="K31" s="9">
        <v>0.353846</v>
      </c>
      <c r="L31" s="9" t="s">
        <v>85</v>
      </c>
      <c r="M31" s="9" t="s">
        <v>85</v>
      </c>
      <c r="N31" s="9">
        <v>0.272527</v>
      </c>
      <c r="O31" s="9" t="s">
        <v>85</v>
      </c>
      <c r="P31" s="9" t="s">
        <v>85</v>
      </c>
      <c r="Q31" s="9">
        <v>0.492308</v>
      </c>
      <c r="R31" s="9" t="s">
        <v>85</v>
      </c>
      <c r="S31" s="9" t="s">
        <v>85</v>
      </c>
      <c r="T31" s="9">
        <v>0.505495</v>
      </c>
      <c r="U31" s="9" t="s">
        <v>85</v>
      </c>
      <c r="V31" s="9" t="s">
        <v>85</v>
      </c>
      <c r="W31" s="9">
        <v>0.254945</v>
      </c>
      <c r="X31" s="9" t="s">
        <v>85</v>
      </c>
      <c r="Y31" s="9" t="s">
        <v>85</v>
      </c>
      <c r="Z31" s="9">
        <v>0.340659</v>
      </c>
      <c r="AA31" s="10" t="s">
        <v>85</v>
      </c>
      <c r="AB31" s="10" t="s">
        <v>85</v>
      </c>
      <c r="AC31" s="9">
        <v>0.452747</v>
      </c>
      <c r="AD31" s="9" t="s">
        <v>85</v>
      </c>
      <c r="AE31" s="9" t="s">
        <v>85</v>
      </c>
      <c r="AF31" s="9">
        <v>0.540659</v>
      </c>
      <c r="AG31" s="9" t="s">
        <v>85</v>
      </c>
      <c r="AH31" s="9" t="s">
        <v>85</v>
      </c>
      <c r="AI31" s="9">
        <v>0.389011</v>
      </c>
      <c r="AJ31" s="9" t="s">
        <v>85</v>
      </c>
      <c r="AK31" s="9" t="s">
        <v>85</v>
      </c>
      <c r="AL31" s="9">
        <v>0.426374</v>
      </c>
      <c r="AM31" s="9" t="s">
        <v>85</v>
      </c>
      <c r="AN31" s="9" t="s">
        <v>85</v>
      </c>
      <c r="AO31" s="9">
        <v>0.492308</v>
      </c>
      <c r="AP31" s="9" t="s">
        <v>85</v>
      </c>
      <c r="AQ31" s="9" t="s">
        <v>85</v>
      </c>
      <c r="AR31" s="9">
        <v>0.432967</v>
      </c>
      <c r="AS31" s="9" t="s">
        <v>85</v>
      </c>
      <c r="AT31" s="9" t="s">
        <v>85</v>
      </c>
      <c r="AU31" s="9">
        <v>0.252747</v>
      </c>
      <c r="AV31" s="9" t="s">
        <v>85</v>
      </c>
      <c r="AW31" s="9" t="s">
        <v>85</v>
      </c>
      <c r="AX31" s="9">
        <v>0.364835</v>
      </c>
      <c r="AY31" s="9" t="s">
        <v>85</v>
      </c>
      <c r="AZ31" s="9" t="s">
        <v>85</v>
      </c>
      <c r="BA31" s="9">
        <v>0.356044</v>
      </c>
      <c r="BB31" s="10" t="s">
        <v>85</v>
      </c>
      <c r="BC31" s="10" t="s">
        <v>85</v>
      </c>
      <c r="BD31" s="9">
        <v>0.457143</v>
      </c>
      <c r="BE31" s="9" t="s">
        <v>85</v>
      </c>
      <c r="BF31" s="9" t="s">
        <v>85</v>
      </c>
      <c r="BG31" s="9">
        <v>0.465934</v>
      </c>
      <c r="BH31" s="6"/>
      <c r="BI31" s="6" t="str">
        <f t="shared" si="1"/>
        <v>10BN_One_Acc</v>
      </c>
      <c r="BJ31" s="6" t="str">
        <f t="shared" si="2"/>
        <v>8BN_One_Acc</v>
      </c>
      <c r="BK31" s="6" t="str">
        <f t="shared" si="3"/>
        <v>8B_One_Acc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</row>
    <row r="32" ht="15.75" customHeight="1">
      <c r="A32" s="1" t="s">
        <v>126</v>
      </c>
      <c r="B32" s="17">
        <v>7.0</v>
      </c>
      <c r="C32" s="9" t="s">
        <v>85</v>
      </c>
      <c r="D32" s="9" t="s">
        <v>85</v>
      </c>
      <c r="E32" s="9">
        <v>0.491429</v>
      </c>
      <c r="F32" s="9" t="s">
        <v>85</v>
      </c>
      <c r="G32" s="9" t="s">
        <v>85</v>
      </c>
      <c r="H32" s="9">
        <v>0.137143</v>
      </c>
      <c r="I32" s="9" t="s">
        <v>85</v>
      </c>
      <c r="J32" s="9" t="s">
        <v>85</v>
      </c>
      <c r="K32" s="9">
        <v>0.531429</v>
      </c>
      <c r="L32" s="9" t="s">
        <v>85</v>
      </c>
      <c r="M32" s="9" t="s">
        <v>85</v>
      </c>
      <c r="N32" s="9">
        <v>0.748571</v>
      </c>
      <c r="O32" s="9" t="s">
        <v>85</v>
      </c>
      <c r="P32" s="9" t="s">
        <v>85</v>
      </c>
      <c r="Q32" s="9">
        <v>0.668571</v>
      </c>
      <c r="R32" s="9" t="s">
        <v>85</v>
      </c>
      <c r="S32" s="9" t="s">
        <v>85</v>
      </c>
      <c r="T32" s="9">
        <v>0.622857</v>
      </c>
      <c r="U32" s="9" t="s">
        <v>85</v>
      </c>
      <c r="V32" s="9" t="s">
        <v>85</v>
      </c>
      <c r="W32" s="9">
        <v>0.594286</v>
      </c>
      <c r="X32" s="9" t="s">
        <v>85</v>
      </c>
      <c r="Y32" s="9" t="s">
        <v>85</v>
      </c>
      <c r="Z32" s="9">
        <v>0.52</v>
      </c>
      <c r="AA32" s="10" t="s">
        <v>85</v>
      </c>
      <c r="AB32" s="10" t="s">
        <v>85</v>
      </c>
      <c r="AC32" s="9">
        <v>0.611429</v>
      </c>
      <c r="AD32" s="9" t="s">
        <v>85</v>
      </c>
      <c r="AE32" s="9" t="s">
        <v>85</v>
      </c>
      <c r="AF32" s="9">
        <v>0.645714</v>
      </c>
      <c r="AG32" s="9" t="s">
        <v>85</v>
      </c>
      <c r="AH32" s="9" t="s">
        <v>85</v>
      </c>
      <c r="AI32" s="9">
        <v>0.634286</v>
      </c>
      <c r="AJ32" s="9" t="s">
        <v>85</v>
      </c>
      <c r="AK32" s="9" t="s">
        <v>85</v>
      </c>
      <c r="AL32" s="9">
        <v>0.508571</v>
      </c>
      <c r="AM32" s="9" t="s">
        <v>85</v>
      </c>
      <c r="AN32" s="9" t="s">
        <v>85</v>
      </c>
      <c r="AO32" s="9">
        <v>0.514286</v>
      </c>
      <c r="AP32" s="9" t="s">
        <v>85</v>
      </c>
      <c r="AQ32" s="9" t="s">
        <v>85</v>
      </c>
      <c r="AR32" s="9">
        <v>0.662857</v>
      </c>
      <c r="AS32" s="9" t="s">
        <v>85</v>
      </c>
      <c r="AT32" s="9" t="s">
        <v>85</v>
      </c>
      <c r="AU32" s="9">
        <v>0.525714</v>
      </c>
      <c r="AV32" s="9" t="s">
        <v>85</v>
      </c>
      <c r="AW32" s="9" t="s">
        <v>85</v>
      </c>
      <c r="AX32" s="9">
        <v>0.605714</v>
      </c>
      <c r="AY32" s="9" t="s">
        <v>85</v>
      </c>
      <c r="AZ32" s="9" t="s">
        <v>85</v>
      </c>
      <c r="BA32" s="9">
        <v>0.662857</v>
      </c>
      <c r="BB32" s="10" t="s">
        <v>85</v>
      </c>
      <c r="BC32" s="10" t="s">
        <v>85</v>
      </c>
      <c r="BD32" s="9">
        <v>0.731429</v>
      </c>
      <c r="BE32" s="9" t="s">
        <v>85</v>
      </c>
      <c r="BF32" s="9" t="s">
        <v>85</v>
      </c>
      <c r="BG32" s="9">
        <v>0.64</v>
      </c>
      <c r="BH32" s="6"/>
      <c r="BI32" s="6" t="str">
        <f t="shared" si="1"/>
        <v>5VB_One_Acc</v>
      </c>
      <c r="BJ32" s="6" t="str">
        <f t="shared" si="2"/>
        <v>20V_One_Acc</v>
      </c>
      <c r="BK32" s="6" t="str">
        <f t="shared" si="3"/>
        <v>8B_One_Acc</v>
      </c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</row>
    <row r="33" ht="15.75" customHeight="1">
      <c r="A33" s="1" t="s">
        <v>127</v>
      </c>
      <c r="B33" s="17">
        <v>2.0</v>
      </c>
      <c r="C33" s="9" t="s">
        <v>85</v>
      </c>
      <c r="D33" s="9" t="s">
        <v>85</v>
      </c>
      <c r="E33" s="9">
        <v>0.484091</v>
      </c>
      <c r="F33" s="9" t="s">
        <v>85</v>
      </c>
      <c r="G33" s="9" t="s">
        <v>85</v>
      </c>
      <c r="H33" s="9">
        <v>0.484091</v>
      </c>
      <c r="I33" s="9" t="s">
        <v>85</v>
      </c>
      <c r="J33" s="9" t="s">
        <v>85</v>
      </c>
      <c r="K33" s="9">
        <v>0.484091</v>
      </c>
      <c r="L33" s="9" t="s">
        <v>85</v>
      </c>
      <c r="M33" s="9" t="s">
        <v>85</v>
      </c>
      <c r="N33" s="9">
        <v>0.484091</v>
      </c>
      <c r="O33" s="9" t="s">
        <v>85</v>
      </c>
      <c r="P33" s="9" t="s">
        <v>85</v>
      </c>
      <c r="Q33" s="9">
        <v>0.484091</v>
      </c>
      <c r="R33" s="9" t="s">
        <v>85</v>
      </c>
      <c r="S33" s="9" t="s">
        <v>85</v>
      </c>
      <c r="T33" s="9">
        <v>0.484091</v>
      </c>
      <c r="U33" s="9" t="s">
        <v>85</v>
      </c>
      <c r="V33" s="9" t="s">
        <v>85</v>
      </c>
      <c r="W33" s="9">
        <v>0.484091</v>
      </c>
      <c r="X33" s="9" t="s">
        <v>85</v>
      </c>
      <c r="Y33" s="9" t="s">
        <v>85</v>
      </c>
      <c r="Z33" s="9">
        <v>0.484091</v>
      </c>
      <c r="AA33" s="10" t="s">
        <v>85</v>
      </c>
      <c r="AB33" s="10" t="s">
        <v>85</v>
      </c>
      <c r="AC33" s="9">
        <v>0.484091</v>
      </c>
      <c r="AD33" s="9" t="s">
        <v>85</v>
      </c>
      <c r="AE33" s="9" t="s">
        <v>85</v>
      </c>
      <c r="AF33" s="9">
        <v>0.484091</v>
      </c>
      <c r="AG33" s="9" t="s">
        <v>85</v>
      </c>
      <c r="AH33" s="9" t="s">
        <v>85</v>
      </c>
      <c r="AI33" s="9">
        <v>0.484091</v>
      </c>
      <c r="AJ33" s="9" t="s">
        <v>85</v>
      </c>
      <c r="AK33" s="9" t="s">
        <v>85</v>
      </c>
      <c r="AL33" s="9">
        <v>0.484091</v>
      </c>
      <c r="AM33" s="9" t="s">
        <v>85</v>
      </c>
      <c r="AN33" s="9" t="s">
        <v>85</v>
      </c>
      <c r="AO33" s="9">
        <v>0.484091</v>
      </c>
      <c r="AP33" s="9" t="s">
        <v>85</v>
      </c>
      <c r="AQ33" s="9" t="s">
        <v>85</v>
      </c>
      <c r="AR33" s="9">
        <v>0.484091</v>
      </c>
      <c r="AS33" s="9" t="s">
        <v>85</v>
      </c>
      <c r="AT33" s="9" t="s">
        <v>85</v>
      </c>
      <c r="AU33" s="9">
        <v>0.484091</v>
      </c>
      <c r="AV33" s="9" t="s">
        <v>85</v>
      </c>
      <c r="AW33" s="9" t="s">
        <v>85</v>
      </c>
      <c r="AX33" s="9">
        <v>0.484091</v>
      </c>
      <c r="AY33" s="9" t="s">
        <v>85</v>
      </c>
      <c r="AZ33" s="9" t="s">
        <v>85</v>
      </c>
      <c r="BA33" s="9">
        <v>0.484091</v>
      </c>
      <c r="BB33" s="10" t="s">
        <v>85</v>
      </c>
      <c r="BC33" s="10" t="s">
        <v>85</v>
      </c>
      <c r="BD33" s="9">
        <v>0.484091</v>
      </c>
      <c r="BE33" s="9" t="s">
        <v>85</v>
      </c>
      <c r="BF33" s="9" t="s">
        <v>85</v>
      </c>
      <c r="BG33" s="9">
        <v>0.484091</v>
      </c>
      <c r="BH33" s="6"/>
      <c r="BI33" s="6" t="str">
        <f t="shared" si="1"/>
        <v>5B_One_Acc</v>
      </c>
      <c r="BJ33" s="6" t="str">
        <f t="shared" si="2"/>
        <v>5B_One_Acc</v>
      </c>
      <c r="BK33" s="6" t="str">
        <f t="shared" si="3"/>
        <v>5B_One_Acc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</row>
    <row r="34" ht="15.75" customHeight="1">
      <c r="A34" s="14" t="s">
        <v>128</v>
      </c>
      <c r="B34" s="17">
        <v>2.0</v>
      </c>
      <c r="C34" s="9" t="s">
        <v>85</v>
      </c>
      <c r="D34" s="9" t="s">
        <v>85</v>
      </c>
      <c r="E34" s="9">
        <v>0.504938</v>
      </c>
      <c r="F34" s="9" t="s">
        <v>85</v>
      </c>
      <c r="G34" s="9" t="s">
        <v>85</v>
      </c>
      <c r="H34" s="9">
        <v>0.504938</v>
      </c>
      <c r="I34" s="9" t="s">
        <v>85</v>
      </c>
      <c r="J34" s="9" t="s">
        <v>85</v>
      </c>
      <c r="K34" s="9">
        <v>0.504938</v>
      </c>
      <c r="L34" s="9" t="s">
        <v>85</v>
      </c>
      <c r="M34" s="9" t="s">
        <v>85</v>
      </c>
      <c r="N34" s="9">
        <v>0.504938</v>
      </c>
      <c r="O34" s="9" t="s">
        <v>85</v>
      </c>
      <c r="P34" s="9" t="s">
        <v>85</v>
      </c>
      <c r="Q34" s="9">
        <v>0.504938</v>
      </c>
      <c r="R34" s="9" t="s">
        <v>85</v>
      </c>
      <c r="S34" s="9" t="s">
        <v>85</v>
      </c>
      <c r="T34" s="9">
        <v>0.504938</v>
      </c>
      <c r="U34" s="9" t="s">
        <v>85</v>
      </c>
      <c r="V34" s="9" t="s">
        <v>85</v>
      </c>
      <c r="W34" s="9">
        <v>0.504938</v>
      </c>
      <c r="X34" s="9" t="s">
        <v>85</v>
      </c>
      <c r="Y34" s="9" t="s">
        <v>85</v>
      </c>
      <c r="Z34" s="9">
        <v>0.504938</v>
      </c>
      <c r="AA34" s="10" t="s">
        <v>85</v>
      </c>
      <c r="AB34" s="10" t="s">
        <v>85</v>
      </c>
      <c r="AC34" s="9">
        <v>0.504938</v>
      </c>
      <c r="AD34" s="9" t="s">
        <v>85</v>
      </c>
      <c r="AE34" s="9" t="s">
        <v>85</v>
      </c>
      <c r="AF34" s="9">
        <v>0.504938</v>
      </c>
      <c r="AG34" s="9" t="s">
        <v>85</v>
      </c>
      <c r="AH34" s="9" t="s">
        <v>85</v>
      </c>
      <c r="AI34" s="9">
        <v>0.504938</v>
      </c>
      <c r="AJ34" s="9" t="s">
        <v>85</v>
      </c>
      <c r="AK34" s="9" t="s">
        <v>85</v>
      </c>
      <c r="AL34" s="9">
        <v>0.504938</v>
      </c>
      <c r="AM34" s="9" t="s">
        <v>85</v>
      </c>
      <c r="AN34" s="9" t="s">
        <v>85</v>
      </c>
      <c r="AO34" s="9">
        <v>0.504938</v>
      </c>
      <c r="AP34" s="9" t="s">
        <v>85</v>
      </c>
      <c r="AQ34" s="9" t="s">
        <v>85</v>
      </c>
      <c r="AR34" s="9">
        <v>0.504938</v>
      </c>
      <c r="AS34" s="9" t="s">
        <v>85</v>
      </c>
      <c r="AT34" s="9" t="s">
        <v>85</v>
      </c>
      <c r="AU34" s="9">
        <v>0.504938</v>
      </c>
      <c r="AV34" s="9" t="s">
        <v>85</v>
      </c>
      <c r="AW34" s="9" t="s">
        <v>85</v>
      </c>
      <c r="AX34" s="9">
        <v>0.504938</v>
      </c>
      <c r="AY34" s="9" t="s">
        <v>85</v>
      </c>
      <c r="AZ34" s="9" t="s">
        <v>85</v>
      </c>
      <c r="BA34" s="9">
        <v>0.504938</v>
      </c>
      <c r="BB34" s="10" t="s">
        <v>85</v>
      </c>
      <c r="BC34" s="10" t="s">
        <v>85</v>
      </c>
      <c r="BD34" s="9">
        <v>0.504938</v>
      </c>
      <c r="BE34" s="9" t="s">
        <v>85</v>
      </c>
      <c r="BF34" s="9" t="s">
        <v>85</v>
      </c>
      <c r="BG34" s="9">
        <v>0.504938</v>
      </c>
      <c r="BH34" s="6"/>
      <c r="BI34" s="6" t="str">
        <f t="shared" si="1"/>
        <v>5B_One_Acc</v>
      </c>
      <c r="BJ34" s="6" t="str">
        <f t="shared" si="2"/>
        <v>5B_One_Acc</v>
      </c>
      <c r="BK34" s="6" t="str">
        <f t="shared" si="3"/>
        <v>5B_One_Acc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</row>
    <row r="35" ht="15.75" customHeight="1">
      <c r="A35" s="1" t="s">
        <v>129</v>
      </c>
      <c r="B35" s="17">
        <v>2.0</v>
      </c>
      <c r="C35" s="9" t="s">
        <v>85</v>
      </c>
      <c r="D35" s="9" t="s">
        <v>85</v>
      </c>
      <c r="E35" s="9">
        <v>0.968421</v>
      </c>
      <c r="F35" s="9" t="s">
        <v>85</v>
      </c>
      <c r="G35" s="9" t="s">
        <v>85</v>
      </c>
      <c r="H35" s="9">
        <v>0.5</v>
      </c>
      <c r="I35" s="9" t="s">
        <v>85</v>
      </c>
      <c r="J35" s="9" t="s">
        <v>85</v>
      </c>
      <c r="K35" s="9">
        <v>0.947719</v>
      </c>
      <c r="L35" s="9" t="s">
        <v>85</v>
      </c>
      <c r="M35" s="9" t="s">
        <v>85</v>
      </c>
      <c r="N35" s="9">
        <v>0.95193</v>
      </c>
      <c r="O35" s="9" t="s">
        <v>85</v>
      </c>
      <c r="P35" s="9" t="s">
        <v>85</v>
      </c>
      <c r="Q35" s="9">
        <v>0.969825</v>
      </c>
      <c r="R35" s="9" t="s">
        <v>85</v>
      </c>
      <c r="S35" s="9" t="s">
        <v>85</v>
      </c>
      <c r="T35" s="9">
        <v>0.971579</v>
      </c>
      <c r="U35" s="9" t="s">
        <v>85</v>
      </c>
      <c r="V35" s="9" t="s">
        <v>85</v>
      </c>
      <c r="W35" s="9">
        <v>0.981754</v>
      </c>
      <c r="X35" s="9" t="s">
        <v>85</v>
      </c>
      <c r="Y35" s="9" t="s">
        <v>85</v>
      </c>
      <c r="Z35" s="9">
        <v>0.980351</v>
      </c>
      <c r="AA35" s="10" t="s">
        <v>85</v>
      </c>
      <c r="AB35" s="10" t="s">
        <v>85</v>
      </c>
      <c r="AC35" s="9">
        <v>0.976491</v>
      </c>
      <c r="AD35" s="9" t="s">
        <v>85</v>
      </c>
      <c r="AE35" s="9" t="s">
        <v>85</v>
      </c>
      <c r="AF35" s="9">
        <v>0.972281</v>
      </c>
      <c r="AG35" s="9" t="s">
        <v>85</v>
      </c>
      <c r="AH35" s="9" t="s">
        <v>85</v>
      </c>
      <c r="AI35" s="9">
        <v>0.960351</v>
      </c>
      <c r="AJ35" s="9" t="s">
        <v>85</v>
      </c>
      <c r="AK35" s="9" t="s">
        <v>85</v>
      </c>
      <c r="AL35" s="9">
        <v>0.964561</v>
      </c>
      <c r="AM35" s="9" t="s">
        <v>85</v>
      </c>
      <c r="AN35" s="9" t="s">
        <v>85</v>
      </c>
      <c r="AO35" s="9">
        <v>0.96807</v>
      </c>
      <c r="AP35" s="9" t="s">
        <v>85</v>
      </c>
      <c r="AQ35" s="9" t="s">
        <v>85</v>
      </c>
      <c r="AR35" s="9">
        <v>0.964912</v>
      </c>
      <c r="AS35" s="9" t="s">
        <v>85</v>
      </c>
      <c r="AT35" s="9" t="s">
        <v>85</v>
      </c>
      <c r="AU35" s="9">
        <v>0.963158</v>
      </c>
      <c r="AV35" s="9" t="s">
        <v>85</v>
      </c>
      <c r="AW35" s="9" t="s">
        <v>85</v>
      </c>
      <c r="AX35" s="9">
        <v>0.961754</v>
      </c>
      <c r="AY35" s="9" t="s">
        <v>85</v>
      </c>
      <c r="AZ35" s="9" t="s">
        <v>85</v>
      </c>
      <c r="BA35" s="9">
        <v>0.971228</v>
      </c>
      <c r="BB35" s="10" t="s">
        <v>85</v>
      </c>
      <c r="BC35" s="10" t="s">
        <v>85</v>
      </c>
      <c r="BD35" s="9">
        <v>0.947018</v>
      </c>
      <c r="BE35" s="9" t="s">
        <v>85</v>
      </c>
      <c r="BF35" s="9" t="s">
        <v>85</v>
      </c>
      <c r="BG35" s="9">
        <v>0.853684</v>
      </c>
      <c r="BH35" s="6"/>
      <c r="BI35" s="6" t="str">
        <f t="shared" si="1"/>
        <v>8V_One_Acc</v>
      </c>
      <c r="BJ35" s="6" t="str">
        <f t="shared" si="2"/>
        <v>8VB_One_Acc</v>
      </c>
      <c r="BK35" s="6" t="str">
        <f t="shared" si="3"/>
        <v>10B_One_Acc</v>
      </c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</row>
    <row r="36" ht="15.75" customHeight="1">
      <c r="A36" s="1" t="s">
        <v>130</v>
      </c>
      <c r="B36" s="17">
        <v>2.0</v>
      </c>
      <c r="C36" s="9" t="s">
        <v>85</v>
      </c>
      <c r="D36" s="9" t="s">
        <v>85</v>
      </c>
      <c r="E36" s="9">
        <v>0.961403</v>
      </c>
      <c r="F36" s="9" t="s">
        <v>85</v>
      </c>
      <c r="G36" s="9" t="s">
        <v>85</v>
      </c>
      <c r="H36" s="9">
        <v>0.5</v>
      </c>
      <c r="I36" s="9" t="s">
        <v>85</v>
      </c>
      <c r="J36" s="9" t="s">
        <v>85</v>
      </c>
      <c r="K36" s="9">
        <v>0.807719</v>
      </c>
      <c r="L36" s="9" t="s">
        <v>85</v>
      </c>
      <c r="M36" s="9" t="s">
        <v>85</v>
      </c>
      <c r="N36" s="9">
        <v>0.801053</v>
      </c>
      <c r="O36" s="9" t="s">
        <v>85</v>
      </c>
      <c r="P36" s="9" t="s">
        <v>85</v>
      </c>
      <c r="Q36" s="9">
        <v>0.949825</v>
      </c>
      <c r="R36" s="9" t="s">
        <v>85</v>
      </c>
      <c r="S36" s="9" t="s">
        <v>85</v>
      </c>
      <c r="T36" s="9">
        <v>0.948772</v>
      </c>
      <c r="U36" s="9" t="s">
        <v>85</v>
      </c>
      <c r="V36" s="9" t="s">
        <v>85</v>
      </c>
      <c r="W36" s="9">
        <v>0.906316</v>
      </c>
      <c r="X36" s="9" t="s">
        <v>85</v>
      </c>
      <c r="Y36" s="9" t="s">
        <v>85</v>
      </c>
      <c r="Z36" s="9">
        <v>0.92386</v>
      </c>
      <c r="AA36" s="10" t="s">
        <v>85</v>
      </c>
      <c r="AB36" s="10" t="s">
        <v>85</v>
      </c>
      <c r="AC36" s="1" t="s">
        <v>85</v>
      </c>
      <c r="AD36" s="9" t="s">
        <v>85</v>
      </c>
      <c r="AE36" s="9" t="s">
        <v>85</v>
      </c>
      <c r="AF36" s="9">
        <v>0.94807</v>
      </c>
      <c r="AG36" s="9" t="s">
        <v>85</v>
      </c>
      <c r="AH36" s="9" t="s">
        <v>85</v>
      </c>
      <c r="AI36" s="9">
        <v>0.889123</v>
      </c>
      <c r="AJ36" s="9" t="s">
        <v>85</v>
      </c>
      <c r="AK36" s="9" t="s">
        <v>85</v>
      </c>
      <c r="AL36" s="9">
        <v>0.893333</v>
      </c>
      <c r="AM36" s="9" t="s">
        <v>85</v>
      </c>
      <c r="AN36" s="9" t="s">
        <v>85</v>
      </c>
      <c r="AO36" s="9">
        <v>0.952281</v>
      </c>
      <c r="AP36" s="9" t="s">
        <v>85</v>
      </c>
      <c r="AQ36" s="9" t="s">
        <v>85</v>
      </c>
      <c r="AR36" s="9">
        <v>0.95614</v>
      </c>
      <c r="AS36" s="9" t="s">
        <v>85</v>
      </c>
      <c r="AT36" s="9" t="s">
        <v>85</v>
      </c>
      <c r="AU36" s="9">
        <v>0.767719</v>
      </c>
      <c r="AV36" s="9" t="s">
        <v>85</v>
      </c>
      <c r="AW36" s="9" t="s">
        <v>85</v>
      </c>
      <c r="AX36" s="9">
        <v>0.823509</v>
      </c>
      <c r="AY36" s="9" t="s">
        <v>85</v>
      </c>
      <c r="AZ36" s="9" t="s">
        <v>85</v>
      </c>
      <c r="BA36" s="9">
        <v>0.967368</v>
      </c>
      <c r="BB36" s="10" t="s">
        <v>85</v>
      </c>
      <c r="BC36" s="10" t="s">
        <v>85</v>
      </c>
      <c r="BD36" s="9">
        <v>0.896491</v>
      </c>
      <c r="BE36" s="9" t="s">
        <v>85</v>
      </c>
      <c r="BF36" s="9" t="s">
        <v>85</v>
      </c>
      <c r="BG36" s="9">
        <v>0.694386</v>
      </c>
      <c r="BH36" s="6"/>
      <c r="BI36" s="6" t="str">
        <f t="shared" si="1"/>
        <v>20B_One_Acc</v>
      </c>
      <c r="BJ36" s="6" t="str">
        <f t="shared" si="2"/>
        <v>5B_One_Acc</v>
      </c>
      <c r="BK36" s="6" t="str">
        <f t="shared" si="3"/>
        <v>12BN_One_Acc</v>
      </c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</row>
    <row r="37" ht="15.75" customHeight="1">
      <c r="A37" s="1" t="s">
        <v>131</v>
      </c>
      <c r="B37" s="17">
        <v>2.0</v>
      </c>
      <c r="C37" s="9" t="s">
        <v>85</v>
      </c>
      <c r="D37" s="9" t="s">
        <v>85</v>
      </c>
      <c r="E37" s="9">
        <v>0.92</v>
      </c>
      <c r="F37" s="9" t="s">
        <v>85</v>
      </c>
      <c r="G37" s="9" t="s">
        <v>85</v>
      </c>
      <c r="H37" s="9">
        <v>0.493333</v>
      </c>
      <c r="I37" s="9" t="s">
        <v>85</v>
      </c>
      <c r="J37" s="9" t="s">
        <v>85</v>
      </c>
      <c r="K37" s="9">
        <v>0.906667</v>
      </c>
      <c r="L37" s="9" t="s">
        <v>85</v>
      </c>
      <c r="M37" s="9" t="s">
        <v>85</v>
      </c>
      <c r="N37" s="9">
        <v>0.92</v>
      </c>
      <c r="O37" s="9" t="s">
        <v>85</v>
      </c>
      <c r="P37" s="9" t="s">
        <v>85</v>
      </c>
      <c r="Q37" s="9">
        <v>0.973333</v>
      </c>
      <c r="R37" s="9" t="s">
        <v>85</v>
      </c>
      <c r="S37" s="9" t="s">
        <v>85</v>
      </c>
      <c r="T37" s="9">
        <v>0.966667</v>
      </c>
      <c r="U37" s="9" t="s">
        <v>85</v>
      </c>
      <c r="V37" s="9" t="s">
        <v>85</v>
      </c>
      <c r="W37" s="9">
        <v>0.893333</v>
      </c>
      <c r="X37" s="9" t="s">
        <v>85</v>
      </c>
      <c r="Y37" s="9" t="s">
        <v>85</v>
      </c>
      <c r="Z37" s="9">
        <v>0.873333</v>
      </c>
      <c r="AA37" s="10" t="s">
        <v>85</v>
      </c>
      <c r="AB37" s="10" t="s">
        <v>85</v>
      </c>
      <c r="AC37" s="9">
        <v>0.953333</v>
      </c>
      <c r="AD37" s="9" t="s">
        <v>85</v>
      </c>
      <c r="AE37" s="9" t="s">
        <v>85</v>
      </c>
      <c r="AF37" s="9">
        <v>0.946667</v>
      </c>
      <c r="AG37" s="9" t="s">
        <v>85</v>
      </c>
      <c r="AH37" s="9" t="s">
        <v>85</v>
      </c>
      <c r="AI37" s="9">
        <v>0.84</v>
      </c>
      <c r="AJ37" s="9" t="s">
        <v>85</v>
      </c>
      <c r="AK37" s="9" t="s">
        <v>85</v>
      </c>
      <c r="AL37" s="9">
        <v>0.846667</v>
      </c>
      <c r="AM37" s="9" t="s">
        <v>85</v>
      </c>
      <c r="AN37" s="9" t="s">
        <v>85</v>
      </c>
      <c r="AO37" s="9">
        <v>0.92</v>
      </c>
      <c r="AP37" s="9" t="s">
        <v>85</v>
      </c>
      <c r="AQ37" s="9" t="s">
        <v>85</v>
      </c>
      <c r="AR37" s="9">
        <v>0.94</v>
      </c>
      <c r="AS37" s="9" t="s">
        <v>85</v>
      </c>
      <c r="AT37" s="9" t="s">
        <v>85</v>
      </c>
      <c r="AU37" s="9">
        <v>0.9</v>
      </c>
      <c r="AV37" s="9" t="s">
        <v>85</v>
      </c>
      <c r="AW37" s="9" t="s">
        <v>85</v>
      </c>
      <c r="AX37" s="9">
        <v>0.873333</v>
      </c>
      <c r="AY37" s="9" t="s">
        <v>85</v>
      </c>
      <c r="AZ37" s="9" t="s">
        <v>85</v>
      </c>
      <c r="BA37" s="9">
        <v>0.953333</v>
      </c>
      <c r="BB37" s="10" t="s">
        <v>85</v>
      </c>
      <c r="BC37" s="10" t="s">
        <v>85</v>
      </c>
      <c r="BD37" s="9">
        <v>0.913333</v>
      </c>
      <c r="BE37" s="9" t="s">
        <v>85</v>
      </c>
      <c r="BF37" s="9" t="s">
        <v>85</v>
      </c>
      <c r="BG37" s="9">
        <v>0.786667</v>
      </c>
      <c r="BH37" s="6"/>
      <c r="BI37" s="6" t="str">
        <f t="shared" si="1"/>
        <v>8B_One_Acc</v>
      </c>
      <c r="BJ37" s="6" t="str">
        <f t="shared" si="2"/>
        <v>8BN_One_Acc</v>
      </c>
      <c r="BK37" s="6" t="str">
        <f t="shared" si="3"/>
        <v>10B_One_Acc</v>
      </c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</row>
    <row r="38" ht="15.75" customHeight="1">
      <c r="A38" s="1" t="s">
        <v>132</v>
      </c>
      <c r="B38" s="17">
        <v>2.0</v>
      </c>
      <c r="C38" s="9" t="s">
        <v>85</v>
      </c>
      <c r="D38" s="9" t="s">
        <v>85</v>
      </c>
      <c r="E38" s="9">
        <v>0.974684</v>
      </c>
      <c r="F38" s="9" t="s">
        <v>85</v>
      </c>
      <c r="G38" s="9" t="s">
        <v>85</v>
      </c>
      <c r="H38" s="9">
        <v>0.493671</v>
      </c>
      <c r="I38" s="9" t="s">
        <v>85</v>
      </c>
      <c r="J38" s="9" t="s">
        <v>85</v>
      </c>
      <c r="K38" s="9">
        <v>0.936709</v>
      </c>
      <c r="L38" s="9" t="s">
        <v>85</v>
      </c>
      <c r="M38" s="9" t="s">
        <v>85</v>
      </c>
      <c r="N38" s="9">
        <v>0.955696</v>
      </c>
      <c r="O38" s="9" t="s">
        <v>85</v>
      </c>
      <c r="P38" s="9" t="s">
        <v>85</v>
      </c>
      <c r="Q38" s="9">
        <v>0.952532</v>
      </c>
      <c r="R38" s="9" t="s">
        <v>85</v>
      </c>
      <c r="S38" s="9" t="s">
        <v>85</v>
      </c>
      <c r="T38" s="9">
        <v>0.96519</v>
      </c>
      <c r="U38" s="9" t="s">
        <v>85</v>
      </c>
      <c r="V38" s="9" t="s">
        <v>85</v>
      </c>
      <c r="W38" s="9">
        <v>0.901899</v>
      </c>
      <c r="X38" s="9" t="s">
        <v>85</v>
      </c>
      <c r="Y38" s="9" t="s">
        <v>85</v>
      </c>
      <c r="Z38" s="9">
        <v>0.917722</v>
      </c>
      <c r="AA38" s="10" t="s">
        <v>85</v>
      </c>
      <c r="AB38" s="10" t="s">
        <v>85</v>
      </c>
      <c r="AC38" s="9">
        <v>0.955696</v>
      </c>
      <c r="AD38" s="9" t="s">
        <v>85</v>
      </c>
      <c r="AE38" s="9" t="s">
        <v>85</v>
      </c>
      <c r="AF38" s="9">
        <v>0.949367</v>
      </c>
      <c r="AG38" s="9" t="s">
        <v>85</v>
      </c>
      <c r="AH38" s="9" t="s">
        <v>85</v>
      </c>
      <c r="AI38" s="9">
        <v>0.924051</v>
      </c>
      <c r="AJ38" s="9" t="s">
        <v>85</v>
      </c>
      <c r="AK38" s="9" t="s">
        <v>85</v>
      </c>
      <c r="AL38" s="9">
        <v>0.924051</v>
      </c>
      <c r="AM38" s="9" t="s">
        <v>85</v>
      </c>
      <c r="AN38" s="9" t="s">
        <v>85</v>
      </c>
      <c r="AO38" s="9">
        <v>0.933544</v>
      </c>
      <c r="AP38" s="9" t="s">
        <v>85</v>
      </c>
      <c r="AQ38" s="9" t="s">
        <v>85</v>
      </c>
      <c r="AR38" s="9">
        <v>0.946203</v>
      </c>
      <c r="AS38" s="9" t="s">
        <v>85</v>
      </c>
      <c r="AT38" s="9" t="s">
        <v>85</v>
      </c>
      <c r="AU38" s="9">
        <v>0.914557</v>
      </c>
      <c r="AV38" s="9" t="s">
        <v>85</v>
      </c>
      <c r="AW38" s="9" t="s">
        <v>85</v>
      </c>
      <c r="AX38" s="9">
        <v>0.93038</v>
      </c>
      <c r="AY38" s="9" t="s">
        <v>85</v>
      </c>
      <c r="AZ38" s="9" t="s">
        <v>85</v>
      </c>
      <c r="BA38" s="9">
        <v>0.927215</v>
      </c>
      <c r="BB38" s="10" t="s">
        <v>85</v>
      </c>
      <c r="BC38" s="10" t="s">
        <v>85</v>
      </c>
      <c r="BD38" s="9">
        <v>0.924051</v>
      </c>
      <c r="BE38" s="9" t="s">
        <v>85</v>
      </c>
      <c r="BF38" s="9" t="s">
        <v>85</v>
      </c>
      <c r="BG38" s="9">
        <v>0.506329</v>
      </c>
      <c r="BH38" s="6"/>
      <c r="BI38" s="6" t="str">
        <f t="shared" si="1"/>
        <v>5B_One_Acc</v>
      </c>
      <c r="BJ38" s="6" t="str">
        <f t="shared" si="2"/>
        <v>8BN_One_Acc</v>
      </c>
      <c r="BK38" s="6" t="str">
        <f t="shared" si="3"/>
        <v>5VB_One_Acc</v>
      </c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</row>
    <row r="39" ht="15.75" customHeight="1">
      <c r="A39" s="1" t="s">
        <v>133</v>
      </c>
      <c r="B39" s="17">
        <v>2.0</v>
      </c>
      <c r="C39" s="9" t="s">
        <v>85</v>
      </c>
      <c r="D39" s="9" t="s">
        <v>85</v>
      </c>
      <c r="E39" s="9">
        <v>0.974684</v>
      </c>
      <c r="F39" s="9" t="s">
        <v>85</v>
      </c>
      <c r="G39" s="9" t="s">
        <v>85</v>
      </c>
      <c r="H39" s="9">
        <v>0.474684</v>
      </c>
      <c r="I39" s="9" t="s">
        <v>85</v>
      </c>
      <c r="J39" s="9" t="s">
        <v>85</v>
      </c>
      <c r="K39" s="9">
        <v>0.962025</v>
      </c>
      <c r="L39" s="9" t="s">
        <v>85</v>
      </c>
      <c r="M39" s="9" t="s">
        <v>85</v>
      </c>
      <c r="N39" s="9">
        <v>0.977848</v>
      </c>
      <c r="O39" s="9" t="s">
        <v>85</v>
      </c>
      <c r="P39" s="9" t="s">
        <v>85</v>
      </c>
      <c r="Q39" s="9">
        <v>0.974684</v>
      </c>
      <c r="R39" s="9" t="s">
        <v>85</v>
      </c>
      <c r="S39" s="9" t="s">
        <v>85</v>
      </c>
      <c r="T39" s="9">
        <v>0.977848</v>
      </c>
      <c r="U39" s="9" t="s">
        <v>85</v>
      </c>
      <c r="V39" s="9" t="s">
        <v>85</v>
      </c>
      <c r="W39" s="9">
        <v>0.968354</v>
      </c>
      <c r="X39" s="9" t="s">
        <v>85</v>
      </c>
      <c r="Y39" s="9" t="s">
        <v>85</v>
      </c>
      <c r="Z39" s="9">
        <v>0.962025</v>
      </c>
      <c r="AA39" s="10" t="s">
        <v>85</v>
      </c>
      <c r="AB39" s="10" t="s">
        <v>85</v>
      </c>
      <c r="AC39" s="9">
        <v>0.981013</v>
      </c>
      <c r="AD39" s="9" t="s">
        <v>85</v>
      </c>
      <c r="AE39" s="9" t="s">
        <v>85</v>
      </c>
      <c r="AF39" s="9">
        <v>0.984177</v>
      </c>
      <c r="AG39" s="9" t="s">
        <v>85</v>
      </c>
      <c r="AH39" s="9" t="s">
        <v>85</v>
      </c>
      <c r="AI39" s="9">
        <v>0.987342</v>
      </c>
      <c r="AJ39" s="9" t="s">
        <v>85</v>
      </c>
      <c r="AK39" s="9" t="s">
        <v>85</v>
      </c>
      <c r="AL39" s="9">
        <v>0.984177</v>
      </c>
      <c r="AM39" s="9" t="s">
        <v>85</v>
      </c>
      <c r="AN39" s="9" t="s">
        <v>85</v>
      </c>
      <c r="AO39" s="9">
        <v>0.974684</v>
      </c>
      <c r="AP39" s="9" t="s">
        <v>85</v>
      </c>
      <c r="AQ39" s="9" t="s">
        <v>85</v>
      </c>
      <c r="AR39" s="9">
        <v>0.971519</v>
      </c>
      <c r="AS39" s="9" t="s">
        <v>85</v>
      </c>
      <c r="AT39" s="9" t="s">
        <v>85</v>
      </c>
      <c r="AU39" s="9">
        <v>0.996835</v>
      </c>
      <c r="AV39" s="9" t="s">
        <v>85</v>
      </c>
      <c r="AW39" s="9" t="s">
        <v>85</v>
      </c>
      <c r="AX39" s="9">
        <v>0.993671</v>
      </c>
      <c r="AY39" s="9" t="s">
        <v>85</v>
      </c>
      <c r="AZ39" s="9" t="s">
        <v>85</v>
      </c>
      <c r="BA39" s="9">
        <v>0.977848</v>
      </c>
      <c r="BB39" s="10" t="s">
        <v>85</v>
      </c>
      <c r="BC39" s="10" t="s">
        <v>85</v>
      </c>
      <c r="BD39" s="9">
        <v>0.974684</v>
      </c>
      <c r="BE39" s="9" t="s">
        <v>85</v>
      </c>
      <c r="BF39" s="9" t="s">
        <v>85</v>
      </c>
      <c r="BG39" s="9">
        <v>0.525316</v>
      </c>
      <c r="BH39" s="6"/>
      <c r="BI39" s="6" t="str">
        <f t="shared" si="1"/>
        <v>12V_One_Acc</v>
      </c>
      <c r="BJ39" s="6" t="str">
        <f t="shared" si="2"/>
        <v>12VB_One_Acc</v>
      </c>
      <c r="BK39" s="6" t="str">
        <f t="shared" si="3"/>
        <v>10V_One_Acc</v>
      </c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</row>
    <row r="40" ht="15.75" customHeight="1">
      <c r="A40" s="1" t="s">
        <v>134</v>
      </c>
      <c r="B40" s="17">
        <v>2.0</v>
      </c>
      <c r="C40" s="9" t="s">
        <v>85</v>
      </c>
      <c r="D40" s="9" t="s">
        <v>85</v>
      </c>
      <c r="E40" s="9">
        <v>0.961905</v>
      </c>
      <c r="F40" s="9" t="s">
        <v>85</v>
      </c>
      <c r="G40" s="9" t="s">
        <v>85</v>
      </c>
      <c r="H40" s="9">
        <v>0.52381</v>
      </c>
      <c r="I40" s="9" t="s">
        <v>85</v>
      </c>
      <c r="J40" s="9" t="s">
        <v>85</v>
      </c>
      <c r="K40" s="9">
        <v>0.942857</v>
      </c>
      <c r="L40" s="9" t="s">
        <v>85</v>
      </c>
      <c r="M40" s="9" t="s">
        <v>85</v>
      </c>
      <c r="N40" s="9">
        <v>0.942857</v>
      </c>
      <c r="O40" s="9" t="s">
        <v>85</v>
      </c>
      <c r="P40" s="9" t="s">
        <v>85</v>
      </c>
      <c r="Q40" s="9">
        <v>0.939683</v>
      </c>
      <c r="R40" s="9" t="s">
        <v>85</v>
      </c>
      <c r="S40" s="9" t="s">
        <v>85</v>
      </c>
      <c r="T40" s="9">
        <v>0.933333</v>
      </c>
      <c r="U40" s="9" t="s">
        <v>85</v>
      </c>
      <c r="V40" s="9" t="s">
        <v>85</v>
      </c>
      <c r="W40" s="9">
        <v>0.95873</v>
      </c>
      <c r="X40" s="9" t="s">
        <v>85</v>
      </c>
      <c r="Y40" s="9" t="s">
        <v>85</v>
      </c>
      <c r="Z40" s="9">
        <v>0.942857</v>
      </c>
      <c r="AA40" s="10" t="s">
        <v>85</v>
      </c>
      <c r="AB40" s="10" t="s">
        <v>85</v>
      </c>
      <c r="AC40" s="9">
        <v>0.952381</v>
      </c>
      <c r="AD40" s="9" t="s">
        <v>85</v>
      </c>
      <c r="AE40" s="9" t="s">
        <v>85</v>
      </c>
      <c r="AF40" s="9">
        <v>0.949206</v>
      </c>
      <c r="AG40" s="9" t="s">
        <v>85</v>
      </c>
      <c r="AH40" s="9" t="s">
        <v>85</v>
      </c>
      <c r="AI40" s="9">
        <v>0.911111</v>
      </c>
      <c r="AJ40" s="9" t="s">
        <v>85</v>
      </c>
      <c r="AK40" s="9" t="s">
        <v>85</v>
      </c>
      <c r="AL40" s="9">
        <v>0.914286</v>
      </c>
      <c r="AM40" s="9" t="s">
        <v>85</v>
      </c>
      <c r="AN40" s="9" t="s">
        <v>85</v>
      </c>
      <c r="AO40" s="9">
        <v>0.946032</v>
      </c>
      <c r="AP40" s="9" t="s">
        <v>85</v>
      </c>
      <c r="AQ40" s="9" t="s">
        <v>85</v>
      </c>
      <c r="AR40" s="9">
        <v>0.955556</v>
      </c>
      <c r="AS40" s="9" t="s">
        <v>85</v>
      </c>
      <c r="AT40" s="9" t="s">
        <v>85</v>
      </c>
      <c r="AU40" s="9">
        <v>0.91746</v>
      </c>
      <c r="AV40" s="9" t="s">
        <v>85</v>
      </c>
      <c r="AW40" s="9" t="s">
        <v>85</v>
      </c>
      <c r="AX40" s="9">
        <v>0.920635</v>
      </c>
      <c r="AY40" s="9" t="s">
        <v>85</v>
      </c>
      <c r="AZ40" s="9" t="s">
        <v>85</v>
      </c>
      <c r="BA40" s="9">
        <v>0.952381</v>
      </c>
      <c r="BB40" s="10" t="s">
        <v>85</v>
      </c>
      <c r="BC40" s="10" t="s">
        <v>85</v>
      </c>
      <c r="BD40" s="9">
        <v>0.911111</v>
      </c>
      <c r="BE40" s="9" t="s">
        <v>85</v>
      </c>
      <c r="BF40" s="9" t="s">
        <v>85</v>
      </c>
      <c r="BG40" s="9">
        <v>0.990476</v>
      </c>
      <c r="BH40" s="6"/>
      <c r="BI40" s="6" t="str">
        <f t="shared" si="1"/>
        <v>De_One_Acc</v>
      </c>
      <c r="BJ40" s="6" t="str">
        <f t="shared" si="2"/>
        <v>5B_One_Acc</v>
      </c>
      <c r="BK40" s="6" t="str">
        <f t="shared" si="3"/>
        <v>8V_One_Acc</v>
      </c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</row>
    <row r="41" ht="15.75" customHeight="1">
      <c r="A41" s="1" t="s">
        <v>135</v>
      </c>
      <c r="B41" s="17">
        <v>2.0</v>
      </c>
      <c r="C41" s="9" t="s">
        <v>85</v>
      </c>
      <c r="D41" s="9" t="s">
        <v>85</v>
      </c>
      <c r="E41" s="9">
        <v>0.504762</v>
      </c>
      <c r="F41" s="9" t="s">
        <v>85</v>
      </c>
      <c r="G41" s="9" t="s">
        <v>85</v>
      </c>
      <c r="H41" s="9">
        <v>0.52381</v>
      </c>
      <c r="I41" s="9" t="s">
        <v>85</v>
      </c>
      <c r="J41" s="9" t="s">
        <v>85</v>
      </c>
      <c r="K41" s="9">
        <v>0.52381</v>
      </c>
      <c r="L41" s="9" t="s">
        <v>85</v>
      </c>
      <c r="M41" s="9" t="s">
        <v>85</v>
      </c>
      <c r="N41" s="9">
        <v>0.495238</v>
      </c>
      <c r="O41" s="9" t="s">
        <v>85</v>
      </c>
      <c r="P41" s="9" t="s">
        <v>85</v>
      </c>
      <c r="Q41" s="9">
        <v>0.552381</v>
      </c>
      <c r="R41" s="9" t="s">
        <v>85</v>
      </c>
      <c r="S41" s="9" t="s">
        <v>85</v>
      </c>
      <c r="T41" s="9">
        <v>0.542857</v>
      </c>
      <c r="U41" s="9" t="s">
        <v>85</v>
      </c>
      <c r="V41" s="9" t="s">
        <v>85</v>
      </c>
      <c r="W41" s="9">
        <v>0.561905</v>
      </c>
      <c r="X41" s="9" t="s">
        <v>85</v>
      </c>
      <c r="Y41" s="9" t="s">
        <v>85</v>
      </c>
      <c r="Z41" s="9">
        <v>0.52381</v>
      </c>
      <c r="AA41" s="10" t="s">
        <v>85</v>
      </c>
      <c r="AB41" s="10" t="s">
        <v>85</v>
      </c>
      <c r="AC41" s="9">
        <v>0.552381</v>
      </c>
      <c r="AD41" s="9" t="s">
        <v>85</v>
      </c>
      <c r="AE41" s="9" t="s">
        <v>85</v>
      </c>
      <c r="AF41" s="9">
        <v>0.571429</v>
      </c>
      <c r="AG41" s="9" t="s">
        <v>85</v>
      </c>
      <c r="AH41" s="9" t="s">
        <v>85</v>
      </c>
      <c r="AI41" s="9">
        <v>0.6</v>
      </c>
      <c r="AJ41" s="9" t="s">
        <v>85</v>
      </c>
      <c r="AK41" s="9" t="s">
        <v>85</v>
      </c>
      <c r="AL41" s="9">
        <v>0.628571</v>
      </c>
      <c r="AM41" s="9" t="s">
        <v>85</v>
      </c>
      <c r="AN41" s="9" t="s">
        <v>85</v>
      </c>
      <c r="AO41" s="9">
        <v>0.590476</v>
      </c>
      <c r="AP41" s="9" t="s">
        <v>85</v>
      </c>
      <c r="AQ41" s="9" t="s">
        <v>85</v>
      </c>
      <c r="AR41" s="9">
        <v>0.542857</v>
      </c>
      <c r="AS41" s="9" t="s">
        <v>85</v>
      </c>
      <c r="AT41" s="9" t="s">
        <v>85</v>
      </c>
      <c r="AU41" s="9">
        <v>0.638095</v>
      </c>
      <c r="AV41" s="9" t="s">
        <v>85</v>
      </c>
      <c r="AW41" s="9" t="s">
        <v>85</v>
      </c>
      <c r="AX41" s="9">
        <v>0.619048</v>
      </c>
      <c r="AY41" s="9" t="s">
        <v>85</v>
      </c>
      <c r="AZ41" s="9" t="s">
        <v>85</v>
      </c>
      <c r="BA41" s="9">
        <v>0.609524</v>
      </c>
      <c r="BB41" s="10" t="s">
        <v>85</v>
      </c>
      <c r="BC41" s="10" t="s">
        <v>85</v>
      </c>
      <c r="BD41" s="9">
        <v>0.6</v>
      </c>
      <c r="BE41" s="9" t="s">
        <v>85</v>
      </c>
      <c r="BF41" s="9" t="s">
        <v>85</v>
      </c>
      <c r="BG41" s="9">
        <v>0.714286</v>
      </c>
      <c r="BH41" s="6"/>
      <c r="BI41" s="6" t="str">
        <f t="shared" si="1"/>
        <v>De_One_Acc</v>
      </c>
      <c r="BJ41" s="6" t="str">
        <f t="shared" si="2"/>
        <v>12V_One_Acc</v>
      </c>
      <c r="BK41" s="6" t="str">
        <f t="shared" si="3"/>
        <v>10VB_One_Acc</v>
      </c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</row>
    <row r="42" ht="15.75" customHeight="1">
      <c r="A42" s="1" t="s">
        <v>136</v>
      </c>
      <c r="B42" s="17">
        <v>5.0</v>
      </c>
      <c r="C42" s="9" t="s">
        <v>85</v>
      </c>
      <c r="D42" s="9" t="s">
        <v>85</v>
      </c>
      <c r="E42" s="9">
        <v>0.37013</v>
      </c>
      <c r="F42" s="9" t="s">
        <v>85</v>
      </c>
      <c r="G42" s="9" t="s">
        <v>85</v>
      </c>
      <c r="H42" s="9">
        <v>0.191558</v>
      </c>
      <c r="I42" s="9" t="s">
        <v>85</v>
      </c>
      <c r="J42" s="9" t="s">
        <v>85</v>
      </c>
      <c r="K42" s="9">
        <v>0.409091</v>
      </c>
      <c r="L42" s="9" t="s">
        <v>85</v>
      </c>
      <c r="M42" s="9" t="s">
        <v>85</v>
      </c>
      <c r="N42" s="9">
        <v>0.246753</v>
      </c>
      <c r="O42" s="9" t="s">
        <v>85</v>
      </c>
      <c r="P42" s="9" t="s">
        <v>85</v>
      </c>
      <c r="Q42" s="9">
        <v>0.418831</v>
      </c>
      <c r="R42" s="9" t="s">
        <v>85</v>
      </c>
      <c r="S42" s="9" t="s">
        <v>85</v>
      </c>
      <c r="T42" s="9">
        <v>0.405844</v>
      </c>
      <c r="U42" s="9" t="s">
        <v>85</v>
      </c>
      <c r="V42" s="9" t="s">
        <v>85</v>
      </c>
      <c r="W42" s="9">
        <v>0.435065</v>
      </c>
      <c r="X42" s="9" t="s">
        <v>85</v>
      </c>
      <c r="Y42" s="9" t="s">
        <v>85</v>
      </c>
      <c r="Z42" s="9">
        <v>0.425325</v>
      </c>
      <c r="AA42" s="10" t="s">
        <v>85</v>
      </c>
      <c r="AB42" s="10" t="s">
        <v>85</v>
      </c>
      <c r="AC42" s="9">
        <v>0.402597</v>
      </c>
      <c r="AD42" s="9" t="s">
        <v>85</v>
      </c>
      <c r="AE42" s="9" t="s">
        <v>85</v>
      </c>
      <c r="AF42" s="9">
        <v>0.422078</v>
      </c>
      <c r="AG42" s="9" t="s">
        <v>85</v>
      </c>
      <c r="AH42" s="9" t="s">
        <v>85</v>
      </c>
      <c r="AI42" s="9">
        <v>0.461039</v>
      </c>
      <c r="AJ42" s="9" t="s">
        <v>85</v>
      </c>
      <c r="AK42" s="9" t="s">
        <v>85</v>
      </c>
      <c r="AL42" s="9">
        <v>0.399351</v>
      </c>
      <c r="AM42" s="9" t="s">
        <v>85</v>
      </c>
      <c r="AN42" s="9" t="s">
        <v>85</v>
      </c>
      <c r="AO42" s="9">
        <v>0.409091</v>
      </c>
      <c r="AP42" s="9" t="s">
        <v>85</v>
      </c>
      <c r="AQ42" s="9" t="s">
        <v>85</v>
      </c>
      <c r="AR42" s="9">
        <v>0.412338</v>
      </c>
      <c r="AS42" s="9" t="s">
        <v>85</v>
      </c>
      <c r="AT42" s="9" t="s">
        <v>85</v>
      </c>
      <c r="AU42" s="9">
        <v>0.467532</v>
      </c>
      <c r="AV42" s="9" t="s">
        <v>85</v>
      </c>
      <c r="AW42" s="9" t="s">
        <v>85</v>
      </c>
      <c r="AX42" s="9">
        <v>0.337662</v>
      </c>
      <c r="AY42" s="9" t="s">
        <v>85</v>
      </c>
      <c r="AZ42" s="9" t="s">
        <v>85</v>
      </c>
      <c r="BA42" s="9">
        <v>0.431818</v>
      </c>
      <c r="BB42" s="10" t="s">
        <v>85</v>
      </c>
      <c r="BC42" s="10" t="s">
        <v>85</v>
      </c>
      <c r="BD42" s="9">
        <v>0.438312</v>
      </c>
      <c r="BE42" s="9" t="s">
        <v>85</v>
      </c>
      <c r="BF42" s="9" t="s">
        <v>85</v>
      </c>
      <c r="BG42" s="9">
        <v>0.461039</v>
      </c>
      <c r="BH42" s="6"/>
      <c r="BI42" s="6" t="str">
        <f t="shared" si="1"/>
        <v>12V_One_Acc</v>
      </c>
      <c r="BJ42" s="6" t="str">
        <f t="shared" si="2"/>
        <v>10V_One_Acc</v>
      </c>
      <c r="BK42" s="6" t="str">
        <f t="shared" si="3"/>
        <v>10V_One_Acc</v>
      </c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</row>
    <row r="43" ht="15.75" customHeight="1">
      <c r="A43" s="1" t="s">
        <v>137</v>
      </c>
      <c r="B43" s="17">
        <v>2.0</v>
      </c>
      <c r="C43" s="9" t="s">
        <v>85</v>
      </c>
      <c r="D43" s="9" t="s">
        <v>85</v>
      </c>
      <c r="E43" s="9">
        <v>0.5625</v>
      </c>
      <c r="F43" s="9" t="s">
        <v>85</v>
      </c>
      <c r="G43" s="9" t="s">
        <v>85</v>
      </c>
      <c r="H43" s="9">
        <v>0.59375</v>
      </c>
      <c r="I43" s="9" t="s">
        <v>85</v>
      </c>
      <c r="J43" s="9" t="s">
        <v>85</v>
      </c>
      <c r="K43" s="9">
        <v>0.484375</v>
      </c>
      <c r="L43" s="9" t="s">
        <v>85</v>
      </c>
      <c r="M43" s="9" t="s">
        <v>85</v>
      </c>
      <c r="N43" s="9">
        <v>0.578125</v>
      </c>
      <c r="O43" s="9" t="s">
        <v>85</v>
      </c>
      <c r="P43" s="9" t="s">
        <v>85</v>
      </c>
      <c r="Q43" s="9">
        <v>0.484375</v>
      </c>
      <c r="R43" s="9" t="s">
        <v>85</v>
      </c>
      <c r="S43" s="9" t="s">
        <v>85</v>
      </c>
      <c r="T43" s="9">
        <v>0.4375</v>
      </c>
      <c r="U43" s="9" t="s">
        <v>85</v>
      </c>
      <c r="V43" s="9" t="s">
        <v>85</v>
      </c>
      <c r="W43" s="9">
        <v>0.5625</v>
      </c>
      <c r="X43" s="9" t="s">
        <v>85</v>
      </c>
      <c r="Y43" s="9" t="s">
        <v>85</v>
      </c>
      <c r="Z43" s="9">
        <v>0.484375</v>
      </c>
      <c r="AA43" s="10" t="s">
        <v>85</v>
      </c>
      <c r="AB43" s="10" t="s">
        <v>85</v>
      </c>
      <c r="AC43" s="9">
        <v>0.578125</v>
      </c>
      <c r="AD43" s="9" t="s">
        <v>85</v>
      </c>
      <c r="AE43" s="9" t="s">
        <v>85</v>
      </c>
      <c r="AF43" s="9">
        <v>0.5625</v>
      </c>
      <c r="AG43" s="9" t="s">
        <v>85</v>
      </c>
      <c r="AH43" s="9" t="s">
        <v>85</v>
      </c>
      <c r="AI43" s="9">
        <v>0.5625</v>
      </c>
      <c r="AJ43" s="9" t="s">
        <v>85</v>
      </c>
      <c r="AK43" s="9" t="s">
        <v>85</v>
      </c>
      <c r="AL43" s="9">
        <v>0.609375</v>
      </c>
      <c r="AM43" s="9" t="s">
        <v>85</v>
      </c>
      <c r="AN43" s="9" t="s">
        <v>85</v>
      </c>
      <c r="AO43" s="9">
        <v>0.484375</v>
      </c>
      <c r="AP43" s="9" t="s">
        <v>85</v>
      </c>
      <c r="AQ43" s="9" t="s">
        <v>85</v>
      </c>
      <c r="AR43" s="9">
        <v>0.484375</v>
      </c>
      <c r="AS43" s="9" t="s">
        <v>85</v>
      </c>
      <c r="AT43" s="9" t="s">
        <v>85</v>
      </c>
      <c r="AU43" s="9">
        <v>0.59375</v>
      </c>
      <c r="AV43" s="9" t="s">
        <v>85</v>
      </c>
      <c r="AW43" s="9" t="s">
        <v>85</v>
      </c>
      <c r="AX43" s="9">
        <v>0.625</v>
      </c>
      <c r="AY43" s="9" t="s">
        <v>85</v>
      </c>
      <c r="AZ43" s="9" t="s">
        <v>85</v>
      </c>
      <c r="BA43" s="9">
        <v>0.484375</v>
      </c>
      <c r="BB43" s="10" t="s">
        <v>85</v>
      </c>
      <c r="BC43" s="10" t="s">
        <v>85</v>
      </c>
      <c r="BD43" s="9">
        <v>0.59375</v>
      </c>
      <c r="BE43" s="9" t="s">
        <v>85</v>
      </c>
      <c r="BF43" s="9" t="s">
        <v>85</v>
      </c>
      <c r="BG43" s="9">
        <v>0.59375</v>
      </c>
      <c r="BH43" s="6"/>
      <c r="BI43" s="6" t="str">
        <f t="shared" si="1"/>
        <v>12VB_One_Acc</v>
      </c>
      <c r="BJ43" s="6" t="str">
        <f t="shared" si="2"/>
        <v>10VB_One_Acc</v>
      </c>
      <c r="BK43" s="6" t="str">
        <f t="shared" si="3"/>
        <v>5BN_One_Acc</v>
      </c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</row>
    <row r="44" ht="15.75" customHeight="1">
      <c r="A44" s="1" t="s">
        <v>138</v>
      </c>
      <c r="B44" s="17">
        <v>2.0</v>
      </c>
      <c r="C44" s="9" t="s">
        <v>85</v>
      </c>
      <c r="D44" s="9" t="s">
        <v>85</v>
      </c>
      <c r="E44" s="9">
        <v>0.798319</v>
      </c>
      <c r="F44" s="9" t="s">
        <v>85</v>
      </c>
      <c r="G44" s="9" t="s">
        <v>85</v>
      </c>
      <c r="H44" s="9">
        <v>0.428571</v>
      </c>
      <c r="I44" s="9" t="s">
        <v>85</v>
      </c>
      <c r="J44" s="9" t="s">
        <v>85</v>
      </c>
      <c r="K44" s="9">
        <v>0.731092</v>
      </c>
      <c r="L44" s="9" t="s">
        <v>85</v>
      </c>
      <c r="M44" s="9" t="s">
        <v>85</v>
      </c>
      <c r="N44" s="9">
        <v>0.773109</v>
      </c>
      <c r="O44" s="9" t="s">
        <v>85</v>
      </c>
      <c r="P44" s="9" t="s">
        <v>85</v>
      </c>
      <c r="Q44" s="9">
        <v>0.84874</v>
      </c>
      <c r="R44" s="9" t="s">
        <v>85</v>
      </c>
      <c r="S44" s="9" t="s">
        <v>85</v>
      </c>
      <c r="T44" s="9">
        <v>0.831933</v>
      </c>
      <c r="U44" s="9" t="s">
        <v>85</v>
      </c>
      <c r="V44" s="9" t="s">
        <v>85</v>
      </c>
      <c r="W44" s="9">
        <v>0.747899</v>
      </c>
      <c r="X44" s="9" t="s">
        <v>85</v>
      </c>
      <c r="Y44" s="9" t="s">
        <v>85</v>
      </c>
      <c r="Z44" s="9">
        <v>0.756303</v>
      </c>
      <c r="AA44" s="10" t="s">
        <v>85</v>
      </c>
      <c r="AB44" s="10" t="s">
        <v>85</v>
      </c>
      <c r="AC44" s="9">
        <v>0.84874</v>
      </c>
      <c r="AD44" s="9" t="s">
        <v>85</v>
      </c>
      <c r="AE44" s="9" t="s">
        <v>85</v>
      </c>
      <c r="AF44" s="9">
        <v>0.865546</v>
      </c>
      <c r="AG44" s="9" t="s">
        <v>85</v>
      </c>
      <c r="AH44" s="9" t="s">
        <v>85</v>
      </c>
      <c r="AI44" s="9">
        <v>0.697479</v>
      </c>
      <c r="AJ44" s="9" t="s">
        <v>85</v>
      </c>
      <c r="AK44" s="9" t="s">
        <v>85</v>
      </c>
      <c r="AL44" s="9">
        <v>0.731092</v>
      </c>
      <c r="AM44" s="9" t="s">
        <v>85</v>
      </c>
      <c r="AN44" s="9" t="s">
        <v>85</v>
      </c>
      <c r="AO44" s="9">
        <v>0.89916</v>
      </c>
      <c r="AP44" s="9" t="s">
        <v>85</v>
      </c>
      <c r="AQ44" s="9" t="s">
        <v>85</v>
      </c>
      <c r="AR44" s="9">
        <v>0.890756</v>
      </c>
      <c r="AS44" s="9" t="s">
        <v>85</v>
      </c>
      <c r="AT44" s="9" t="s">
        <v>85</v>
      </c>
      <c r="AU44" s="9">
        <v>0.705882</v>
      </c>
      <c r="AV44" s="9" t="s">
        <v>85</v>
      </c>
      <c r="AW44" s="9" t="s">
        <v>85</v>
      </c>
      <c r="AX44" s="9">
        <v>0.781513</v>
      </c>
      <c r="AY44" s="9" t="s">
        <v>85</v>
      </c>
      <c r="AZ44" s="9" t="s">
        <v>85</v>
      </c>
      <c r="BA44" s="9">
        <v>0.882353</v>
      </c>
      <c r="BB44" s="10" t="s">
        <v>85</v>
      </c>
      <c r="BC44" s="10" t="s">
        <v>85</v>
      </c>
      <c r="BD44" s="9">
        <v>0.781513</v>
      </c>
      <c r="BE44" s="9" t="s">
        <v>85</v>
      </c>
      <c r="BF44" s="9" t="s">
        <v>85</v>
      </c>
      <c r="BG44" s="9">
        <v>0.579832</v>
      </c>
      <c r="BH44" s="6"/>
      <c r="BI44" s="6" t="str">
        <f t="shared" si="1"/>
        <v>12B_One_Acc</v>
      </c>
      <c r="BJ44" s="6" t="str">
        <f t="shared" si="2"/>
        <v>12BN_One_Acc</v>
      </c>
      <c r="BK44" s="6" t="str">
        <f t="shared" si="3"/>
        <v>20B_One_Acc</v>
      </c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</row>
    <row r="45" ht="15.75" customHeight="1">
      <c r="A45" s="1" t="s">
        <v>139</v>
      </c>
      <c r="B45" s="17">
        <v>7.0</v>
      </c>
      <c r="C45" s="9" t="s">
        <v>85</v>
      </c>
      <c r="D45" s="9" t="s">
        <v>85</v>
      </c>
      <c r="E45" s="9">
        <v>0.325455</v>
      </c>
      <c r="F45" s="9" t="s">
        <v>85</v>
      </c>
      <c r="G45" s="9" t="s">
        <v>85</v>
      </c>
      <c r="H45" s="9">
        <v>0.183636</v>
      </c>
      <c r="I45" s="9" t="s">
        <v>85</v>
      </c>
      <c r="J45" s="9" t="s">
        <v>85</v>
      </c>
      <c r="K45" s="9">
        <v>0.261818</v>
      </c>
      <c r="L45" s="9" t="s">
        <v>85</v>
      </c>
      <c r="M45" s="9" t="s">
        <v>85</v>
      </c>
      <c r="N45" s="9">
        <v>0.321818</v>
      </c>
      <c r="O45" s="9" t="s">
        <v>85</v>
      </c>
      <c r="P45" s="9" t="s">
        <v>85</v>
      </c>
      <c r="Q45" s="9">
        <v>0.321818</v>
      </c>
      <c r="R45" s="9" t="s">
        <v>85</v>
      </c>
      <c r="S45" s="9" t="s">
        <v>85</v>
      </c>
      <c r="T45" s="9">
        <v>0.318182</v>
      </c>
      <c r="U45" s="9" t="s">
        <v>85</v>
      </c>
      <c r="V45" s="9" t="s">
        <v>85</v>
      </c>
      <c r="W45" s="9">
        <v>0.24</v>
      </c>
      <c r="X45" s="9" t="s">
        <v>85</v>
      </c>
      <c r="Y45" s="9" t="s">
        <v>85</v>
      </c>
      <c r="Z45" s="9">
        <v>0.3</v>
      </c>
      <c r="AA45" s="10" t="s">
        <v>85</v>
      </c>
      <c r="AB45" s="10" t="s">
        <v>85</v>
      </c>
      <c r="AC45" s="9">
        <v>0.272727</v>
      </c>
      <c r="AD45" s="9" t="s">
        <v>85</v>
      </c>
      <c r="AE45" s="9" t="s">
        <v>85</v>
      </c>
      <c r="AF45" s="9">
        <v>0.272727</v>
      </c>
      <c r="AG45" s="9" t="s">
        <v>85</v>
      </c>
      <c r="AH45" s="9" t="s">
        <v>85</v>
      </c>
      <c r="AI45" s="9">
        <v>0.258182</v>
      </c>
      <c r="AJ45" s="9" t="s">
        <v>85</v>
      </c>
      <c r="AK45" s="9" t="s">
        <v>85</v>
      </c>
      <c r="AL45" s="9">
        <v>0.232727</v>
      </c>
      <c r="AM45" s="9" t="s">
        <v>85</v>
      </c>
      <c r="AN45" s="9" t="s">
        <v>85</v>
      </c>
      <c r="AO45" s="9">
        <v>0.327273</v>
      </c>
      <c r="AP45" s="9" t="s">
        <v>85</v>
      </c>
      <c r="AQ45" s="9" t="s">
        <v>85</v>
      </c>
      <c r="AR45" s="9">
        <v>0.3</v>
      </c>
      <c r="AS45" s="9" t="s">
        <v>85</v>
      </c>
      <c r="AT45" s="9" t="s">
        <v>85</v>
      </c>
      <c r="AU45" s="9">
        <v>0.249091</v>
      </c>
      <c r="AV45" s="9" t="s">
        <v>85</v>
      </c>
      <c r="AW45" s="9" t="s">
        <v>85</v>
      </c>
      <c r="AX45" s="9">
        <v>0.263636</v>
      </c>
      <c r="AY45" s="9" t="s">
        <v>85</v>
      </c>
      <c r="AZ45" s="9" t="s">
        <v>85</v>
      </c>
      <c r="BA45" s="9">
        <v>0.314545</v>
      </c>
      <c r="BB45" s="10" t="s">
        <v>85</v>
      </c>
      <c r="BC45" s="10" t="s">
        <v>85</v>
      </c>
      <c r="BD45" s="9">
        <v>0.296364</v>
      </c>
      <c r="BE45" s="9" t="s">
        <v>85</v>
      </c>
      <c r="BF45" s="9" t="s">
        <v>85</v>
      </c>
      <c r="BG45" s="9">
        <v>0.187273</v>
      </c>
      <c r="BH45" s="6"/>
      <c r="BI45" s="6" t="str">
        <f t="shared" si="1"/>
        <v>12B_One_Acc</v>
      </c>
      <c r="BJ45" s="6" t="str">
        <f t="shared" si="2"/>
        <v>5B_One_Acc</v>
      </c>
      <c r="BK45" s="6" t="str">
        <f t="shared" si="3"/>
        <v>5VB_One_Acc</v>
      </c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</row>
    <row r="46" ht="15.75" customHeight="1">
      <c r="A46" s="1" t="s">
        <v>140</v>
      </c>
      <c r="B46" s="17">
        <v>3.0</v>
      </c>
      <c r="C46" s="9" t="s">
        <v>85</v>
      </c>
      <c r="D46" s="9" t="s">
        <v>85</v>
      </c>
      <c r="E46" s="9">
        <v>0.823293</v>
      </c>
      <c r="F46" s="9" t="s">
        <v>85</v>
      </c>
      <c r="G46" s="9" t="s">
        <v>85</v>
      </c>
      <c r="H46" s="9">
        <v>0.473896</v>
      </c>
      <c r="I46" s="9" t="s">
        <v>85</v>
      </c>
      <c r="J46" s="9" t="s">
        <v>85</v>
      </c>
      <c r="K46" s="9">
        <v>0.807229</v>
      </c>
      <c r="L46" s="9" t="s">
        <v>85</v>
      </c>
      <c r="M46" s="9" t="s">
        <v>85</v>
      </c>
      <c r="N46" s="9">
        <v>0.791165</v>
      </c>
      <c r="O46" s="9" t="s">
        <v>85</v>
      </c>
      <c r="P46" s="9" t="s">
        <v>85</v>
      </c>
      <c r="Q46" s="9">
        <v>0.815261</v>
      </c>
      <c r="R46" s="9" t="s">
        <v>85</v>
      </c>
      <c r="S46" s="9" t="s">
        <v>85</v>
      </c>
      <c r="T46" s="9">
        <v>0.839357</v>
      </c>
      <c r="U46" s="9" t="s">
        <v>85</v>
      </c>
      <c r="V46" s="9" t="s">
        <v>85</v>
      </c>
      <c r="W46" s="9">
        <v>0.823293</v>
      </c>
      <c r="X46" s="9" t="s">
        <v>85</v>
      </c>
      <c r="Y46" s="9" t="s">
        <v>85</v>
      </c>
      <c r="Z46" s="9">
        <v>0.823293</v>
      </c>
      <c r="AA46" s="10" t="s">
        <v>85</v>
      </c>
      <c r="AB46" s="10" t="s">
        <v>85</v>
      </c>
      <c r="AC46" s="9">
        <v>0.819277</v>
      </c>
      <c r="AD46" s="9" t="s">
        <v>85</v>
      </c>
      <c r="AE46" s="9" t="s">
        <v>85</v>
      </c>
      <c r="AF46" s="9">
        <v>0.807229</v>
      </c>
      <c r="AG46" s="9" t="s">
        <v>85</v>
      </c>
      <c r="AH46" s="9" t="s">
        <v>85</v>
      </c>
      <c r="AI46" s="9">
        <v>0.807229</v>
      </c>
      <c r="AJ46" s="9" t="s">
        <v>85</v>
      </c>
      <c r="AK46" s="9" t="s">
        <v>85</v>
      </c>
      <c r="AL46" s="9">
        <v>0.819277</v>
      </c>
      <c r="AM46" s="9" t="s">
        <v>85</v>
      </c>
      <c r="AN46" s="9" t="s">
        <v>85</v>
      </c>
      <c r="AO46" s="9">
        <v>0.827309</v>
      </c>
      <c r="AP46" s="9" t="s">
        <v>85</v>
      </c>
      <c r="AQ46" s="9" t="s">
        <v>85</v>
      </c>
      <c r="AR46" s="9">
        <v>0.827309</v>
      </c>
      <c r="AS46" s="9" t="s">
        <v>85</v>
      </c>
      <c r="AT46" s="9" t="s">
        <v>85</v>
      </c>
      <c r="AU46" s="9">
        <v>0.815261</v>
      </c>
      <c r="AV46" s="9" t="s">
        <v>85</v>
      </c>
      <c r="AW46" s="9" t="s">
        <v>85</v>
      </c>
      <c r="AX46" s="9">
        <v>0.811245</v>
      </c>
      <c r="AY46" s="9" t="s">
        <v>85</v>
      </c>
      <c r="AZ46" s="9" t="s">
        <v>85</v>
      </c>
      <c r="BA46" s="9">
        <v>0.819277</v>
      </c>
      <c r="BB46" s="10" t="s">
        <v>85</v>
      </c>
      <c r="BC46" s="10" t="s">
        <v>85</v>
      </c>
      <c r="BD46" s="9">
        <v>0.843373</v>
      </c>
      <c r="BE46" s="9" t="s">
        <v>85</v>
      </c>
      <c r="BF46" s="9" t="s">
        <v>85</v>
      </c>
      <c r="BG46" s="9">
        <v>1.0</v>
      </c>
      <c r="BH46" s="6"/>
      <c r="BI46" s="6" t="str">
        <f t="shared" si="1"/>
        <v>De_One_Acc</v>
      </c>
      <c r="BJ46" s="6" t="str">
        <f t="shared" si="2"/>
        <v>20V_One_Acc</v>
      </c>
      <c r="BK46" s="6" t="str">
        <f t="shared" si="3"/>
        <v>8BN_One_Acc</v>
      </c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</row>
    <row r="47" ht="15.75" customHeight="1">
      <c r="A47" s="1" t="s">
        <v>141</v>
      </c>
      <c r="B47" s="17">
        <v>3.0</v>
      </c>
      <c r="C47" s="9" t="s">
        <v>85</v>
      </c>
      <c r="D47" s="9" t="s">
        <v>85</v>
      </c>
      <c r="E47" s="9">
        <v>0.807229</v>
      </c>
      <c r="F47" s="9" t="s">
        <v>85</v>
      </c>
      <c r="G47" s="9" t="s">
        <v>85</v>
      </c>
      <c r="H47" s="9">
        <v>0.35743</v>
      </c>
      <c r="I47" s="9" t="s">
        <v>85</v>
      </c>
      <c r="J47" s="9" t="s">
        <v>85</v>
      </c>
      <c r="K47" s="9">
        <v>0.767068</v>
      </c>
      <c r="L47" s="9" t="s">
        <v>85</v>
      </c>
      <c r="M47" s="9" t="s">
        <v>85</v>
      </c>
      <c r="N47" s="9">
        <v>0.779116</v>
      </c>
      <c r="O47" s="9" t="s">
        <v>85</v>
      </c>
      <c r="P47" s="9" t="s">
        <v>85</v>
      </c>
      <c r="Q47" s="9">
        <v>0.803213</v>
      </c>
      <c r="R47" s="9" t="s">
        <v>85</v>
      </c>
      <c r="S47" s="9" t="s">
        <v>85</v>
      </c>
      <c r="T47" s="9">
        <v>0.795181</v>
      </c>
      <c r="U47" s="9" t="s">
        <v>85</v>
      </c>
      <c r="V47" s="9" t="s">
        <v>85</v>
      </c>
      <c r="W47" s="9">
        <v>0.787149</v>
      </c>
      <c r="X47" s="9" t="s">
        <v>85</v>
      </c>
      <c r="Y47" s="9" t="s">
        <v>85</v>
      </c>
      <c r="Z47" s="9">
        <v>0.783133</v>
      </c>
      <c r="AA47" s="10" t="s">
        <v>85</v>
      </c>
      <c r="AB47" s="10" t="s">
        <v>85</v>
      </c>
      <c r="AC47" s="9">
        <v>0.795181</v>
      </c>
      <c r="AD47" s="9" t="s">
        <v>85</v>
      </c>
      <c r="AE47" s="9" t="s">
        <v>85</v>
      </c>
      <c r="AF47" s="9">
        <v>0.799197</v>
      </c>
      <c r="AG47" s="9" t="s">
        <v>85</v>
      </c>
      <c r="AH47" s="9" t="s">
        <v>85</v>
      </c>
      <c r="AI47" s="9">
        <v>0.783133</v>
      </c>
      <c r="AJ47" s="9" t="s">
        <v>85</v>
      </c>
      <c r="AK47" s="9" t="s">
        <v>85</v>
      </c>
      <c r="AL47" s="9">
        <v>0.783133</v>
      </c>
      <c r="AM47" s="9" t="s">
        <v>85</v>
      </c>
      <c r="AN47" s="9" t="s">
        <v>85</v>
      </c>
      <c r="AO47" s="9">
        <v>0.803213</v>
      </c>
      <c r="AP47" s="9" t="s">
        <v>85</v>
      </c>
      <c r="AQ47" s="9" t="s">
        <v>85</v>
      </c>
      <c r="AR47" s="9">
        <v>0.795181</v>
      </c>
      <c r="AS47" s="9" t="s">
        <v>85</v>
      </c>
      <c r="AT47" s="9" t="s">
        <v>85</v>
      </c>
      <c r="AU47" s="9">
        <v>0.759036</v>
      </c>
      <c r="AV47" s="9" t="s">
        <v>85</v>
      </c>
      <c r="AW47" s="9" t="s">
        <v>85</v>
      </c>
      <c r="AX47" s="9">
        <v>0.7751</v>
      </c>
      <c r="AY47" s="9" t="s">
        <v>85</v>
      </c>
      <c r="AZ47" s="9" t="s">
        <v>85</v>
      </c>
      <c r="BA47" s="9">
        <v>0.795181</v>
      </c>
      <c r="BB47" s="10" t="s">
        <v>85</v>
      </c>
      <c r="BC47" s="10" t="s">
        <v>85</v>
      </c>
      <c r="BD47" s="9">
        <v>0.783133</v>
      </c>
      <c r="BE47" s="9" t="s">
        <v>85</v>
      </c>
      <c r="BF47" s="9" t="s">
        <v>85</v>
      </c>
      <c r="BG47" s="9">
        <v>1.0</v>
      </c>
      <c r="BH47" s="6"/>
      <c r="BI47" s="6" t="str">
        <f t="shared" si="1"/>
        <v>De_One_Acc</v>
      </c>
      <c r="BJ47" s="6" t="str">
        <f t="shared" si="2"/>
        <v>5B_One_Acc</v>
      </c>
      <c r="BK47" s="6" t="str">
        <f t="shared" si="3"/>
        <v>8B_One_Acc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</row>
    <row r="48" ht="15.75" customHeight="1">
      <c r="A48" s="1" t="s">
        <v>142</v>
      </c>
      <c r="B48" s="17">
        <v>2.0</v>
      </c>
      <c r="C48" s="9" t="s">
        <v>85</v>
      </c>
      <c r="D48" s="9" t="s">
        <v>85</v>
      </c>
      <c r="E48" s="9">
        <v>0.924198</v>
      </c>
      <c r="F48" s="9" t="s">
        <v>85</v>
      </c>
      <c r="G48" s="9" t="s">
        <v>85</v>
      </c>
      <c r="H48" s="9">
        <v>0.498542</v>
      </c>
      <c r="I48" s="9" t="s">
        <v>85</v>
      </c>
      <c r="J48" s="9" t="s">
        <v>85</v>
      </c>
      <c r="K48" s="9">
        <v>0.849368</v>
      </c>
      <c r="L48" s="9" t="s">
        <v>85</v>
      </c>
      <c r="M48" s="9" t="s">
        <v>85</v>
      </c>
      <c r="N48" s="9">
        <v>0.852284</v>
      </c>
      <c r="O48" s="9" t="s">
        <v>85</v>
      </c>
      <c r="P48" s="9" t="s">
        <v>85</v>
      </c>
      <c r="Q48" s="9">
        <v>0.923226</v>
      </c>
      <c r="R48" s="9" t="s">
        <v>85</v>
      </c>
      <c r="S48" s="9" t="s">
        <v>85</v>
      </c>
      <c r="T48" s="9">
        <v>0.924198</v>
      </c>
      <c r="U48" s="9" t="s">
        <v>85</v>
      </c>
      <c r="V48" s="9" t="s">
        <v>85</v>
      </c>
      <c r="W48" s="9">
        <v>0.940719</v>
      </c>
      <c r="X48" s="9" t="s">
        <v>85</v>
      </c>
      <c r="Y48" s="9" t="s">
        <v>85</v>
      </c>
      <c r="Z48" s="9">
        <v>0.949466</v>
      </c>
      <c r="AA48" s="10" t="s">
        <v>85</v>
      </c>
      <c r="AB48" s="10" t="s">
        <v>85</v>
      </c>
      <c r="AC48" s="9">
        <v>0.924198</v>
      </c>
      <c r="AD48" s="9" t="s">
        <v>85</v>
      </c>
      <c r="AE48" s="9" t="s">
        <v>85</v>
      </c>
      <c r="AF48" s="9">
        <v>0.926142</v>
      </c>
      <c r="AG48" s="9" t="s">
        <v>85</v>
      </c>
      <c r="AH48" s="9" t="s">
        <v>85</v>
      </c>
      <c r="AI48" s="9">
        <v>0.891156</v>
      </c>
      <c r="AJ48" s="9" t="s">
        <v>85</v>
      </c>
      <c r="AK48" s="9" t="s">
        <v>85</v>
      </c>
      <c r="AL48" s="9">
        <v>0.909621</v>
      </c>
      <c r="AM48" s="9" t="s">
        <v>85</v>
      </c>
      <c r="AN48" s="9" t="s">
        <v>85</v>
      </c>
      <c r="AO48" s="9">
        <v>0.931973</v>
      </c>
      <c r="AP48" s="9" t="s">
        <v>85</v>
      </c>
      <c r="AQ48" s="9" t="s">
        <v>85</v>
      </c>
      <c r="AR48" s="9">
        <v>0.927114</v>
      </c>
      <c r="AS48" s="9" t="s">
        <v>85</v>
      </c>
      <c r="AT48" s="9" t="s">
        <v>85</v>
      </c>
      <c r="AU48" s="9">
        <v>0.8931</v>
      </c>
      <c r="AV48" s="9" t="s">
        <v>85</v>
      </c>
      <c r="AW48" s="9" t="s">
        <v>85</v>
      </c>
      <c r="AX48" s="9">
        <v>0.90379</v>
      </c>
      <c r="AY48" s="9" t="s">
        <v>85</v>
      </c>
      <c r="AZ48" s="9" t="s">
        <v>85</v>
      </c>
      <c r="BA48" s="9">
        <v>0.889213</v>
      </c>
      <c r="BB48" s="10" t="s">
        <v>85</v>
      </c>
      <c r="BC48" s="10" t="s">
        <v>85</v>
      </c>
      <c r="BD48" s="9">
        <v>0.918367</v>
      </c>
      <c r="BE48" s="9" t="s">
        <v>85</v>
      </c>
      <c r="BF48" s="9" t="s">
        <v>85</v>
      </c>
      <c r="BG48" s="9">
        <v>0.969874</v>
      </c>
      <c r="BH48" s="6"/>
      <c r="BI48" s="6" t="str">
        <f t="shared" si="1"/>
        <v>De_One_Acc</v>
      </c>
      <c r="BJ48" s="6" t="str">
        <f t="shared" si="2"/>
        <v>8VB_One_Acc</v>
      </c>
      <c r="BK48" s="6" t="str">
        <f t="shared" si="3"/>
        <v>8V_One_Acc</v>
      </c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</row>
    <row r="49" ht="15.75" customHeight="1">
      <c r="A49" s="1" t="s">
        <v>143</v>
      </c>
      <c r="B49" s="17">
        <v>3.0</v>
      </c>
      <c r="C49" s="9" t="s">
        <v>85</v>
      </c>
      <c r="D49" s="9" t="s">
        <v>85</v>
      </c>
      <c r="E49" s="9">
        <v>0.709333</v>
      </c>
      <c r="F49" s="9" t="s">
        <v>85</v>
      </c>
      <c r="G49" s="9" t="s">
        <v>85</v>
      </c>
      <c r="H49" s="9">
        <v>0.333333</v>
      </c>
      <c r="I49" s="9" t="s">
        <v>85</v>
      </c>
      <c r="J49" s="9" t="s">
        <v>85</v>
      </c>
      <c r="K49" s="9">
        <v>0.592</v>
      </c>
      <c r="L49" s="9" t="s">
        <v>85</v>
      </c>
      <c r="M49" s="9" t="s">
        <v>85</v>
      </c>
      <c r="N49" s="9">
        <v>0.6</v>
      </c>
      <c r="O49" s="9" t="s">
        <v>85</v>
      </c>
      <c r="P49" s="9" t="s">
        <v>85</v>
      </c>
      <c r="Q49" s="9">
        <v>0.674667</v>
      </c>
      <c r="R49" s="9" t="s">
        <v>85</v>
      </c>
      <c r="S49" s="9" t="s">
        <v>85</v>
      </c>
      <c r="T49" s="9">
        <v>0.677333</v>
      </c>
      <c r="U49" s="9" t="s">
        <v>85</v>
      </c>
      <c r="V49" s="9" t="s">
        <v>85</v>
      </c>
      <c r="W49" s="9">
        <v>0.592</v>
      </c>
      <c r="X49" s="9" t="s">
        <v>85</v>
      </c>
      <c r="Y49" s="9" t="s">
        <v>85</v>
      </c>
      <c r="Z49" s="9">
        <v>0.613333</v>
      </c>
      <c r="AA49" s="10" t="s">
        <v>85</v>
      </c>
      <c r="AB49" s="10" t="s">
        <v>85</v>
      </c>
      <c r="AC49" s="9">
        <v>0.650667</v>
      </c>
      <c r="AD49" s="9" t="s">
        <v>85</v>
      </c>
      <c r="AE49" s="9" t="s">
        <v>85</v>
      </c>
      <c r="AF49" s="9">
        <v>0.666667</v>
      </c>
      <c r="AG49" s="9" t="s">
        <v>85</v>
      </c>
      <c r="AH49" s="9" t="s">
        <v>85</v>
      </c>
      <c r="AI49" s="9">
        <v>0.616</v>
      </c>
      <c r="AJ49" s="9" t="s">
        <v>85</v>
      </c>
      <c r="AK49" s="9" t="s">
        <v>85</v>
      </c>
      <c r="AL49" s="9">
        <v>0.616</v>
      </c>
      <c r="AM49" s="9" t="s">
        <v>85</v>
      </c>
      <c r="AN49" s="9" t="s">
        <v>85</v>
      </c>
      <c r="AO49" s="9">
        <v>0.685333</v>
      </c>
      <c r="AP49" s="9" t="s">
        <v>85</v>
      </c>
      <c r="AQ49" s="9" t="s">
        <v>85</v>
      </c>
      <c r="AR49" s="9">
        <v>0.685333</v>
      </c>
      <c r="AS49" s="9" t="s">
        <v>85</v>
      </c>
      <c r="AT49" s="9" t="s">
        <v>85</v>
      </c>
      <c r="AU49" s="9">
        <v>0.6</v>
      </c>
      <c r="AV49" s="9" t="s">
        <v>85</v>
      </c>
      <c r="AW49" s="9" t="s">
        <v>85</v>
      </c>
      <c r="AX49" s="9">
        <v>0.637333</v>
      </c>
      <c r="AY49" s="9" t="s">
        <v>85</v>
      </c>
      <c r="AZ49" s="9" t="s">
        <v>85</v>
      </c>
      <c r="BA49" s="9">
        <v>0.634667</v>
      </c>
      <c r="BB49" s="10" t="s">
        <v>85</v>
      </c>
      <c r="BC49" s="10" t="s">
        <v>85</v>
      </c>
      <c r="BD49" s="9">
        <v>0.642667</v>
      </c>
      <c r="BE49" s="9" t="s">
        <v>85</v>
      </c>
      <c r="BF49" s="9" t="s">
        <v>85</v>
      </c>
      <c r="BG49" s="9">
        <v>0.522667</v>
      </c>
      <c r="BH49" s="6"/>
      <c r="BI49" s="6" t="str">
        <f t="shared" si="1"/>
        <v>5B_One_Acc</v>
      </c>
      <c r="BJ49" s="6" t="str">
        <f t="shared" si="2"/>
        <v>12B_One_Acc</v>
      </c>
      <c r="BK49" s="6" t="str">
        <f t="shared" si="3"/>
        <v>12B_One_Acc</v>
      </c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</row>
    <row r="50" ht="15.75" customHeight="1">
      <c r="A50" s="1" t="s">
        <v>144</v>
      </c>
      <c r="B50" s="17">
        <v>2.0</v>
      </c>
      <c r="C50" s="9" t="s">
        <v>85</v>
      </c>
      <c r="D50" s="9" t="s">
        <v>85</v>
      </c>
      <c r="E50" s="9">
        <v>0.540984</v>
      </c>
      <c r="F50" s="9" t="s">
        <v>85</v>
      </c>
      <c r="G50" s="9" t="s">
        <v>85</v>
      </c>
      <c r="H50" s="9">
        <v>0.540984</v>
      </c>
      <c r="I50" s="9" t="s">
        <v>85</v>
      </c>
      <c r="J50" s="9" t="s">
        <v>85</v>
      </c>
      <c r="K50" s="9">
        <v>0.540984</v>
      </c>
      <c r="L50" s="9" t="s">
        <v>85</v>
      </c>
      <c r="M50" s="9" t="s">
        <v>85</v>
      </c>
      <c r="N50" s="9">
        <v>0.540984</v>
      </c>
      <c r="O50" s="9" t="s">
        <v>85</v>
      </c>
      <c r="P50" s="9" t="s">
        <v>85</v>
      </c>
      <c r="Q50" s="9">
        <v>0.540984</v>
      </c>
      <c r="R50" s="9" t="s">
        <v>85</v>
      </c>
      <c r="S50" s="9" t="s">
        <v>85</v>
      </c>
      <c r="T50" s="9">
        <v>0.540984</v>
      </c>
      <c r="U50" s="9" t="s">
        <v>85</v>
      </c>
      <c r="V50" s="9" t="s">
        <v>85</v>
      </c>
      <c r="W50" s="9">
        <v>0.540984</v>
      </c>
      <c r="X50" s="9" t="s">
        <v>85</v>
      </c>
      <c r="Y50" s="9" t="s">
        <v>85</v>
      </c>
      <c r="Z50" s="9">
        <v>0.540984</v>
      </c>
      <c r="AA50" s="10" t="s">
        <v>85</v>
      </c>
      <c r="AB50" s="10" t="s">
        <v>85</v>
      </c>
      <c r="AC50" s="9">
        <v>0.540984</v>
      </c>
      <c r="AD50" s="9" t="s">
        <v>85</v>
      </c>
      <c r="AE50" s="9" t="s">
        <v>85</v>
      </c>
      <c r="AF50" s="9">
        <v>0.540984</v>
      </c>
      <c r="AG50" s="9" t="s">
        <v>85</v>
      </c>
      <c r="AH50" s="9" t="s">
        <v>85</v>
      </c>
      <c r="AI50" s="9">
        <v>0.540984</v>
      </c>
      <c r="AJ50" s="9" t="s">
        <v>85</v>
      </c>
      <c r="AK50" s="9" t="s">
        <v>85</v>
      </c>
      <c r="AL50" s="9">
        <v>0.540984</v>
      </c>
      <c r="AM50" s="9" t="s">
        <v>85</v>
      </c>
      <c r="AN50" s="9" t="s">
        <v>85</v>
      </c>
      <c r="AO50" s="9">
        <v>0.540984</v>
      </c>
      <c r="AP50" s="9" t="s">
        <v>85</v>
      </c>
      <c r="AQ50" s="9" t="s">
        <v>85</v>
      </c>
      <c r="AR50" s="9">
        <v>0.540984</v>
      </c>
      <c r="AS50" s="9" t="s">
        <v>85</v>
      </c>
      <c r="AT50" s="9" t="s">
        <v>85</v>
      </c>
      <c r="AU50" s="9">
        <v>0.540984</v>
      </c>
      <c r="AV50" s="9" t="s">
        <v>85</v>
      </c>
      <c r="AW50" s="9" t="s">
        <v>85</v>
      </c>
      <c r="AX50" s="9">
        <v>0.540984</v>
      </c>
      <c r="AY50" s="9" t="s">
        <v>85</v>
      </c>
      <c r="AZ50" s="9" t="s">
        <v>85</v>
      </c>
      <c r="BA50" s="9">
        <v>0.540984</v>
      </c>
      <c r="BB50" s="10" t="s">
        <v>85</v>
      </c>
      <c r="BC50" s="10" t="s">
        <v>85</v>
      </c>
      <c r="BD50" s="9">
        <v>0.540984</v>
      </c>
      <c r="BE50" s="9" t="s">
        <v>85</v>
      </c>
      <c r="BF50" s="9" t="s">
        <v>85</v>
      </c>
      <c r="BG50" s="9">
        <v>0.540984</v>
      </c>
      <c r="BH50" s="6"/>
      <c r="BI50" s="6" t="str">
        <f t="shared" si="1"/>
        <v>5B_One_Acc</v>
      </c>
      <c r="BJ50" s="6" t="str">
        <f t="shared" si="2"/>
        <v>5B_One_Acc</v>
      </c>
      <c r="BK50" s="6" t="str">
        <f t="shared" si="3"/>
        <v>5B_One_Acc</v>
      </c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</row>
    <row r="51" ht="15.75" customHeight="1">
      <c r="A51" s="1" t="s">
        <v>145</v>
      </c>
      <c r="B51" s="17">
        <v>7.0</v>
      </c>
      <c r="C51" s="9" t="s">
        <v>85</v>
      </c>
      <c r="D51" s="9" t="s">
        <v>85</v>
      </c>
      <c r="E51" s="9">
        <v>0.60274</v>
      </c>
      <c r="F51" s="9" t="s">
        <v>85</v>
      </c>
      <c r="G51" s="9" t="s">
        <v>85</v>
      </c>
      <c r="H51" s="9">
        <v>0.260274</v>
      </c>
      <c r="I51" s="9" t="s">
        <v>85</v>
      </c>
      <c r="J51" s="9" t="s">
        <v>85</v>
      </c>
      <c r="K51" s="9">
        <v>0.589041</v>
      </c>
      <c r="L51" s="9" t="s">
        <v>85</v>
      </c>
      <c r="M51" s="9" t="s">
        <v>85</v>
      </c>
      <c r="N51" s="9">
        <v>0.630137</v>
      </c>
      <c r="O51" s="9" t="s">
        <v>85</v>
      </c>
      <c r="P51" s="9" t="s">
        <v>85</v>
      </c>
      <c r="Q51" s="9">
        <v>0.630137</v>
      </c>
      <c r="R51" s="9" t="s">
        <v>85</v>
      </c>
      <c r="S51" s="9" t="s">
        <v>85</v>
      </c>
      <c r="T51" s="9">
        <v>0.643836</v>
      </c>
      <c r="U51" s="9" t="s">
        <v>85</v>
      </c>
      <c r="V51" s="9" t="s">
        <v>85</v>
      </c>
      <c r="W51" s="9">
        <v>0.69863</v>
      </c>
      <c r="X51" s="9" t="s">
        <v>85</v>
      </c>
      <c r="Y51" s="9" t="s">
        <v>85</v>
      </c>
      <c r="Z51" s="9">
        <v>0.589041</v>
      </c>
      <c r="AA51" s="10" t="s">
        <v>85</v>
      </c>
      <c r="AB51" s="10" t="s">
        <v>85</v>
      </c>
      <c r="AC51" s="9">
        <v>0.589041</v>
      </c>
      <c r="AD51" s="9" t="s">
        <v>85</v>
      </c>
      <c r="AE51" s="9" t="s">
        <v>85</v>
      </c>
      <c r="AF51" s="9">
        <v>0.60274</v>
      </c>
      <c r="AG51" s="9" t="s">
        <v>85</v>
      </c>
      <c r="AH51" s="9" t="s">
        <v>85</v>
      </c>
      <c r="AI51" s="9">
        <v>0.643836</v>
      </c>
      <c r="AJ51" s="9" t="s">
        <v>85</v>
      </c>
      <c r="AK51" s="9" t="s">
        <v>85</v>
      </c>
      <c r="AL51" s="9">
        <v>0.630137</v>
      </c>
      <c r="AM51" s="9" t="s">
        <v>85</v>
      </c>
      <c r="AN51" s="9" t="s">
        <v>85</v>
      </c>
      <c r="AO51" s="9">
        <v>0.630137</v>
      </c>
      <c r="AP51" s="9" t="s">
        <v>85</v>
      </c>
      <c r="AQ51" s="9" t="s">
        <v>85</v>
      </c>
      <c r="AR51" s="9">
        <v>0.589041</v>
      </c>
      <c r="AS51" s="9" t="s">
        <v>85</v>
      </c>
      <c r="AT51" s="9" t="s">
        <v>85</v>
      </c>
      <c r="AU51" s="9">
        <v>0.657534</v>
      </c>
      <c r="AV51" s="9" t="s">
        <v>85</v>
      </c>
      <c r="AW51" s="9" t="s">
        <v>85</v>
      </c>
      <c r="AX51" s="9">
        <v>0.616438</v>
      </c>
      <c r="AY51" s="9" t="s">
        <v>85</v>
      </c>
      <c r="AZ51" s="9" t="s">
        <v>85</v>
      </c>
      <c r="BA51" s="9">
        <v>0.589041</v>
      </c>
      <c r="BB51" s="10" t="s">
        <v>85</v>
      </c>
      <c r="BC51" s="10" t="s">
        <v>85</v>
      </c>
      <c r="BD51" s="9">
        <v>0.630137</v>
      </c>
      <c r="BE51" s="9" t="s">
        <v>85</v>
      </c>
      <c r="BF51" s="9" t="s">
        <v>85</v>
      </c>
      <c r="BG51" s="9">
        <v>0.616438</v>
      </c>
      <c r="BH51" s="6"/>
      <c r="BI51" s="6" t="str">
        <f t="shared" si="1"/>
        <v>8V_One_Acc</v>
      </c>
      <c r="BJ51" s="6" t="str">
        <f t="shared" si="2"/>
        <v>12V_One_Acc</v>
      </c>
      <c r="BK51" s="6" t="str">
        <f t="shared" si="3"/>
        <v>8BN_One_Acc</v>
      </c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</row>
    <row r="52" ht="15.75" customHeight="1">
      <c r="A52" s="1" t="s">
        <v>146</v>
      </c>
      <c r="B52" s="17">
        <v>8.0</v>
      </c>
      <c r="C52" s="9" t="s">
        <v>85</v>
      </c>
      <c r="D52" s="9" t="s">
        <v>85</v>
      </c>
      <c r="E52" s="9">
        <v>0.672921</v>
      </c>
      <c r="F52" s="9" t="s">
        <v>85</v>
      </c>
      <c r="G52" s="9" t="s">
        <v>85</v>
      </c>
      <c r="H52" s="9">
        <v>0.123241</v>
      </c>
      <c r="I52" s="9" t="s">
        <v>85</v>
      </c>
      <c r="J52" s="9" t="s">
        <v>85</v>
      </c>
      <c r="K52" s="9">
        <v>0.742004</v>
      </c>
      <c r="L52" s="9" t="s">
        <v>85</v>
      </c>
      <c r="M52" s="9" t="s">
        <v>85</v>
      </c>
      <c r="N52" s="9">
        <v>0.673774</v>
      </c>
      <c r="O52" s="9" t="s">
        <v>85</v>
      </c>
      <c r="P52" s="9" t="s">
        <v>85</v>
      </c>
      <c r="Q52" s="9">
        <v>0.61791</v>
      </c>
      <c r="R52" s="9" t="s">
        <v>85</v>
      </c>
      <c r="S52" s="9" t="s">
        <v>85</v>
      </c>
      <c r="T52" s="9">
        <v>0.732623</v>
      </c>
      <c r="U52" s="9" t="s">
        <v>85</v>
      </c>
      <c r="V52" s="9" t="s">
        <v>85</v>
      </c>
      <c r="W52" s="9">
        <v>0.502772</v>
      </c>
      <c r="X52" s="9" t="s">
        <v>85</v>
      </c>
      <c r="Y52" s="9" t="s">
        <v>85</v>
      </c>
      <c r="Z52" s="9">
        <v>0.438806</v>
      </c>
      <c r="AA52" s="10" t="s">
        <v>85</v>
      </c>
      <c r="AB52" s="10" t="s">
        <v>85</v>
      </c>
      <c r="AC52" s="9">
        <v>0.710021</v>
      </c>
      <c r="AD52" s="9" t="s">
        <v>85</v>
      </c>
      <c r="AE52" s="9" t="s">
        <v>85</v>
      </c>
      <c r="AF52" s="9">
        <v>0.696802</v>
      </c>
      <c r="AG52" s="9" t="s">
        <v>85</v>
      </c>
      <c r="AH52" s="9" t="s">
        <v>85</v>
      </c>
      <c r="AI52" s="9">
        <v>0.580384</v>
      </c>
      <c r="AJ52" s="9" t="s">
        <v>85</v>
      </c>
      <c r="AK52" s="9" t="s">
        <v>85</v>
      </c>
      <c r="AL52" s="9">
        <v>0.486567</v>
      </c>
      <c r="AM52" s="9" t="s">
        <v>85</v>
      </c>
      <c r="AN52" s="9" t="s">
        <v>85</v>
      </c>
      <c r="AO52" s="9">
        <v>0.696802</v>
      </c>
      <c r="AP52" s="9" t="s">
        <v>85</v>
      </c>
      <c r="AQ52" s="9" t="s">
        <v>85</v>
      </c>
      <c r="AR52" s="9">
        <v>0.731343</v>
      </c>
      <c r="AS52" s="9" t="s">
        <v>85</v>
      </c>
      <c r="AT52" s="9" t="s">
        <v>85</v>
      </c>
      <c r="AU52" s="9">
        <v>0.55565</v>
      </c>
      <c r="AV52" s="9" t="s">
        <v>85</v>
      </c>
      <c r="AW52" s="9" t="s">
        <v>85</v>
      </c>
      <c r="AX52" s="9">
        <v>0.373987</v>
      </c>
      <c r="AY52" s="9" t="s">
        <v>85</v>
      </c>
      <c r="AZ52" s="9" t="s">
        <v>85</v>
      </c>
      <c r="BA52" s="9">
        <v>0.736034</v>
      </c>
      <c r="BB52" s="10" t="s">
        <v>85</v>
      </c>
      <c r="BC52" s="10" t="s">
        <v>85</v>
      </c>
      <c r="BD52" s="9">
        <v>0.499787</v>
      </c>
      <c r="BE52" s="9" t="s">
        <v>85</v>
      </c>
      <c r="BF52" s="9" t="s">
        <v>85</v>
      </c>
      <c r="BG52" s="9">
        <v>0.448188</v>
      </c>
      <c r="BH52" s="6"/>
      <c r="BI52" s="6" t="str">
        <f t="shared" si="1"/>
        <v>5V_One_Acc</v>
      </c>
      <c r="BJ52" s="6" t="str">
        <f t="shared" si="2"/>
        <v>20B_One_Acc</v>
      </c>
      <c r="BK52" s="6" t="str">
        <f t="shared" si="3"/>
        <v>8BN_One_Acc</v>
      </c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</row>
    <row r="53" ht="15.75" customHeight="1">
      <c r="A53" s="1" t="s">
        <v>147</v>
      </c>
      <c r="B53" s="17">
        <v>3.0</v>
      </c>
      <c r="C53" s="9" t="s">
        <v>85</v>
      </c>
      <c r="D53" s="9" t="s">
        <v>85</v>
      </c>
      <c r="E53" s="9">
        <v>0.95</v>
      </c>
      <c r="F53" s="9" t="s">
        <v>85</v>
      </c>
      <c r="G53" s="9" t="s">
        <v>85</v>
      </c>
      <c r="H53" s="9">
        <v>0.316667</v>
      </c>
      <c r="I53" s="9" t="s">
        <v>85</v>
      </c>
      <c r="J53" s="9" t="s">
        <v>85</v>
      </c>
      <c r="K53" s="9">
        <v>0.566667</v>
      </c>
      <c r="L53" s="9" t="s">
        <v>85</v>
      </c>
      <c r="M53" s="9" t="s">
        <v>85</v>
      </c>
      <c r="N53" s="9">
        <v>0.633333</v>
      </c>
      <c r="O53" s="9" t="s">
        <v>85</v>
      </c>
      <c r="P53" s="9" t="s">
        <v>85</v>
      </c>
      <c r="Q53" s="9">
        <v>0.916667</v>
      </c>
      <c r="R53" s="9" t="s">
        <v>85</v>
      </c>
      <c r="S53" s="9" t="s">
        <v>85</v>
      </c>
      <c r="T53" s="9">
        <v>0.916667</v>
      </c>
      <c r="U53" s="9" t="s">
        <v>85</v>
      </c>
      <c r="V53" s="9" t="s">
        <v>85</v>
      </c>
      <c r="W53" s="9">
        <v>0.6</v>
      </c>
      <c r="X53" s="9" t="s">
        <v>85</v>
      </c>
      <c r="Y53" s="9" t="s">
        <v>85</v>
      </c>
      <c r="Z53" s="9">
        <v>0.566667</v>
      </c>
      <c r="AA53" s="10" t="s">
        <v>85</v>
      </c>
      <c r="AB53" s="10" t="s">
        <v>85</v>
      </c>
      <c r="AC53" s="9">
        <v>0.95</v>
      </c>
      <c r="AD53" s="9" t="s">
        <v>85</v>
      </c>
      <c r="AE53" s="9" t="s">
        <v>85</v>
      </c>
      <c r="AF53" s="9">
        <v>0.9</v>
      </c>
      <c r="AG53" s="9" t="s">
        <v>85</v>
      </c>
      <c r="AH53" s="9" t="s">
        <v>85</v>
      </c>
      <c r="AI53" s="9">
        <v>0.75</v>
      </c>
      <c r="AJ53" s="9" t="s">
        <v>85</v>
      </c>
      <c r="AK53" s="9" t="s">
        <v>85</v>
      </c>
      <c r="AL53" s="9">
        <v>0.883333</v>
      </c>
      <c r="AM53" s="9" t="s">
        <v>85</v>
      </c>
      <c r="AN53" s="9" t="s">
        <v>85</v>
      </c>
      <c r="AO53" s="9">
        <v>0.933333</v>
      </c>
      <c r="AP53" s="9" t="s">
        <v>85</v>
      </c>
      <c r="AQ53" s="9" t="s">
        <v>85</v>
      </c>
      <c r="AR53" s="9">
        <v>0.65</v>
      </c>
      <c r="AS53" s="9" t="s">
        <v>85</v>
      </c>
      <c r="AT53" s="9" t="s">
        <v>85</v>
      </c>
      <c r="AU53" s="9">
        <v>0.55</v>
      </c>
      <c r="AV53" s="9" t="s">
        <v>85</v>
      </c>
      <c r="AW53" s="9" t="s">
        <v>85</v>
      </c>
      <c r="AX53" s="9">
        <v>0.416667</v>
      </c>
      <c r="AY53" s="9" t="s">
        <v>85</v>
      </c>
      <c r="AZ53" s="9" t="s">
        <v>85</v>
      </c>
      <c r="BA53" s="9">
        <v>0.933333</v>
      </c>
      <c r="BB53" s="10" t="s">
        <v>85</v>
      </c>
      <c r="BC53" s="10" t="s">
        <v>85</v>
      </c>
      <c r="BD53" s="9">
        <v>0.55</v>
      </c>
      <c r="BE53" s="9" t="s">
        <v>85</v>
      </c>
      <c r="BF53" s="9" t="s">
        <v>85</v>
      </c>
      <c r="BG53" s="9">
        <v>0.666667</v>
      </c>
      <c r="BH53" s="6"/>
      <c r="BI53" s="6" t="str">
        <f t="shared" si="1"/>
        <v>5B_One_Acc</v>
      </c>
      <c r="BJ53" s="6" t="str">
        <f t="shared" si="2"/>
        <v>5B_One_Acc</v>
      </c>
      <c r="BK53" s="6" t="str">
        <f t="shared" si="3"/>
        <v>12B_One_Acc</v>
      </c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</row>
    <row r="54" ht="15.75" customHeight="1">
      <c r="A54" s="1" t="s">
        <v>148</v>
      </c>
      <c r="B54" s="17">
        <v>10.0</v>
      </c>
      <c r="C54" s="9" t="s">
        <v>85</v>
      </c>
      <c r="D54" s="9" t="s">
        <v>85</v>
      </c>
      <c r="E54" s="9">
        <v>0.526316</v>
      </c>
      <c r="F54" s="9" t="s">
        <v>85</v>
      </c>
      <c r="G54" s="9" t="s">
        <v>85</v>
      </c>
      <c r="H54" s="9">
        <v>0.514474</v>
      </c>
      <c r="I54" s="9" t="s">
        <v>85</v>
      </c>
      <c r="J54" s="9" t="s">
        <v>85</v>
      </c>
      <c r="K54" s="9">
        <v>0.572368</v>
      </c>
      <c r="L54" s="9" t="s">
        <v>85</v>
      </c>
      <c r="M54" s="9" t="s">
        <v>85</v>
      </c>
      <c r="N54" s="9">
        <v>0.610526</v>
      </c>
      <c r="O54" s="9" t="s">
        <v>85</v>
      </c>
      <c r="P54" s="9" t="s">
        <v>85</v>
      </c>
      <c r="Q54" s="9">
        <v>0.596053</v>
      </c>
      <c r="R54" s="9" t="s">
        <v>85</v>
      </c>
      <c r="S54" s="9" t="s">
        <v>85</v>
      </c>
      <c r="T54" s="9">
        <v>0.546053</v>
      </c>
      <c r="U54" s="9" t="s">
        <v>85</v>
      </c>
      <c r="V54" s="9" t="s">
        <v>85</v>
      </c>
      <c r="W54" s="9">
        <v>0.586842</v>
      </c>
      <c r="X54" s="9" t="s">
        <v>85</v>
      </c>
      <c r="Y54" s="9" t="s">
        <v>85</v>
      </c>
      <c r="Z54" s="9">
        <v>0.586842</v>
      </c>
      <c r="AA54" s="10" t="s">
        <v>85</v>
      </c>
      <c r="AB54" s="10" t="s">
        <v>85</v>
      </c>
      <c r="AC54" s="9">
        <v>0.573684</v>
      </c>
      <c r="AD54" s="9" t="s">
        <v>85</v>
      </c>
      <c r="AE54" s="9" t="s">
        <v>85</v>
      </c>
      <c r="AF54" s="9">
        <v>0.586842</v>
      </c>
      <c r="AG54" s="9" t="s">
        <v>85</v>
      </c>
      <c r="AH54" s="9" t="s">
        <v>85</v>
      </c>
      <c r="AI54" s="9">
        <v>0.564474</v>
      </c>
      <c r="AJ54" s="9" t="s">
        <v>85</v>
      </c>
      <c r="AK54" s="9" t="s">
        <v>85</v>
      </c>
      <c r="AL54" s="9">
        <v>0.555263</v>
      </c>
      <c r="AM54" s="9" t="s">
        <v>85</v>
      </c>
      <c r="AN54" s="9" t="s">
        <v>85</v>
      </c>
      <c r="AO54" s="9">
        <v>0.584211</v>
      </c>
      <c r="AP54" s="9" t="s">
        <v>85</v>
      </c>
      <c r="AQ54" s="9" t="s">
        <v>85</v>
      </c>
      <c r="AR54" s="9">
        <v>0.610526</v>
      </c>
      <c r="AS54" s="9" t="s">
        <v>85</v>
      </c>
      <c r="AT54" s="9" t="s">
        <v>85</v>
      </c>
      <c r="AU54" s="9">
        <v>0.607895</v>
      </c>
      <c r="AV54" s="9" t="s">
        <v>85</v>
      </c>
      <c r="AW54" s="9" t="s">
        <v>85</v>
      </c>
      <c r="AX54" s="9">
        <v>0.617105</v>
      </c>
      <c r="AY54" s="9" t="s">
        <v>85</v>
      </c>
      <c r="AZ54" s="9" t="s">
        <v>85</v>
      </c>
      <c r="BA54" s="9">
        <v>0.607895</v>
      </c>
      <c r="BB54" s="10" t="s">
        <v>85</v>
      </c>
      <c r="BC54" s="10" t="s">
        <v>85</v>
      </c>
      <c r="BD54" s="9">
        <v>0.597368</v>
      </c>
      <c r="BE54" s="9" t="s">
        <v>85</v>
      </c>
      <c r="BF54" s="9" t="s">
        <v>85</v>
      </c>
      <c r="BG54" s="9">
        <v>0.560526</v>
      </c>
      <c r="BH54" s="6"/>
      <c r="BI54" s="6" t="str">
        <f t="shared" si="1"/>
        <v>12VB_One_Acc</v>
      </c>
      <c r="BJ54" s="6" t="str">
        <f t="shared" si="2"/>
        <v>5VB_One_Acc</v>
      </c>
      <c r="BK54" s="6" t="str">
        <f t="shared" si="3"/>
        <v>5VB_One_Acc</v>
      </c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</row>
    <row r="55" ht="15.75" customHeight="1">
      <c r="A55" s="1" t="s">
        <v>149</v>
      </c>
      <c r="B55" s="17">
        <v>3.0</v>
      </c>
      <c r="C55" s="9" t="s">
        <v>85</v>
      </c>
      <c r="D55" s="9" t="s">
        <v>85</v>
      </c>
      <c r="E55" s="9">
        <v>0.519481</v>
      </c>
      <c r="F55" s="9" t="s">
        <v>85</v>
      </c>
      <c r="G55" s="9" t="s">
        <v>85</v>
      </c>
      <c r="H55" s="9">
        <v>0.188312</v>
      </c>
      <c r="I55" s="9" t="s">
        <v>85</v>
      </c>
      <c r="J55" s="9" t="s">
        <v>85</v>
      </c>
      <c r="K55" s="9">
        <v>0.506494</v>
      </c>
      <c r="L55" s="9" t="s">
        <v>85</v>
      </c>
      <c r="M55" s="9" t="s">
        <v>85</v>
      </c>
      <c r="N55" s="9">
        <v>0.506494</v>
      </c>
      <c r="O55" s="9" t="s">
        <v>85</v>
      </c>
      <c r="P55" s="9" t="s">
        <v>85</v>
      </c>
      <c r="Q55" s="9">
        <v>0.571429</v>
      </c>
      <c r="R55" s="9" t="s">
        <v>85</v>
      </c>
      <c r="S55" s="9" t="s">
        <v>85</v>
      </c>
      <c r="T55" s="9">
        <v>0.512987</v>
      </c>
      <c r="U55" s="9" t="s">
        <v>85</v>
      </c>
      <c r="V55" s="9" t="s">
        <v>85</v>
      </c>
      <c r="W55" s="9">
        <v>0.564935</v>
      </c>
      <c r="X55" s="9" t="s">
        <v>85</v>
      </c>
      <c r="Y55" s="9" t="s">
        <v>85</v>
      </c>
      <c r="Z55" s="9">
        <v>0.577922</v>
      </c>
      <c r="AA55" s="10" t="s">
        <v>85</v>
      </c>
      <c r="AB55" s="10" t="s">
        <v>85</v>
      </c>
      <c r="AC55" s="9">
        <v>0.597403</v>
      </c>
      <c r="AD55" s="9" t="s">
        <v>85</v>
      </c>
      <c r="AE55" s="9" t="s">
        <v>85</v>
      </c>
      <c r="AF55" s="9">
        <v>0.564935</v>
      </c>
      <c r="AG55" s="9" t="s">
        <v>85</v>
      </c>
      <c r="AH55" s="9" t="s">
        <v>85</v>
      </c>
      <c r="AI55" s="9">
        <v>0.564935</v>
      </c>
      <c r="AJ55" s="9" t="s">
        <v>85</v>
      </c>
      <c r="AK55" s="9" t="s">
        <v>85</v>
      </c>
      <c r="AL55" s="9">
        <v>0.558442</v>
      </c>
      <c r="AM55" s="9" t="s">
        <v>85</v>
      </c>
      <c r="AN55" s="9" t="s">
        <v>85</v>
      </c>
      <c r="AO55" s="9">
        <v>0.616883</v>
      </c>
      <c r="AP55" s="9" t="s">
        <v>85</v>
      </c>
      <c r="AQ55" s="9" t="s">
        <v>85</v>
      </c>
      <c r="AR55" s="9">
        <v>0.603896</v>
      </c>
      <c r="AS55" s="9" t="s">
        <v>85</v>
      </c>
      <c r="AT55" s="9" t="s">
        <v>85</v>
      </c>
      <c r="AU55" s="9">
        <v>0.577922</v>
      </c>
      <c r="AV55" s="9" t="s">
        <v>85</v>
      </c>
      <c r="AW55" s="9" t="s">
        <v>85</v>
      </c>
      <c r="AX55" s="9">
        <v>0.577922</v>
      </c>
      <c r="AY55" s="9" t="s">
        <v>85</v>
      </c>
      <c r="AZ55" s="9" t="s">
        <v>85</v>
      </c>
      <c r="BA55" s="9">
        <v>0.62987</v>
      </c>
      <c r="BB55" s="10" t="s">
        <v>85</v>
      </c>
      <c r="BC55" s="10" t="s">
        <v>85</v>
      </c>
      <c r="BD55" s="9">
        <v>0.564935</v>
      </c>
      <c r="BE55" s="9" t="s">
        <v>85</v>
      </c>
      <c r="BF55" s="9" t="s">
        <v>85</v>
      </c>
      <c r="BG55" s="9">
        <v>0.616883</v>
      </c>
      <c r="BH55" s="6"/>
      <c r="BI55" s="6" t="str">
        <f t="shared" si="1"/>
        <v>20B_One_Acc</v>
      </c>
      <c r="BJ55" s="6" t="str">
        <f t="shared" si="2"/>
        <v>12B_One_Acc</v>
      </c>
      <c r="BK55" s="6" t="str">
        <f t="shared" si="3"/>
        <v>12B_One_Acc</v>
      </c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</row>
    <row r="56" ht="15.75" customHeight="1">
      <c r="A56" s="1" t="s">
        <v>150</v>
      </c>
      <c r="B56" s="17">
        <v>2.0</v>
      </c>
      <c r="C56" s="9" t="s">
        <v>85</v>
      </c>
      <c r="D56" s="9" t="s">
        <v>85</v>
      </c>
      <c r="E56" s="9">
        <v>0.666667</v>
      </c>
      <c r="F56" s="9" t="s">
        <v>85</v>
      </c>
      <c r="G56" s="9" t="s">
        <v>85</v>
      </c>
      <c r="H56" s="9">
        <v>0.570447</v>
      </c>
      <c r="I56" s="9" t="s">
        <v>85</v>
      </c>
      <c r="J56" s="9" t="s">
        <v>85</v>
      </c>
      <c r="K56" s="9">
        <v>0.790378</v>
      </c>
      <c r="L56" s="9" t="s">
        <v>85</v>
      </c>
      <c r="M56" s="9" t="s">
        <v>85</v>
      </c>
      <c r="N56" s="9">
        <v>0.75945</v>
      </c>
      <c r="O56" s="9" t="s">
        <v>85</v>
      </c>
      <c r="P56" s="9" t="s">
        <v>85</v>
      </c>
      <c r="Q56" s="9">
        <v>0.762887</v>
      </c>
      <c r="R56" s="9" t="s">
        <v>85</v>
      </c>
      <c r="S56" s="9" t="s">
        <v>85</v>
      </c>
      <c r="T56" s="9">
        <v>0.718213</v>
      </c>
      <c r="U56" s="9" t="s">
        <v>85</v>
      </c>
      <c r="V56" s="9" t="s">
        <v>85</v>
      </c>
      <c r="W56" s="9">
        <v>0.766323</v>
      </c>
      <c r="X56" s="9" t="s">
        <v>85</v>
      </c>
      <c r="Y56" s="9" t="s">
        <v>85</v>
      </c>
      <c r="Z56" s="9">
        <v>0.766323</v>
      </c>
      <c r="AA56" s="10" t="s">
        <v>85</v>
      </c>
      <c r="AB56" s="10" t="s">
        <v>85</v>
      </c>
      <c r="AC56" s="9">
        <v>0.725086</v>
      </c>
      <c r="AD56" s="9" t="s">
        <v>85</v>
      </c>
      <c r="AE56" s="9" t="s">
        <v>85</v>
      </c>
      <c r="AF56" s="9">
        <v>0.728522</v>
      </c>
      <c r="AG56" s="9" t="s">
        <v>85</v>
      </c>
      <c r="AH56" s="9" t="s">
        <v>85</v>
      </c>
      <c r="AI56" s="9">
        <v>0.800687</v>
      </c>
      <c r="AJ56" s="9" t="s">
        <v>85</v>
      </c>
      <c r="AK56" s="9" t="s">
        <v>85</v>
      </c>
      <c r="AL56" s="9">
        <v>0.570447</v>
      </c>
      <c r="AM56" s="9" t="s">
        <v>85</v>
      </c>
      <c r="AN56" s="9" t="s">
        <v>85</v>
      </c>
      <c r="AO56" s="9">
        <v>0.71134</v>
      </c>
      <c r="AP56" s="9" t="s">
        <v>85</v>
      </c>
      <c r="AQ56" s="9" t="s">
        <v>85</v>
      </c>
      <c r="AR56" s="9">
        <v>0.728522</v>
      </c>
      <c r="AS56" s="9" t="s">
        <v>85</v>
      </c>
      <c r="AT56" s="9" t="s">
        <v>85</v>
      </c>
      <c r="AU56" s="9">
        <v>0.800687</v>
      </c>
      <c r="AV56" s="9" t="s">
        <v>85</v>
      </c>
      <c r="AW56" s="9" t="s">
        <v>85</v>
      </c>
      <c r="AX56" s="9">
        <v>0.790378</v>
      </c>
      <c r="AY56" s="9" t="s">
        <v>85</v>
      </c>
      <c r="AZ56" s="9" t="s">
        <v>85</v>
      </c>
      <c r="BA56" s="9">
        <v>0.683849</v>
      </c>
      <c r="BB56" s="10" t="s">
        <v>85</v>
      </c>
      <c r="BC56" s="10" t="s">
        <v>85</v>
      </c>
      <c r="BD56" s="9">
        <v>0.817869</v>
      </c>
      <c r="BE56" s="9" t="s">
        <v>85</v>
      </c>
      <c r="BF56" s="9" t="s">
        <v>85</v>
      </c>
      <c r="BG56" s="9">
        <v>0.790378</v>
      </c>
      <c r="BH56" s="6"/>
      <c r="BI56" s="6" t="str">
        <f t="shared" si="1"/>
        <v>20V_One_Acc</v>
      </c>
      <c r="BJ56" s="6" t="str">
        <f t="shared" si="2"/>
        <v>10V_One_Acc</v>
      </c>
      <c r="BK56" s="6" t="str">
        <f t="shared" si="3"/>
        <v>10V_One_Acc</v>
      </c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</row>
    <row r="57" ht="15.75" customHeight="1">
      <c r="A57" s="1" t="s">
        <v>151</v>
      </c>
      <c r="B57" s="17">
        <v>6.0</v>
      </c>
      <c r="C57" s="9" t="s">
        <v>85</v>
      </c>
      <c r="D57" s="9" t="s">
        <v>85</v>
      </c>
      <c r="E57" s="9">
        <v>0.525974</v>
      </c>
      <c r="F57" s="9" t="s">
        <v>85</v>
      </c>
      <c r="G57" s="9" t="s">
        <v>85</v>
      </c>
      <c r="H57" s="9">
        <v>0.272727</v>
      </c>
      <c r="I57" s="9" t="s">
        <v>85</v>
      </c>
      <c r="J57" s="9" t="s">
        <v>85</v>
      </c>
      <c r="K57" s="9">
        <v>0.590909</v>
      </c>
      <c r="L57" s="9" t="s">
        <v>85</v>
      </c>
      <c r="M57" s="9" t="s">
        <v>85</v>
      </c>
      <c r="N57" s="9">
        <v>0.558442</v>
      </c>
      <c r="O57" s="9" t="s">
        <v>85</v>
      </c>
      <c r="P57" s="9" t="s">
        <v>85</v>
      </c>
      <c r="Q57" s="9">
        <v>0.545455</v>
      </c>
      <c r="R57" s="9" t="s">
        <v>85</v>
      </c>
      <c r="S57" s="9" t="s">
        <v>85</v>
      </c>
      <c r="T57" s="9">
        <v>0.474026</v>
      </c>
      <c r="U57" s="9" t="s">
        <v>85</v>
      </c>
      <c r="V57" s="9" t="s">
        <v>85</v>
      </c>
      <c r="W57" s="9">
        <v>0.558442</v>
      </c>
      <c r="X57" s="9" t="s">
        <v>85</v>
      </c>
      <c r="Y57" s="9" t="s">
        <v>85</v>
      </c>
      <c r="Z57" s="9">
        <v>0.558442</v>
      </c>
      <c r="AA57" s="10" t="s">
        <v>85</v>
      </c>
      <c r="AB57" s="10" t="s">
        <v>85</v>
      </c>
      <c r="AC57" s="9">
        <v>0.506494</v>
      </c>
      <c r="AD57" s="9" t="s">
        <v>85</v>
      </c>
      <c r="AE57" s="9" t="s">
        <v>85</v>
      </c>
      <c r="AF57" s="9">
        <v>0.519481</v>
      </c>
      <c r="AG57" s="9" t="s">
        <v>85</v>
      </c>
      <c r="AH57" s="9" t="s">
        <v>85</v>
      </c>
      <c r="AI57" s="9">
        <v>0.571429</v>
      </c>
      <c r="AJ57" s="9" t="s">
        <v>85</v>
      </c>
      <c r="AK57" s="9" t="s">
        <v>85</v>
      </c>
      <c r="AL57" s="9">
        <v>0.558442</v>
      </c>
      <c r="AM57" s="9" t="s">
        <v>85</v>
      </c>
      <c r="AN57" s="9" t="s">
        <v>85</v>
      </c>
      <c r="AO57" s="9">
        <v>0.506494</v>
      </c>
      <c r="AP57" s="9" t="s">
        <v>85</v>
      </c>
      <c r="AQ57" s="9" t="s">
        <v>85</v>
      </c>
      <c r="AR57" s="9">
        <v>0.590909</v>
      </c>
      <c r="AS57" s="9" t="s">
        <v>85</v>
      </c>
      <c r="AT57" s="9" t="s">
        <v>85</v>
      </c>
      <c r="AU57" s="9">
        <v>0.558442</v>
      </c>
      <c r="AV57" s="9" t="s">
        <v>85</v>
      </c>
      <c r="AW57" s="9" t="s">
        <v>85</v>
      </c>
      <c r="AX57" s="9">
        <v>0.558442</v>
      </c>
      <c r="AY57" s="9" t="s">
        <v>85</v>
      </c>
      <c r="AZ57" s="9" t="s">
        <v>85</v>
      </c>
      <c r="BA57" s="9">
        <v>0.538961</v>
      </c>
      <c r="BB57" s="10" t="s">
        <v>85</v>
      </c>
      <c r="BC57" s="10" t="s">
        <v>85</v>
      </c>
      <c r="BD57" s="9">
        <v>0.558442</v>
      </c>
      <c r="BE57" s="9" t="s">
        <v>85</v>
      </c>
      <c r="BF57" s="9" t="s">
        <v>85</v>
      </c>
      <c r="BG57" s="9">
        <v>0.558442</v>
      </c>
      <c r="BH57" s="6"/>
      <c r="BI57" s="6" t="str">
        <f t="shared" si="1"/>
        <v>5V_One_Acc</v>
      </c>
      <c r="BJ57" s="6" t="str">
        <f t="shared" si="2"/>
        <v>5V_One_Acc</v>
      </c>
      <c r="BK57" s="6" t="str">
        <f t="shared" si="3"/>
        <v>10V_One_Acc</v>
      </c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</row>
    <row r="58" ht="15.75" customHeight="1">
      <c r="A58" s="1" t="s">
        <v>152</v>
      </c>
      <c r="B58" s="17">
        <v>5.0</v>
      </c>
      <c r="C58" s="9" t="s">
        <v>85</v>
      </c>
      <c r="D58" s="9" t="s">
        <v>85</v>
      </c>
      <c r="E58" s="9">
        <v>0.822268</v>
      </c>
      <c r="F58" s="9" t="s">
        <v>85</v>
      </c>
      <c r="G58" s="9" t="s">
        <v>85</v>
      </c>
      <c r="H58" s="9">
        <v>0.188866</v>
      </c>
      <c r="I58" s="9" t="s">
        <v>85</v>
      </c>
      <c r="J58" s="9" t="s">
        <v>85</v>
      </c>
      <c r="K58" s="9">
        <v>0.858969</v>
      </c>
      <c r="L58" s="9" t="s">
        <v>85</v>
      </c>
      <c r="M58" s="9" t="s">
        <v>85</v>
      </c>
      <c r="N58" s="9">
        <v>0.854021</v>
      </c>
      <c r="O58" s="9" t="s">
        <v>85</v>
      </c>
      <c r="P58" s="9" t="s">
        <v>85</v>
      </c>
      <c r="Q58" s="9">
        <v>0.863505</v>
      </c>
      <c r="R58" s="9" t="s">
        <v>85</v>
      </c>
      <c r="S58" s="9" t="s">
        <v>85</v>
      </c>
      <c r="T58" s="9">
        <v>0.85732</v>
      </c>
      <c r="U58" s="9" t="s">
        <v>85</v>
      </c>
      <c r="V58" s="9" t="s">
        <v>85</v>
      </c>
      <c r="W58" s="9">
        <v>0.875052</v>
      </c>
      <c r="X58" s="9" t="s">
        <v>85</v>
      </c>
      <c r="Y58" s="9" t="s">
        <v>85</v>
      </c>
      <c r="Z58" s="9">
        <v>0.86268</v>
      </c>
      <c r="AA58" s="10" t="s">
        <v>85</v>
      </c>
      <c r="AB58" s="10" t="s">
        <v>85</v>
      </c>
      <c r="AC58" s="9">
        <v>0.863505</v>
      </c>
      <c r="AD58" s="9" t="s">
        <v>85</v>
      </c>
      <c r="AE58" s="9" t="s">
        <v>85</v>
      </c>
      <c r="AF58" s="9">
        <v>0.861031</v>
      </c>
      <c r="AG58" s="9" t="s">
        <v>85</v>
      </c>
      <c r="AH58" s="9" t="s">
        <v>85</v>
      </c>
      <c r="AI58" s="9">
        <v>0.852371</v>
      </c>
      <c r="AJ58" s="9" t="s">
        <v>85</v>
      </c>
      <c r="AK58" s="9" t="s">
        <v>85</v>
      </c>
      <c r="AL58" s="9">
        <v>0.870103</v>
      </c>
      <c r="AM58" s="9" t="s">
        <v>85</v>
      </c>
      <c r="AN58" s="9" t="s">
        <v>85</v>
      </c>
      <c r="AO58" s="9">
        <v>0.863093</v>
      </c>
      <c r="AP58" s="9" t="s">
        <v>85</v>
      </c>
      <c r="AQ58" s="9" t="s">
        <v>85</v>
      </c>
      <c r="AR58" s="9">
        <v>0.862268</v>
      </c>
      <c r="AS58" s="9" t="s">
        <v>85</v>
      </c>
      <c r="AT58" s="9" t="s">
        <v>85</v>
      </c>
      <c r="AU58" s="9">
        <v>0.863918</v>
      </c>
      <c r="AV58" s="9" t="s">
        <v>85</v>
      </c>
      <c r="AW58" s="9" t="s">
        <v>85</v>
      </c>
      <c r="AX58" s="9">
        <v>0.872577</v>
      </c>
      <c r="AY58" s="9" t="s">
        <v>85</v>
      </c>
      <c r="AZ58" s="9" t="s">
        <v>85</v>
      </c>
      <c r="BA58" s="9">
        <v>0.819381</v>
      </c>
      <c r="BB58" s="10" t="s">
        <v>85</v>
      </c>
      <c r="BC58" s="10" t="s">
        <v>85</v>
      </c>
      <c r="BD58" s="9">
        <v>0.890722</v>
      </c>
      <c r="BE58" s="9" t="s">
        <v>85</v>
      </c>
      <c r="BF58" s="9" t="s">
        <v>85</v>
      </c>
      <c r="BG58" s="9">
        <v>0.814021</v>
      </c>
      <c r="BH58" s="6"/>
      <c r="BI58" s="6" t="str">
        <f t="shared" si="1"/>
        <v>20V_One_Acc</v>
      </c>
      <c r="BJ58" s="6" t="str">
        <f t="shared" si="2"/>
        <v>8V_One_Acc</v>
      </c>
      <c r="BK58" s="6" t="str">
        <f t="shared" si="3"/>
        <v>12VB_One_Acc</v>
      </c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</row>
    <row r="59" ht="15.75" customHeight="1">
      <c r="A59" s="1" t="s">
        <v>153</v>
      </c>
      <c r="B59" s="17">
        <v>5.0</v>
      </c>
      <c r="C59" s="9" t="s">
        <v>85</v>
      </c>
      <c r="D59" s="9" t="s">
        <v>85</v>
      </c>
      <c r="E59" s="9">
        <v>0.766186</v>
      </c>
      <c r="F59" s="9" t="s">
        <v>85</v>
      </c>
      <c r="G59" s="9" t="s">
        <v>85</v>
      </c>
      <c r="H59" s="9">
        <v>0.172371</v>
      </c>
      <c r="I59" s="9" t="s">
        <v>85</v>
      </c>
      <c r="J59" s="9" t="s">
        <v>85</v>
      </c>
      <c r="K59" s="9">
        <v>0.794227</v>
      </c>
      <c r="L59" s="9" t="s">
        <v>85</v>
      </c>
      <c r="M59" s="9" t="s">
        <v>85</v>
      </c>
      <c r="N59" s="9">
        <v>0.797938</v>
      </c>
      <c r="O59" s="9" t="s">
        <v>85</v>
      </c>
      <c r="P59" s="9" t="s">
        <v>85</v>
      </c>
      <c r="Q59" s="9">
        <v>0.814433</v>
      </c>
      <c r="R59" s="9" t="s">
        <v>85</v>
      </c>
      <c r="S59" s="9" t="s">
        <v>85</v>
      </c>
      <c r="T59" s="9">
        <v>0.803299</v>
      </c>
      <c r="U59" s="9" t="s">
        <v>85</v>
      </c>
      <c r="V59" s="9" t="s">
        <v>85</v>
      </c>
      <c r="W59" s="9">
        <v>0.814845</v>
      </c>
      <c r="X59" s="9" t="s">
        <v>85</v>
      </c>
      <c r="Y59" s="9" t="s">
        <v>85</v>
      </c>
      <c r="Z59" s="9">
        <v>0.795876</v>
      </c>
      <c r="AA59" s="10" t="s">
        <v>85</v>
      </c>
      <c r="AB59" s="10" t="s">
        <v>85</v>
      </c>
      <c r="AC59" s="9">
        <v>0.785567</v>
      </c>
      <c r="AD59" s="9" t="s">
        <v>85</v>
      </c>
      <c r="AE59" s="9" t="s">
        <v>85</v>
      </c>
      <c r="AF59" s="9">
        <v>0.806186</v>
      </c>
      <c r="AG59" s="9" t="s">
        <v>85</v>
      </c>
      <c r="AH59" s="9" t="s">
        <v>85</v>
      </c>
      <c r="AI59" s="9">
        <v>0.732371</v>
      </c>
      <c r="AJ59" s="9" t="s">
        <v>85</v>
      </c>
      <c r="AK59" s="9" t="s">
        <v>85</v>
      </c>
      <c r="AL59" s="9">
        <v>0.849897</v>
      </c>
      <c r="AM59" s="9" t="s">
        <v>85</v>
      </c>
      <c r="AN59" s="9" t="s">
        <v>85</v>
      </c>
      <c r="AO59" s="9">
        <v>0.804948</v>
      </c>
      <c r="AP59" s="9" t="s">
        <v>85</v>
      </c>
      <c r="AQ59" s="9" t="s">
        <v>85</v>
      </c>
      <c r="AR59" s="9">
        <v>0.813608</v>
      </c>
      <c r="AS59" s="9" t="s">
        <v>85</v>
      </c>
      <c r="AT59" s="9" t="s">
        <v>85</v>
      </c>
      <c r="AU59" s="9">
        <v>0.798351</v>
      </c>
      <c r="AV59" s="9" t="s">
        <v>85</v>
      </c>
      <c r="AW59" s="9" t="s">
        <v>85</v>
      </c>
      <c r="AX59" s="9">
        <v>0.835052</v>
      </c>
      <c r="AY59" s="9" t="s">
        <v>85</v>
      </c>
      <c r="AZ59" s="9" t="s">
        <v>85</v>
      </c>
      <c r="BA59" s="9">
        <v>0.816082</v>
      </c>
      <c r="BB59" s="10" t="s">
        <v>85</v>
      </c>
      <c r="BC59" s="10" t="s">
        <v>85</v>
      </c>
      <c r="BD59" s="9">
        <v>0.840825</v>
      </c>
      <c r="BE59" s="9" t="s">
        <v>85</v>
      </c>
      <c r="BF59" s="9" t="s">
        <v>85</v>
      </c>
      <c r="BG59" s="9">
        <v>0.719175</v>
      </c>
      <c r="BH59" s="6"/>
      <c r="BI59" s="6" t="str">
        <f t="shared" si="1"/>
        <v>10VB_One_Acc</v>
      </c>
      <c r="BJ59" s="6" t="str">
        <f t="shared" si="2"/>
        <v>20V_One_Acc</v>
      </c>
      <c r="BK59" s="6" t="str">
        <f t="shared" si="3"/>
        <v>12VB_One_Acc</v>
      </c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</row>
    <row r="60" ht="15.75" customHeight="1">
      <c r="A60" s="1" t="s">
        <v>154</v>
      </c>
      <c r="B60" s="17">
        <v>2.0</v>
      </c>
      <c r="C60" s="9" t="s">
        <v>85</v>
      </c>
      <c r="D60" s="9" t="s">
        <v>85</v>
      </c>
      <c r="E60" s="9">
        <v>0.789936</v>
      </c>
      <c r="F60" s="9" t="s">
        <v>85</v>
      </c>
      <c r="G60" s="9" t="s">
        <v>85</v>
      </c>
      <c r="H60" s="9">
        <v>0.539137</v>
      </c>
      <c r="I60" s="9" t="s">
        <v>85</v>
      </c>
      <c r="J60" s="9" t="s">
        <v>85</v>
      </c>
      <c r="K60" s="9">
        <v>0.841054</v>
      </c>
      <c r="L60" s="9" t="s">
        <v>85</v>
      </c>
      <c r="M60" s="9" t="s">
        <v>85</v>
      </c>
      <c r="N60" s="9">
        <v>0.828275</v>
      </c>
      <c r="O60" s="9" t="s">
        <v>85</v>
      </c>
      <c r="P60" s="9" t="s">
        <v>85</v>
      </c>
      <c r="Q60" s="9">
        <v>0.698083</v>
      </c>
      <c r="R60" s="9" t="s">
        <v>85</v>
      </c>
      <c r="S60" s="9" t="s">
        <v>85</v>
      </c>
      <c r="T60" s="9">
        <v>0.770767</v>
      </c>
      <c r="U60" s="9" t="s">
        <v>85</v>
      </c>
      <c r="V60" s="9" t="s">
        <v>85</v>
      </c>
      <c r="W60" s="9">
        <v>0.833067</v>
      </c>
      <c r="X60" s="9" t="s">
        <v>85</v>
      </c>
      <c r="Y60" s="9" t="s">
        <v>85</v>
      </c>
      <c r="Z60" s="9">
        <v>0.802716</v>
      </c>
      <c r="AA60" s="10" t="s">
        <v>85</v>
      </c>
      <c r="AB60" s="10" t="s">
        <v>85</v>
      </c>
      <c r="AC60" s="9">
        <v>0.759585</v>
      </c>
      <c r="AD60" s="9" t="s">
        <v>85</v>
      </c>
      <c r="AE60" s="9" t="s">
        <v>85</v>
      </c>
      <c r="AF60" s="9">
        <v>0.741214</v>
      </c>
      <c r="AG60" s="9" t="s">
        <v>85</v>
      </c>
      <c r="AH60" s="9" t="s">
        <v>85</v>
      </c>
      <c r="AI60" s="9">
        <v>0.829872</v>
      </c>
      <c r="AJ60" s="9" t="s">
        <v>85</v>
      </c>
      <c r="AK60" s="9" t="s">
        <v>85</v>
      </c>
      <c r="AL60" s="9">
        <v>0.83147</v>
      </c>
      <c r="AM60" s="9" t="s">
        <v>85</v>
      </c>
      <c r="AN60" s="9" t="s">
        <v>85</v>
      </c>
      <c r="AO60" s="9">
        <v>0.798722</v>
      </c>
      <c r="AP60" s="9" t="s">
        <v>85</v>
      </c>
      <c r="AQ60" s="9" t="s">
        <v>85</v>
      </c>
      <c r="AR60" s="9">
        <v>0.783546</v>
      </c>
      <c r="AS60" s="9" t="s">
        <v>85</v>
      </c>
      <c r="AT60" s="9" t="s">
        <v>85</v>
      </c>
      <c r="AU60" s="9">
        <v>0.826677</v>
      </c>
      <c r="AV60" s="9" t="s">
        <v>85</v>
      </c>
      <c r="AW60" s="9" t="s">
        <v>85</v>
      </c>
      <c r="AX60" s="9">
        <v>0.826677</v>
      </c>
      <c r="AY60" s="9" t="s">
        <v>85</v>
      </c>
      <c r="AZ60" s="9" t="s">
        <v>85</v>
      </c>
      <c r="BA60" s="9">
        <v>0.724441</v>
      </c>
      <c r="BB60" s="10" t="s">
        <v>85</v>
      </c>
      <c r="BC60" s="10" t="s">
        <v>85</v>
      </c>
      <c r="BD60" s="9">
        <v>0.807508</v>
      </c>
      <c r="BE60" s="9" t="s">
        <v>85</v>
      </c>
      <c r="BF60" s="9" t="s">
        <v>85</v>
      </c>
      <c r="BG60" s="9">
        <v>0.859425</v>
      </c>
      <c r="BH60" s="6"/>
      <c r="BI60" s="6" t="str">
        <f t="shared" si="1"/>
        <v>De_One_Acc</v>
      </c>
      <c r="BJ60" s="6" t="str">
        <f t="shared" si="2"/>
        <v>5V_One_Acc</v>
      </c>
      <c r="BK60" s="6" t="str">
        <f t="shared" si="3"/>
        <v>8V_One_Acc</v>
      </c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</row>
    <row r="61" ht="15.75" customHeight="1">
      <c r="A61" s="1" t="s">
        <v>155</v>
      </c>
      <c r="B61" s="17">
        <v>4.0</v>
      </c>
      <c r="C61" s="9" t="s">
        <v>85</v>
      </c>
      <c r="D61" s="9" t="s">
        <v>85</v>
      </c>
      <c r="E61" s="9">
        <v>0.4</v>
      </c>
      <c r="F61" s="9" t="s">
        <v>85</v>
      </c>
      <c r="G61" s="9" t="s">
        <v>85</v>
      </c>
      <c r="H61" s="9">
        <v>0.4</v>
      </c>
      <c r="I61" s="9" t="s">
        <v>85</v>
      </c>
      <c r="J61" s="9" t="s">
        <v>85</v>
      </c>
      <c r="K61" s="9">
        <v>0.4</v>
      </c>
      <c r="L61" s="9" t="s">
        <v>85</v>
      </c>
      <c r="M61" s="9" t="s">
        <v>85</v>
      </c>
      <c r="N61" s="9">
        <v>0.4</v>
      </c>
      <c r="O61" s="9" t="s">
        <v>85</v>
      </c>
      <c r="P61" s="9" t="s">
        <v>85</v>
      </c>
      <c r="Q61" s="9">
        <v>0.4</v>
      </c>
      <c r="R61" s="9" t="s">
        <v>85</v>
      </c>
      <c r="S61" s="9" t="s">
        <v>85</v>
      </c>
      <c r="T61" s="9">
        <v>0.4</v>
      </c>
      <c r="U61" s="9" t="s">
        <v>85</v>
      </c>
      <c r="V61" s="9" t="s">
        <v>85</v>
      </c>
      <c r="W61" s="9">
        <v>0.4</v>
      </c>
      <c r="X61" s="9" t="s">
        <v>85</v>
      </c>
      <c r="Y61" s="9" t="s">
        <v>85</v>
      </c>
      <c r="Z61" s="9">
        <v>0.4</v>
      </c>
      <c r="AA61" s="10" t="s">
        <v>85</v>
      </c>
      <c r="AB61" s="10" t="s">
        <v>85</v>
      </c>
      <c r="AC61" s="9">
        <v>0.4</v>
      </c>
      <c r="AD61" s="9" t="s">
        <v>85</v>
      </c>
      <c r="AE61" s="9" t="s">
        <v>85</v>
      </c>
      <c r="AF61" s="9">
        <v>0.4</v>
      </c>
      <c r="AG61" s="9" t="s">
        <v>85</v>
      </c>
      <c r="AH61" s="9" t="s">
        <v>85</v>
      </c>
      <c r="AI61" s="9">
        <v>0.4</v>
      </c>
      <c r="AJ61" s="9" t="s">
        <v>85</v>
      </c>
      <c r="AK61" s="9" t="s">
        <v>85</v>
      </c>
      <c r="AL61" s="9">
        <v>0.4</v>
      </c>
      <c r="AM61" s="9" t="s">
        <v>85</v>
      </c>
      <c r="AN61" s="9" t="s">
        <v>85</v>
      </c>
      <c r="AO61" s="9">
        <v>0.4</v>
      </c>
      <c r="AP61" s="9" t="s">
        <v>85</v>
      </c>
      <c r="AQ61" s="9" t="s">
        <v>85</v>
      </c>
      <c r="AR61" s="9">
        <v>0.5</v>
      </c>
      <c r="AS61" s="9" t="s">
        <v>85</v>
      </c>
      <c r="AT61" s="9" t="s">
        <v>85</v>
      </c>
      <c r="AU61" s="9">
        <v>0.3</v>
      </c>
      <c r="AV61" s="9" t="s">
        <v>85</v>
      </c>
      <c r="AW61" s="9" t="s">
        <v>85</v>
      </c>
      <c r="AX61" s="9">
        <v>0.4</v>
      </c>
      <c r="AY61" s="9" t="s">
        <v>85</v>
      </c>
      <c r="AZ61" s="9" t="s">
        <v>85</v>
      </c>
      <c r="BA61" s="9">
        <v>0.4</v>
      </c>
      <c r="BB61" s="10" t="s">
        <v>85</v>
      </c>
      <c r="BC61" s="10" t="s">
        <v>85</v>
      </c>
      <c r="BD61" s="9">
        <v>0.4</v>
      </c>
      <c r="BE61" s="9" t="s">
        <v>85</v>
      </c>
      <c r="BF61" s="9" t="s">
        <v>85</v>
      </c>
      <c r="BG61" s="9">
        <v>0.4</v>
      </c>
      <c r="BH61" s="6"/>
      <c r="BI61" s="6" t="str">
        <f t="shared" si="1"/>
        <v>12BN_One_Acc</v>
      </c>
      <c r="BJ61" s="6" t="str">
        <f t="shared" si="2"/>
        <v>5B_One_Acc</v>
      </c>
      <c r="BK61" s="6" t="str">
        <f t="shared" si="3"/>
        <v>5B_One_Acc</v>
      </c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</row>
    <row r="62" ht="15.75" customHeight="1">
      <c r="A62" s="1" t="s">
        <v>156</v>
      </c>
      <c r="B62" s="17">
        <v>6.0</v>
      </c>
      <c r="C62" s="9" t="s">
        <v>85</v>
      </c>
      <c r="D62" s="9" t="s">
        <v>85</v>
      </c>
      <c r="E62" s="9">
        <v>0.421488</v>
      </c>
      <c r="F62" s="9" t="s">
        <v>85</v>
      </c>
      <c r="G62" s="9" t="s">
        <v>85</v>
      </c>
      <c r="H62" s="9">
        <v>0.181818</v>
      </c>
      <c r="I62" s="9" t="s">
        <v>85</v>
      </c>
      <c r="J62" s="9" t="s">
        <v>85</v>
      </c>
      <c r="K62" s="9">
        <v>0.450413</v>
      </c>
      <c r="L62" s="9" t="s">
        <v>85</v>
      </c>
      <c r="M62" s="9" t="s">
        <v>85</v>
      </c>
      <c r="N62" s="9">
        <v>0.409091</v>
      </c>
      <c r="O62" s="9" t="s">
        <v>85</v>
      </c>
      <c r="P62" s="9" t="s">
        <v>85</v>
      </c>
      <c r="Q62" s="9">
        <v>0.404959</v>
      </c>
      <c r="R62" s="9" t="s">
        <v>85</v>
      </c>
      <c r="S62" s="9" t="s">
        <v>85</v>
      </c>
      <c r="T62" s="9">
        <v>0.404959</v>
      </c>
      <c r="U62" s="9" t="s">
        <v>85</v>
      </c>
      <c r="V62" s="9" t="s">
        <v>85</v>
      </c>
      <c r="W62" s="9">
        <v>0.46281</v>
      </c>
      <c r="X62" s="9" t="s">
        <v>85</v>
      </c>
      <c r="Y62" s="9" t="s">
        <v>85</v>
      </c>
      <c r="Z62" s="9">
        <v>0.454545</v>
      </c>
      <c r="AA62" s="10" t="s">
        <v>85</v>
      </c>
      <c r="AB62" s="10" t="s">
        <v>85</v>
      </c>
      <c r="AC62" s="9">
        <v>0.495868</v>
      </c>
      <c r="AD62" s="9" t="s">
        <v>85</v>
      </c>
      <c r="AE62" s="9" t="s">
        <v>85</v>
      </c>
      <c r="AF62" s="9">
        <v>0.487603</v>
      </c>
      <c r="AG62" s="9" t="s">
        <v>85</v>
      </c>
      <c r="AH62" s="9" t="s">
        <v>85</v>
      </c>
      <c r="AI62" s="9">
        <v>0.5</v>
      </c>
      <c r="AJ62" s="9" t="s">
        <v>85</v>
      </c>
      <c r="AK62" s="9" t="s">
        <v>85</v>
      </c>
      <c r="AL62" s="9">
        <v>0.454545</v>
      </c>
      <c r="AM62" s="9" t="s">
        <v>85</v>
      </c>
      <c r="AN62" s="9" t="s">
        <v>85</v>
      </c>
      <c r="AO62" s="9">
        <v>0.508264</v>
      </c>
      <c r="AP62" s="9" t="s">
        <v>85</v>
      </c>
      <c r="AQ62" s="9" t="s">
        <v>85</v>
      </c>
      <c r="AR62" s="9">
        <v>0.5</v>
      </c>
      <c r="AS62" s="9" t="s">
        <v>85</v>
      </c>
      <c r="AT62" s="9" t="s">
        <v>85</v>
      </c>
      <c r="AU62" s="9">
        <v>0.479339</v>
      </c>
      <c r="AV62" s="9" t="s">
        <v>85</v>
      </c>
      <c r="AW62" s="9" t="s">
        <v>85</v>
      </c>
      <c r="AX62" s="9">
        <v>0.479339</v>
      </c>
      <c r="AY62" s="9" t="s">
        <v>85</v>
      </c>
      <c r="AZ62" s="9" t="s">
        <v>85</v>
      </c>
      <c r="BA62" s="9">
        <v>0.479339</v>
      </c>
      <c r="BB62" s="10" t="s">
        <v>85</v>
      </c>
      <c r="BC62" s="10" t="s">
        <v>85</v>
      </c>
      <c r="BD62" s="9">
        <v>0.495868</v>
      </c>
      <c r="BE62" s="9" t="s">
        <v>85</v>
      </c>
      <c r="BF62" s="9" t="s">
        <v>85</v>
      </c>
      <c r="BG62" s="9">
        <v>0.347107</v>
      </c>
      <c r="BH62" s="6"/>
      <c r="BI62" s="6" t="str">
        <f t="shared" si="1"/>
        <v>12B_One_Acc</v>
      </c>
      <c r="BJ62" s="6" t="str">
        <f t="shared" si="2"/>
        <v>10V_One_Acc</v>
      </c>
      <c r="BK62" s="6" t="str">
        <f t="shared" si="3"/>
        <v>10V_One_Acc</v>
      </c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</row>
    <row r="63" ht="15.75" customHeight="1">
      <c r="A63" s="1" t="s">
        <v>157</v>
      </c>
      <c r="B63" s="17">
        <v>2.0</v>
      </c>
      <c r="C63" s="9" t="s">
        <v>85</v>
      </c>
      <c r="D63" s="9" t="s">
        <v>85</v>
      </c>
      <c r="E63" s="9">
        <v>0.744755</v>
      </c>
      <c r="F63" s="9" t="s">
        <v>85</v>
      </c>
      <c r="G63" s="9" t="s">
        <v>85</v>
      </c>
      <c r="H63" s="9">
        <v>0.613054</v>
      </c>
      <c r="I63" s="9" t="s">
        <v>85</v>
      </c>
      <c r="J63" s="9" t="s">
        <v>85</v>
      </c>
      <c r="K63" s="9">
        <v>0.791375</v>
      </c>
      <c r="L63" s="9" t="s">
        <v>85</v>
      </c>
      <c r="M63" s="9" t="s">
        <v>85</v>
      </c>
      <c r="N63" s="9">
        <v>0.749417</v>
      </c>
      <c r="O63" s="9" t="s">
        <v>85</v>
      </c>
      <c r="P63" s="9" t="s">
        <v>85</v>
      </c>
      <c r="Q63" s="9">
        <v>0.731935</v>
      </c>
      <c r="R63" s="9" t="s">
        <v>85</v>
      </c>
      <c r="S63" s="9" t="s">
        <v>85</v>
      </c>
      <c r="T63" s="9">
        <v>0.713287</v>
      </c>
      <c r="U63" s="9" t="s">
        <v>85</v>
      </c>
      <c r="V63" s="9" t="s">
        <v>85</v>
      </c>
      <c r="W63" s="9">
        <v>0.763403</v>
      </c>
      <c r="X63" s="9" t="s">
        <v>85</v>
      </c>
      <c r="Y63" s="9" t="s">
        <v>85</v>
      </c>
      <c r="Z63" s="9">
        <v>0.758741</v>
      </c>
      <c r="AA63" s="10" t="s">
        <v>85</v>
      </c>
      <c r="AB63" s="10" t="s">
        <v>85</v>
      </c>
      <c r="AC63" s="9">
        <v>0.740093</v>
      </c>
      <c r="AD63" s="9" t="s">
        <v>85</v>
      </c>
      <c r="AE63" s="9" t="s">
        <v>85</v>
      </c>
      <c r="AF63" s="9">
        <v>0.761072</v>
      </c>
      <c r="AG63" s="9" t="s">
        <v>85</v>
      </c>
      <c r="AH63" s="9" t="s">
        <v>85</v>
      </c>
      <c r="AI63" s="9">
        <v>0.754079</v>
      </c>
      <c r="AJ63" s="9" t="s">
        <v>85</v>
      </c>
      <c r="AK63" s="9" t="s">
        <v>85</v>
      </c>
      <c r="AL63" s="9">
        <v>0.772727</v>
      </c>
      <c r="AM63" s="9" t="s">
        <v>85</v>
      </c>
      <c r="AN63" s="9" t="s">
        <v>85</v>
      </c>
      <c r="AO63" s="9">
        <v>0.750583</v>
      </c>
      <c r="AP63" s="9" t="s">
        <v>85</v>
      </c>
      <c r="AQ63" s="9" t="s">
        <v>85</v>
      </c>
      <c r="AR63" s="9">
        <v>0.729604</v>
      </c>
      <c r="AS63" s="9" t="s">
        <v>85</v>
      </c>
      <c r="AT63" s="9" t="s">
        <v>85</v>
      </c>
      <c r="AU63" s="9">
        <v>0.789044</v>
      </c>
      <c r="AV63" s="9" t="s">
        <v>85</v>
      </c>
      <c r="AW63" s="9" t="s">
        <v>85</v>
      </c>
      <c r="AX63" s="9">
        <v>0.765734</v>
      </c>
      <c r="AY63" s="9" t="s">
        <v>85</v>
      </c>
      <c r="AZ63" s="9" t="s">
        <v>85</v>
      </c>
      <c r="BA63" s="9">
        <v>0.75641</v>
      </c>
      <c r="BB63" s="10" t="s">
        <v>85</v>
      </c>
      <c r="BC63" s="10" t="s">
        <v>85</v>
      </c>
      <c r="BD63" s="9">
        <v>0.763403</v>
      </c>
      <c r="BE63" s="9" t="s">
        <v>85</v>
      </c>
      <c r="BF63" s="9" t="s">
        <v>85</v>
      </c>
      <c r="BG63" s="9">
        <v>0.666667</v>
      </c>
      <c r="BH63" s="6"/>
      <c r="BI63" s="6" t="str">
        <f t="shared" si="1"/>
        <v>5V_One_Acc</v>
      </c>
      <c r="BJ63" s="6" t="str">
        <f t="shared" si="2"/>
        <v>12V_One_Acc</v>
      </c>
      <c r="BK63" s="6" t="str">
        <f t="shared" si="3"/>
        <v>10VB_One_Acc</v>
      </c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</row>
    <row r="64" ht="15.75" customHeight="1">
      <c r="A64" s="1" t="s">
        <v>158</v>
      </c>
      <c r="B64" s="17">
        <v>39.0</v>
      </c>
      <c r="C64" s="9" t="s">
        <v>85</v>
      </c>
      <c r="D64" s="9" t="s">
        <v>85</v>
      </c>
      <c r="E64" s="9">
        <v>0.141878</v>
      </c>
      <c r="F64" s="9" t="s">
        <v>85</v>
      </c>
      <c r="G64" s="9" t="s">
        <v>85</v>
      </c>
      <c r="H64" s="9">
        <v>0.068565</v>
      </c>
      <c r="I64" s="9" t="s">
        <v>85</v>
      </c>
      <c r="J64" s="9" t="s">
        <v>85</v>
      </c>
      <c r="K64" s="9">
        <v>0.160338</v>
      </c>
      <c r="L64" s="9" t="s">
        <v>85</v>
      </c>
      <c r="M64" s="9" t="s">
        <v>85</v>
      </c>
      <c r="N64" s="9">
        <v>0.1577</v>
      </c>
      <c r="O64" s="9" t="s">
        <v>85</v>
      </c>
      <c r="P64" s="9" t="s">
        <v>85</v>
      </c>
      <c r="Q64" s="9">
        <v>0.144515</v>
      </c>
      <c r="R64" s="9" t="s">
        <v>85</v>
      </c>
      <c r="S64" s="9" t="s">
        <v>85</v>
      </c>
      <c r="T64" s="9">
        <v>0.159283</v>
      </c>
      <c r="U64" s="9" t="s">
        <v>85</v>
      </c>
      <c r="V64" s="9" t="s">
        <v>85</v>
      </c>
      <c r="W64" s="9">
        <v>0.165084</v>
      </c>
      <c r="X64" s="9" t="s">
        <v>85</v>
      </c>
      <c r="Y64" s="9" t="s">
        <v>85</v>
      </c>
      <c r="Z64" s="9">
        <v>0.145042</v>
      </c>
      <c r="AA64" s="10" t="s">
        <v>85</v>
      </c>
      <c r="AB64" s="10" t="s">
        <v>85</v>
      </c>
      <c r="AC64" s="9">
        <v>0.144515</v>
      </c>
      <c r="AD64" s="9" t="s">
        <v>85</v>
      </c>
      <c r="AE64" s="9" t="s">
        <v>85</v>
      </c>
      <c r="AF64" s="9">
        <v>0.142405</v>
      </c>
      <c r="AG64" s="9" t="s">
        <v>85</v>
      </c>
      <c r="AH64" s="9" t="s">
        <v>85</v>
      </c>
      <c r="AI64" s="9">
        <v>0.159283</v>
      </c>
      <c r="AJ64" s="9" t="s">
        <v>85</v>
      </c>
      <c r="AK64" s="9" t="s">
        <v>85</v>
      </c>
      <c r="AL64" s="9">
        <v>0.112869</v>
      </c>
      <c r="AM64" s="9" t="s">
        <v>85</v>
      </c>
      <c r="AN64" s="9" t="s">
        <v>85</v>
      </c>
      <c r="AO64" s="9">
        <v>0.151899</v>
      </c>
      <c r="AP64" s="9" t="s">
        <v>85</v>
      </c>
      <c r="AQ64" s="9" t="s">
        <v>85</v>
      </c>
      <c r="AR64" s="9">
        <v>0.158755</v>
      </c>
      <c r="AS64" s="9" t="s">
        <v>85</v>
      </c>
      <c r="AT64" s="9" t="s">
        <v>85</v>
      </c>
      <c r="AU64" s="9">
        <v>0.150844</v>
      </c>
      <c r="AV64" s="9" t="s">
        <v>85</v>
      </c>
      <c r="AW64" s="9" t="s">
        <v>85</v>
      </c>
      <c r="AX64" s="9">
        <v>0.162447</v>
      </c>
      <c r="AY64" s="9" t="s">
        <v>85</v>
      </c>
      <c r="AZ64" s="9" t="s">
        <v>85</v>
      </c>
      <c r="BA64" s="9">
        <v>0.112869</v>
      </c>
      <c r="BB64" s="10" t="s">
        <v>85</v>
      </c>
      <c r="BC64" s="10" t="s">
        <v>85</v>
      </c>
      <c r="BD64" s="9">
        <v>0.112869</v>
      </c>
      <c r="BE64" s="9" t="s">
        <v>85</v>
      </c>
      <c r="BF64" s="9" t="s">
        <v>85</v>
      </c>
      <c r="BG64" s="9">
        <v>0.112869</v>
      </c>
      <c r="BH64" s="6"/>
      <c r="BI64" s="6" t="str">
        <f t="shared" si="1"/>
        <v>8V_One_Acc</v>
      </c>
      <c r="BJ64" s="6" t="str">
        <f t="shared" si="2"/>
        <v>12VB_One_Acc</v>
      </c>
      <c r="BK64" s="6" t="str">
        <f t="shared" si="3"/>
        <v>5V_One_Acc</v>
      </c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</row>
    <row r="65" ht="15.75" customHeight="1">
      <c r="A65" s="1" t="s">
        <v>159</v>
      </c>
      <c r="B65" s="17">
        <v>52.0</v>
      </c>
      <c r="C65" s="9" t="s">
        <v>85</v>
      </c>
      <c r="D65" s="9" t="s">
        <v>85</v>
      </c>
      <c r="E65" s="9">
        <v>0.125</v>
      </c>
      <c r="F65" s="9" t="s">
        <v>85</v>
      </c>
      <c r="G65" s="9" t="s">
        <v>85</v>
      </c>
      <c r="H65" s="9">
        <v>0.019231</v>
      </c>
      <c r="I65" s="9" t="s">
        <v>85</v>
      </c>
      <c r="J65" s="9" t="s">
        <v>85</v>
      </c>
      <c r="K65" s="9">
        <v>0.115385</v>
      </c>
      <c r="L65" s="9" t="s">
        <v>85</v>
      </c>
      <c r="M65" s="9" t="s">
        <v>85</v>
      </c>
      <c r="N65" s="9">
        <v>0.081731</v>
      </c>
      <c r="O65" s="9" t="s">
        <v>85</v>
      </c>
      <c r="P65" s="9" t="s">
        <v>85</v>
      </c>
      <c r="Q65" s="9">
        <v>0.100962</v>
      </c>
      <c r="R65" s="9" t="s">
        <v>85</v>
      </c>
      <c r="S65" s="9" t="s">
        <v>85</v>
      </c>
      <c r="T65" s="9">
        <v>0.067308</v>
      </c>
      <c r="U65" s="9" t="s">
        <v>85</v>
      </c>
      <c r="V65" s="9" t="s">
        <v>85</v>
      </c>
      <c r="W65" s="9">
        <v>0.0625</v>
      </c>
      <c r="X65" s="9" t="s">
        <v>85</v>
      </c>
      <c r="Y65" s="9" t="s">
        <v>85</v>
      </c>
      <c r="Z65" s="9">
        <v>0.0625</v>
      </c>
      <c r="AA65" s="10" t="s">
        <v>85</v>
      </c>
      <c r="AB65" s="10" t="s">
        <v>85</v>
      </c>
      <c r="AC65" s="9">
        <v>0.081731</v>
      </c>
      <c r="AD65" s="9" t="s">
        <v>85</v>
      </c>
      <c r="AE65" s="9" t="s">
        <v>85</v>
      </c>
      <c r="AF65" s="9">
        <v>0.072115</v>
      </c>
      <c r="AG65" s="9" t="s">
        <v>85</v>
      </c>
      <c r="AH65" s="9" t="s">
        <v>85</v>
      </c>
      <c r="AI65" s="9">
        <v>0.096154</v>
      </c>
      <c r="AJ65" s="9" t="s">
        <v>85</v>
      </c>
      <c r="AK65" s="9" t="s">
        <v>85</v>
      </c>
      <c r="AL65" s="9">
        <v>0.057692</v>
      </c>
      <c r="AM65" s="9" t="s">
        <v>85</v>
      </c>
      <c r="AN65" s="9" t="s">
        <v>85</v>
      </c>
      <c r="AO65" s="9">
        <v>0.072115</v>
      </c>
      <c r="AP65" s="9" t="s">
        <v>85</v>
      </c>
      <c r="AQ65" s="9" t="s">
        <v>85</v>
      </c>
      <c r="AR65" s="9">
        <v>0.076923</v>
      </c>
      <c r="AS65" s="9" t="s">
        <v>85</v>
      </c>
      <c r="AT65" s="9" t="s">
        <v>85</v>
      </c>
      <c r="AU65" s="9">
        <v>0.043269</v>
      </c>
      <c r="AV65" s="9" t="s">
        <v>85</v>
      </c>
      <c r="AW65" s="9" t="s">
        <v>85</v>
      </c>
      <c r="AX65" s="9">
        <v>0.043269</v>
      </c>
      <c r="AY65" s="9" t="s">
        <v>85</v>
      </c>
      <c r="AZ65" s="9" t="s">
        <v>85</v>
      </c>
      <c r="BA65" s="9">
        <v>0.076923</v>
      </c>
      <c r="BB65" s="10" t="s">
        <v>85</v>
      </c>
      <c r="BC65" s="10" t="s">
        <v>85</v>
      </c>
      <c r="BD65" s="9">
        <v>0.057692</v>
      </c>
      <c r="BE65" s="9" t="s">
        <v>85</v>
      </c>
      <c r="BF65" s="9" t="s">
        <v>85</v>
      </c>
      <c r="BG65" s="9">
        <v>0.038462</v>
      </c>
      <c r="BH65" s="6"/>
      <c r="BI65" s="6" t="str">
        <f t="shared" si="1"/>
        <v>5B_One_Acc</v>
      </c>
      <c r="BJ65" s="6" t="str">
        <f t="shared" si="2"/>
        <v>5V_One_Acc</v>
      </c>
      <c r="BK65" s="6" t="str">
        <f t="shared" si="3"/>
        <v>8B_One_Acc</v>
      </c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</row>
    <row r="66" ht="15.75" customHeight="1">
      <c r="A66" s="1" t="s">
        <v>160</v>
      </c>
      <c r="B66" s="17">
        <v>52.0</v>
      </c>
      <c r="C66" s="9" t="s">
        <v>85</v>
      </c>
      <c r="D66" s="9" t="s">
        <v>85</v>
      </c>
      <c r="E66" s="9">
        <v>0.072115</v>
      </c>
      <c r="F66" s="9" t="s">
        <v>85</v>
      </c>
      <c r="G66" s="9" t="s">
        <v>85</v>
      </c>
      <c r="H66" s="9">
        <v>0.019231</v>
      </c>
      <c r="I66" s="9" t="s">
        <v>85</v>
      </c>
      <c r="J66" s="9" t="s">
        <v>85</v>
      </c>
      <c r="K66" s="9">
        <v>0.149038</v>
      </c>
      <c r="L66" s="9" t="s">
        <v>85</v>
      </c>
      <c r="M66" s="9" t="s">
        <v>85</v>
      </c>
      <c r="N66" s="9">
        <v>0.173077</v>
      </c>
      <c r="O66" s="9" t="s">
        <v>85</v>
      </c>
      <c r="P66" s="9" t="s">
        <v>85</v>
      </c>
      <c r="Q66" s="9">
        <v>0.043269</v>
      </c>
      <c r="R66" s="9" t="s">
        <v>85</v>
      </c>
      <c r="S66" s="9" t="s">
        <v>85</v>
      </c>
      <c r="T66" s="9">
        <v>0.072115</v>
      </c>
      <c r="U66" s="9" t="s">
        <v>85</v>
      </c>
      <c r="V66" s="9" t="s">
        <v>85</v>
      </c>
      <c r="W66" s="9">
        <v>0.125</v>
      </c>
      <c r="X66" s="9" t="s">
        <v>85</v>
      </c>
      <c r="Y66" s="9" t="s">
        <v>85</v>
      </c>
      <c r="Z66" s="9">
        <v>0.043269</v>
      </c>
      <c r="AA66" s="10" t="s">
        <v>85</v>
      </c>
      <c r="AB66" s="10" t="s">
        <v>85</v>
      </c>
      <c r="AC66" s="9">
        <v>0.038462</v>
      </c>
      <c r="AD66" s="9" t="s">
        <v>85</v>
      </c>
      <c r="AE66" s="9" t="s">
        <v>85</v>
      </c>
      <c r="AF66" s="9">
        <v>0.072115</v>
      </c>
      <c r="AG66" s="9" t="s">
        <v>85</v>
      </c>
      <c r="AH66" s="9" t="s">
        <v>85</v>
      </c>
      <c r="AI66" s="9">
        <v>0.096154</v>
      </c>
      <c r="AJ66" s="9" t="s">
        <v>85</v>
      </c>
      <c r="AK66" s="9" t="s">
        <v>85</v>
      </c>
      <c r="AL66" s="9">
        <v>0.019231</v>
      </c>
      <c r="AM66" s="9" t="s">
        <v>85</v>
      </c>
      <c r="AN66" s="9" t="s">
        <v>85</v>
      </c>
      <c r="AO66" s="9">
        <v>0.052885</v>
      </c>
      <c r="AP66" s="9" t="s">
        <v>85</v>
      </c>
      <c r="AQ66" s="9" t="s">
        <v>85</v>
      </c>
      <c r="AR66" s="9">
        <v>0.057692</v>
      </c>
      <c r="AS66" s="9" t="s">
        <v>85</v>
      </c>
      <c r="AT66" s="9" t="s">
        <v>85</v>
      </c>
      <c r="AU66" s="9">
        <v>0.043269</v>
      </c>
      <c r="AV66" s="9" t="s">
        <v>85</v>
      </c>
      <c r="AW66" s="9" t="s">
        <v>85</v>
      </c>
      <c r="AX66" s="9">
        <v>0.019231</v>
      </c>
      <c r="AY66" s="9" t="s">
        <v>85</v>
      </c>
      <c r="AZ66" s="9" t="s">
        <v>85</v>
      </c>
      <c r="BA66" s="9">
        <v>0.072115</v>
      </c>
      <c r="BB66" s="10" t="s">
        <v>85</v>
      </c>
      <c r="BC66" s="10" t="s">
        <v>85</v>
      </c>
      <c r="BD66" s="9">
        <v>0.024038</v>
      </c>
      <c r="BE66" s="9" t="s">
        <v>85</v>
      </c>
      <c r="BF66" s="9" t="s">
        <v>85</v>
      </c>
      <c r="BG66" s="9">
        <v>0.028846</v>
      </c>
      <c r="BH66" s="6"/>
      <c r="BI66" s="6" t="str">
        <f t="shared" si="1"/>
        <v>5VB_One_Acc</v>
      </c>
      <c r="BJ66" s="6" t="str">
        <f t="shared" si="2"/>
        <v>5V_One_Acc</v>
      </c>
      <c r="BK66" s="6" t="str">
        <f t="shared" si="3"/>
        <v>8V_One_Acc</v>
      </c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</row>
    <row r="67" ht="15.75" customHeight="1">
      <c r="A67" s="1" t="s">
        <v>161</v>
      </c>
      <c r="B67" s="17">
        <v>52.0</v>
      </c>
      <c r="C67" s="9" t="s">
        <v>85</v>
      </c>
      <c r="D67" s="9" t="s">
        <v>85</v>
      </c>
      <c r="E67" s="9">
        <v>0.100962</v>
      </c>
      <c r="F67" s="9" t="s">
        <v>85</v>
      </c>
      <c r="G67" s="9" t="s">
        <v>85</v>
      </c>
      <c r="H67" s="9">
        <v>0.019231</v>
      </c>
      <c r="I67" s="9" t="s">
        <v>85</v>
      </c>
      <c r="J67" s="9" t="s">
        <v>85</v>
      </c>
      <c r="K67" s="9">
        <v>0.067308</v>
      </c>
      <c r="L67" s="9" t="s">
        <v>85</v>
      </c>
      <c r="M67" s="9" t="s">
        <v>85</v>
      </c>
      <c r="N67" s="9">
        <v>0.0625</v>
      </c>
      <c r="O67" s="9" t="s">
        <v>85</v>
      </c>
      <c r="P67" s="9" t="s">
        <v>85</v>
      </c>
      <c r="Q67" s="9">
        <v>0.057692</v>
      </c>
      <c r="R67" s="9" t="s">
        <v>85</v>
      </c>
      <c r="S67" s="9" t="s">
        <v>85</v>
      </c>
      <c r="T67" s="9">
        <v>0.028846</v>
      </c>
      <c r="U67" s="9" t="s">
        <v>85</v>
      </c>
      <c r="V67" s="9" t="s">
        <v>85</v>
      </c>
      <c r="W67" s="9">
        <v>0.067308</v>
      </c>
      <c r="X67" s="9" t="s">
        <v>85</v>
      </c>
      <c r="Y67" s="9" t="s">
        <v>85</v>
      </c>
      <c r="Z67" s="9">
        <v>0.043269</v>
      </c>
      <c r="AA67" s="10" t="s">
        <v>85</v>
      </c>
      <c r="AB67" s="10" t="s">
        <v>85</v>
      </c>
      <c r="AC67" s="9">
        <v>0.038462</v>
      </c>
      <c r="AD67" s="9" t="s">
        <v>85</v>
      </c>
      <c r="AE67" s="9" t="s">
        <v>85</v>
      </c>
      <c r="AF67" s="9">
        <v>0.052885</v>
      </c>
      <c r="AG67" s="9" t="s">
        <v>85</v>
      </c>
      <c r="AH67" s="9" t="s">
        <v>85</v>
      </c>
      <c r="AI67" s="9">
        <v>0.057692</v>
      </c>
      <c r="AJ67" s="9" t="s">
        <v>85</v>
      </c>
      <c r="AK67" s="9" t="s">
        <v>85</v>
      </c>
      <c r="AL67" s="9">
        <v>0.028846</v>
      </c>
      <c r="AM67" s="9" t="s">
        <v>85</v>
      </c>
      <c r="AN67" s="9" t="s">
        <v>85</v>
      </c>
      <c r="AO67" s="9">
        <v>0.038462</v>
      </c>
      <c r="AP67" s="9" t="s">
        <v>85</v>
      </c>
      <c r="AQ67" s="9" t="s">
        <v>85</v>
      </c>
      <c r="AR67" s="9">
        <v>0.057692</v>
      </c>
      <c r="AS67" s="9" t="s">
        <v>85</v>
      </c>
      <c r="AT67" s="9" t="s">
        <v>85</v>
      </c>
      <c r="AU67" s="9">
        <v>0.043269</v>
      </c>
      <c r="AV67" s="9" t="s">
        <v>85</v>
      </c>
      <c r="AW67" s="9" t="s">
        <v>85</v>
      </c>
      <c r="AX67" s="9">
        <v>0.028846</v>
      </c>
      <c r="AY67" s="9" t="s">
        <v>85</v>
      </c>
      <c r="AZ67" s="9" t="s">
        <v>85</v>
      </c>
      <c r="BA67" s="9">
        <v>0.076923</v>
      </c>
      <c r="BB67" s="10" t="s">
        <v>85</v>
      </c>
      <c r="BC67" s="10" t="s">
        <v>85</v>
      </c>
      <c r="BD67" s="9">
        <v>0.019231</v>
      </c>
      <c r="BE67" s="9" t="s">
        <v>85</v>
      </c>
      <c r="BF67" s="9" t="s">
        <v>85</v>
      </c>
      <c r="BG67" s="9">
        <v>0.033654</v>
      </c>
      <c r="BH67" s="6"/>
      <c r="BI67" s="6" t="str">
        <f t="shared" si="1"/>
        <v>5B_One_Acc</v>
      </c>
      <c r="BJ67" s="6" t="str">
        <f t="shared" si="2"/>
        <v>20B_One_Acc</v>
      </c>
      <c r="BK67" s="6" t="str">
        <f t="shared" si="3"/>
        <v>5V_One_Acc</v>
      </c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</row>
    <row r="68" ht="15.75" customHeight="1">
      <c r="A68" s="1" t="s">
        <v>162</v>
      </c>
      <c r="B68" s="17">
        <v>7.0</v>
      </c>
      <c r="C68" s="9" t="s">
        <v>85</v>
      </c>
      <c r="D68" s="9" t="s">
        <v>85</v>
      </c>
      <c r="E68" s="9">
        <v>0.971429</v>
      </c>
      <c r="F68" s="9" t="s">
        <v>85</v>
      </c>
      <c r="G68" s="9" t="s">
        <v>85</v>
      </c>
      <c r="H68" s="9">
        <v>0.095238</v>
      </c>
      <c r="I68" s="9" t="s">
        <v>85</v>
      </c>
      <c r="J68" s="9" t="s">
        <v>85</v>
      </c>
      <c r="K68" s="9">
        <v>0.990476</v>
      </c>
      <c r="L68" s="9" t="s">
        <v>85</v>
      </c>
      <c r="M68" s="9" t="s">
        <v>85</v>
      </c>
      <c r="N68" s="9">
        <v>0.990476</v>
      </c>
      <c r="O68" s="9" t="s">
        <v>85</v>
      </c>
      <c r="P68" s="9" t="s">
        <v>85</v>
      </c>
      <c r="Q68" s="9">
        <v>1.0</v>
      </c>
      <c r="R68" s="9" t="s">
        <v>85</v>
      </c>
      <c r="S68" s="9" t="s">
        <v>85</v>
      </c>
      <c r="T68" s="9">
        <v>1.0</v>
      </c>
      <c r="U68" s="9" t="s">
        <v>85</v>
      </c>
      <c r="V68" s="9" t="s">
        <v>85</v>
      </c>
      <c r="W68" s="9">
        <v>0.990476</v>
      </c>
      <c r="X68" s="9" t="s">
        <v>85</v>
      </c>
      <c r="Y68" s="9" t="s">
        <v>85</v>
      </c>
      <c r="Z68" s="9">
        <v>0.971429</v>
      </c>
      <c r="AA68" s="10" t="s">
        <v>85</v>
      </c>
      <c r="AB68" s="10" t="s">
        <v>85</v>
      </c>
      <c r="AC68" s="9">
        <v>1.0</v>
      </c>
      <c r="AD68" s="9" t="s">
        <v>85</v>
      </c>
      <c r="AE68" s="9" t="s">
        <v>85</v>
      </c>
      <c r="AF68" s="9">
        <v>0.990476</v>
      </c>
      <c r="AG68" s="9" t="s">
        <v>85</v>
      </c>
      <c r="AH68" s="9" t="s">
        <v>85</v>
      </c>
      <c r="AI68" s="9">
        <v>0.990476</v>
      </c>
      <c r="AJ68" s="9" t="s">
        <v>85</v>
      </c>
      <c r="AK68" s="9" t="s">
        <v>85</v>
      </c>
      <c r="AL68" s="9">
        <v>0.961905</v>
      </c>
      <c r="AM68" s="9" t="s">
        <v>85</v>
      </c>
      <c r="AN68" s="9" t="s">
        <v>85</v>
      </c>
      <c r="AO68" s="9">
        <v>0.933333</v>
      </c>
      <c r="AP68" s="9" t="s">
        <v>85</v>
      </c>
      <c r="AQ68" s="9" t="s">
        <v>85</v>
      </c>
      <c r="AR68" s="9">
        <v>1.0</v>
      </c>
      <c r="AS68" s="9" t="s">
        <v>85</v>
      </c>
      <c r="AT68" s="9" t="s">
        <v>85</v>
      </c>
      <c r="AU68" s="9">
        <v>0.990476</v>
      </c>
      <c r="AV68" s="9" t="s">
        <v>85</v>
      </c>
      <c r="AW68" s="9" t="s">
        <v>85</v>
      </c>
      <c r="AX68" s="9">
        <v>0.980952</v>
      </c>
      <c r="AY68" s="9" t="s">
        <v>85</v>
      </c>
      <c r="AZ68" s="9" t="s">
        <v>85</v>
      </c>
      <c r="BA68" s="9">
        <v>1.0</v>
      </c>
      <c r="BB68" s="10" t="s">
        <v>85</v>
      </c>
      <c r="BC68" s="10" t="s">
        <v>85</v>
      </c>
      <c r="BD68" s="9">
        <v>0.990476</v>
      </c>
      <c r="BE68" s="9" t="s">
        <v>85</v>
      </c>
      <c r="BF68" s="9" t="s">
        <v>85</v>
      </c>
      <c r="BG68" s="9">
        <v>0.971429</v>
      </c>
      <c r="BH68" s="6"/>
      <c r="BI68" s="6" t="str">
        <f t="shared" si="1"/>
        <v>8B_One_Acc</v>
      </c>
      <c r="BJ68" s="6" t="str">
        <f t="shared" si="2"/>
        <v>8B_One_Acc</v>
      </c>
      <c r="BK68" s="6" t="str">
        <f t="shared" si="3"/>
        <v>8B_One_Acc</v>
      </c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</row>
    <row r="69" ht="15.75" customHeight="1">
      <c r="A69" s="1" t="s">
        <v>163</v>
      </c>
      <c r="B69" s="17">
        <v>3.0</v>
      </c>
      <c r="C69" s="9" t="s">
        <v>85</v>
      </c>
      <c r="D69" s="9" t="s">
        <v>85</v>
      </c>
      <c r="E69" s="9">
        <v>0.834146</v>
      </c>
      <c r="F69" s="9" t="s">
        <v>85</v>
      </c>
      <c r="G69" s="9" t="s">
        <v>85</v>
      </c>
      <c r="H69" s="9">
        <v>0.487805</v>
      </c>
      <c r="I69" s="9" t="s">
        <v>85</v>
      </c>
      <c r="J69" s="9" t="s">
        <v>85</v>
      </c>
      <c r="K69" s="9">
        <v>0.868293</v>
      </c>
      <c r="L69" s="9" t="s">
        <v>85</v>
      </c>
      <c r="M69" s="9" t="s">
        <v>85</v>
      </c>
      <c r="N69" s="9">
        <v>0.839024</v>
      </c>
      <c r="O69" s="9" t="s">
        <v>85</v>
      </c>
      <c r="P69" s="9" t="s">
        <v>85</v>
      </c>
      <c r="Q69" s="9">
        <v>0.809756</v>
      </c>
      <c r="R69" s="9" t="s">
        <v>85</v>
      </c>
      <c r="S69" s="9" t="s">
        <v>85</v>
      </c>
      <c r="T69" s="9">
        <v>0.809756</v>
      </c>
      <c r="U69" s="9" t="s">
        <v>85</v>
      </c>
      <c r="V69" s="9" t="s">
        <v>85</v>
      </c>
      <c r="W69" s="9">
        <v>0.848781</v>
      </c>
      <c r="X69" s="9" t="s">
        <v>85</v>
      </c>
      <c r="Y69" s="9" t="s">
        <v>85</v>
      </c>
      <c r="Z69" s="9">
        <v>0.848781</v>
      </c>
      <c r="AA69" s="10" t="s">
        <v>85</v>
      </c>
      <c r="AB69" s="10" t="s">
        <v>85</v>
      </c>
      <c r="AC69" s="9">
        <v>0.829268</v>
      </c>
      <c r="AD69" s="9" t="s">
        <v>85</v>
      </c>
      <c r="AE69" s="9" t="s">
        <v>85</v>
      </c>
      <c r="AF69" s="9">
        <v>0.82439</v>
      </c>
      <c r="AG69" s="9" t="s">
        <v>85</v>
      </c>
      <c r="AH69" s="9" t="s">
        <v>85</v>
      </c>
      <c r="AI69" s="9">
        <v>0.843902</v>
      </c>
      <c r="AJ69" s="9" t="s">
        <v>85</v>
      </c>
      <c r="AK69" s="9" t="s">
        <v>85</v>
      </c>
      <c r="AL69" s="9">
        <v>0.843902</v>
      </c>
      <c r="AM69" s="9" t="s">
        <v>85</v>
      </c>
      <c r="AN69" s="9" t="s">
        <v>85</v>
      </c>
      <c r="AO69" s="9">
        <v>0.848781</v>
      </c>
      <c r="AP69" s="9" t="s">
        <v>85</v>
      </c>
      <c r="AQ69" s="9" t="s">
        <v>85</v>
      </c>
      <c r="AR69" s="9">
        <v>0.82439</v>
      </c>
      <c r="AS69" s="9" t="s">
        <v>85</v>
      </c>
      <c r="AT69" s="9" t="s">
        <v>85</v>
      </c>
      <c r="AU69" s="9">
        <v>0.834146</v>
      </c>
      <c r="AV69" s="9" t="s">
        <v>85</v>
      </c>
      <c r="AW69" s="9" t="s">
        <v>85</v>
      </c>
      <c r="AX69" s="9">
        <v>0.848781</v>
      </c>
      <c r="AY69" s="9" t="s">
        <v>85</v>
      </c>
      <c r="AZ69" s="9" t="s">
        <v>85</v>
      </c>
      <c r="BA69" s="9">
        <v>0.839024</v>
      </c>
      <c r="BB69" s="10" t="s">
        <v>85</v>
      </c>
      <c r="BC69" s="10" t="s">
        <v>85</v>
      </c>
      <c r="BD69" s="9">
        <v>0.843902</v>
      </c>
      <c r="BE69" s="9" t="s">
        <v>85</v>
      </c>
      <c r="BF69" s="9" t="s">
        <v>85</v>
      </c>
      <c r="BG69" s="9">
        <v>0.839024</v>
      </c>
      <c r="BH69" s="6"/>
      <c r="BI69" s="6" t="str">
        <f t="shared" si="1"/>
        <v>5V_One_Acc</v>
      </c>
      <c r="BJ69" s="6" t="str">
        <f t="shared" si="2"/>
        <v>8V_One_Acc</v>
      </c>
      <c r="BK69" s="6" t="str">
        <f t="shared" si="3"/>
        <v>8V_One_Acc</v>
      </c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</row>
    <row r="70" ht="15.75" customHeight="1">
      <c r="A70" s="1" t="s">
        <v>164</v>
      </c>
      <c r="B70" s="17">
        <v>2.0</v>
      </c>
      <c r="C70" s="9" t="s">
        <v>85</v>
      </c>
      <c r="D70" s="9" t="s">
        <v>85</v>
      </c>
      <c r="E70" s="9">
        <v>0.797251</v>
      </c>
      <c r="F70" s="9" t="s">
        <v>85</v>
      </c>
      <c r="G70" s="9" t="s">
        <v>85</v>
      </c>
      <c r="H70" s="9">
        <v>0.683849</v>
      </c>
      <c r="I70" s="9" t="s">
        <v>85</v>
      </c>
      <c r="J70" s="9" t="s">
        <v>85</v>
      </c>
      <c r="K70" s="9">
        <v>0.862543</v>
      </c>
      <c r="L70" s="9" t="s">
        <v>85</v>
      </c>
      <c r="M70" s="9" t="s">
        <v>85</v>
      </c>
      <c r="N70" s="9">
        <v>0.848797</v>
      </c>
      <c r="O70" s="9" t="s">
        <v>85</v>
      </c>
      <c r="P70" s="9" t="s">
        <v>85</v>
      </c>
      <c r="Q70" s="9">
        <v>0.821306</v>
      </c>
      <c r="R70" s="9" t="s">
        <v>85</v>
      </c>
      <c r="S70" s="9" t="s">
        <v>85</v>
      </c>
      <c r="T70" s="9">
        <v>0.814433</v>
      </c>
      <c r="U70" s="9" t="s">
        <v>85</v>
      </c>
      <c r="V70" s="9" t="s">
        <v>85</v>
      </c>
      <c r="W70" s="9">
        <v>0.828179</v>
      </c>
      <c r="X70" s="9" t="s">
        <v>85</v>
      </c>
      <c r="Y70" s="9" t="s">
        <v>85</v>
      </c>
      <c r="Z70" s="9">
        <v>0.821306</v>
      </c>
      <c r="AA70" s="10" t="s">
        <v>85</v>
      </c>
      <c r="AB70" s="10" t="s">
        <v>85</v>
      </c>
      <c r="AC70" s="9">
        <v>0.793814</v>
      </c>
      <c r="AD70" s="9" t="s">
        <v>85</v>
      </c>
      <c r="AE70" s="9" t="s">
        <v>85</v>
      </c>
      <c r="AF70" s="9">
        <v>0.793814</v>
      </c>
      <c r="AG70" s="9" t="s">
        <v>85</v>
      </c>
      <c r="AH70" s="9" t="s">
        <v>85</v>
      </c>
      <c r="AI70" s="9">
        <v>0.821306</v>
      </c>
      <c r="AJ70" s="9" t="s">
        <v>85</v>
      </c>
      <c r="AK70" s="9" t="s">
        <v>85</v>
      </c>
      <c r="AL70" s="9">
        <v>0.845361</v>
      </c>
      <c r="AM70" s="9" t="s">
        <v>85</v>
      </c>
      <c r="AN70" s="9" t="s">
        <v>85</v>
      </c>
      <c r="AO70" s="9">
        <v>0.845361</v>
      </c>
      <c r="AP70" s="9" t="s">
        <v>85</v>
      </c>
      <c r="AQ70" s="9" t="s">
        <v>85</v>
      </c>
      <c r="AR70" s="9">
        <v>0.848797</v>
      </c>
      <c r="AS70" s="9" t="s">
        <v>85</v>
      </c>
      <c r="AT70" s="9" t="s">
        <v>85</v>
      </c>
      <c r="AU70" s="9">
        <v>0.848797</v>
      </c>
      <c r="AV70" s="9" t="s">
        <v>85</v>
      </c>
      <c r="AW70" s="9" t="s">
        <v>85</v>
      </c>
      <c r="AX70" s="9">
        <v>0.862543</v>
      </c>
      <c r="AY70" s="9" t="s">
        <v>85</v>
      </c>
      <c r="AZ70" s="9" t="s">
        <v>85</v>
      </c>
      <c r="BA70" s="9">
        <v>0.841924</v>
      </c>
      <c r="BB70" s="10" t="s">
        <v>85</v>
      </c>
      <c r="BC70" s="10" t="s">
        <v>85</v>
      </c>
      <c r="BD70" s="9">
        <v>0.80756</v>
      </c>
      <c r="BE70" s="9" t="s">
        <v>85</v>
      </c>
      <c r="BF70" s="9" t="s">
        <v>85</v>
      </c>
      <c r="BG70" s="9">
        <v>0.793814</v>
      </c>
      <c r="BH70" s="6"/>
      <c r="BI70" s="6" t="str">
        <f t="shared" si="1"/>
        <v>5V_One_Acc</v>
      </c>
      <c r="BJ70" s="6" t="str">
        <f t="shared" si="2"/>
        <v>5V_One_Acc</v>
      </c>
      <c r="BK70" s="6" t="str">
        <f t="shared" si="3"/>
        <v>5VB_One_Acc</v>
      </c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</row>
    <row r="71" ht="15.75" customHeight="1">
      <c r="A71" s="1" t="s">
        <v>165</v>
      </c>
      <c r="B71" s="17">
        <v>6.0</v>
      </c>
      <c r="C71" s="9" t="s">
        <v>85</v>
      </c>
      <c r="D71" s="9" t="s">
        <v>85</v>
      </c>
      <c r="E71" s="9">
        <v>0.760976</v>
      </c>
      <c r="F71" s="9" t="s">
        <v>85</v>
      </c>
      <c r="G71" s="9" t="s">
        <v>85</v>
      </c>
      <c r="H71" s="9">
        <v>0.35122</v>
      </c>
      <c r="I71" s="9" t="s">
        <v>85</v>
      </c>
      <c r="J71" s="9" t="s">
        <v>85</v>
      </c>
      <c r="K71" s="9">
        <v>0.795122</v>
      </c>
      <c r="L71" s="9" t="s">
        <v>85</v>
      </c>
      <c r="M71" s="9" t="s">
        <v>85</v>
      </c>
      <c r="N71" s="9">
        <v>0.8</v>
      </c>
      <c r="O71" s="9" t="s">
        <v>85</v>
      </c>
      <c r="P71" s="9" t="s">
        <v>85</v>
      </c>
      <c r="Q71" s="9">
        <v>0.765854</v>
      </c>
      <c r="R71" s="9" t="s">
        <v>85</v>
      </c>
      <c r="S71" s="9" t="s">
        <v>85</v>
      </c>
      <c r="T71" s="9">
        <v>0.770732</v>
      </c>
      <c r="U71" s="9" t="s">
        <v>85</v>
      </c>
      <c r="V71" s="9" t="s">
        <v>85</v>
      </c>
      <c r="W71" s="9">
        <v>0.804878</v>
      </c>
      <c r="X71" s="9" t="s">
        <v>85</v>
      </c>
      <c r="Y71" s="9" t="s">
        <v>85</v>
      </c>
      <c r="Z71" s="9">
        <v>0.809756</v>
      </c>
      <c r="AA71" s="10" t="s">
        <v>85</v>
      </c>
      <c r="AB71" s="10" t="s">
        <v>85</v>
      </c>
      <c r="AC71" s="9">
        <v>0.760976</v>
      </c>
      <c r="AD71" s="9" t="s">
        <v>85</v>
      </c>
      <c r="AE71" s="9" t="s">
        <v>85</v>
      </c>
      <c r="AF71" s="9">
        <v>0.765854</v>
      </c>
      <c r="AG71" s="9" t="s">
        <v>85</v>
      </c>
      <c r="AH71" s="9" t="s">
        <v>85</v>
      </c>
      <c r="AI71" s="9">
        <v>0.765854</v>
      </c>
      <c r="AJ71" s="9" t="s">
        <v>85</v>
      </c>
      <c r="AK71" s="9" t="s">
        <v>85</v>
      </c>
      <c r="AL71" s="9">
        <v>0.780488</v>
      </c>
      <c r="AM71" s="9" t="s">
        <v>85</v>
      </c>
      <c r="AN71" s="9" t="s">
        <v>85</v>
      </c>
      <c r="AO71" s="9">
        <v>0.77561</v>
      </c>
      <c r="AP71" s="9" t="s">
        <v>85</v>
      </c>
      <c r="AQ71" s="9" t="s">
        <v>85</v>
      </c>
      <c r="AR71" s="9">
        <v>0.770732</v>
      </c>
      <c r="AS71" s="9" t="s">
        <v>85</v>
      </c>
      <c r="AT71" s="9" t="s">
        <v>85</v>
      </c>
      <c r="AU71" s="9">
        <v>0.785366</v>
      </c>
      <c r="AV71" s="9" t="s">
        <v>85</v>
      </c>
      <c r="AW71" s="9" t="s">
        <v>85</v>
      </c>
      <c r="AX71" s="9">
        <v>0.678049</v>
      </c>
      <c r="AY71" s="9" t="s">
        <v>85</v>
      </c>
      <c r="AZ71" s="9" t="s">
        <v>85</v>
      </c>
      <c r="BA71" s="9">
        <v>0.77561</v>
      </c>
      <c r="BB71" s="10" t="s">
        <v>85</v>
      </c>
      <c r="BC71" s="10" t="s">
        <v>85</v>
      </c>
      <c r="BD71" s="9">
        <v>0.795122</v>
      </c>
      <c r="BE71" s="9" t="s">
        <v>85</v>
      </c>
      <c r="BF71" s="9" t="s">
        <v>85</v>
      </c>
      <c r="BG71" s="9">
        <v>0.804878</v>
      </c>
      <c r="BH71" s="6"/>
      <c r="BI71" s="6" t="str">
        <f t="shared" si="1"/>
        <v>8VB_One_Acc</v>
      </c>
      <c r="BJ71" s="6" t="str">
        <f t="shared" si="2"/>
        <v>8V_One_Acc</v>
      </c>
      <c r="BK71" s="6" t="str">
        <f t="shared" si="3"/>
        <v>8V_One_Acc</v>
      </c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</row>
    <row r="72" ht="15.75" customHeight="1">
      <c r="A72" s="1" t="s">
        <v>166</v>
      </c>
      <c r="B72" s="17">
        <v>4.0</v>
      </c>
      <c r="C72" s="9" t="s">
        <v>85</v>
      </c>
      <c r="D72" s="9" t="s">
        <v>85</v>
      </c>
      <c r="E72" s="9">
        <v>0.6</v>
      </c>
      <c r="F72" s="9" t="s">
        <v>85</v>
      </c>
      <c r="G72" s="9" t="s">
        <v>85</v>
      </c>
      <c r="H72" s="9">
        <v>0.12</v>
      </c>
      <c r="I72" s="9" t="s">
        <v>85</v>
      </c>
      <c r="J72" s="9" t="s">
        <v>85</v>
      </c>
      <c r="K72" s="9">
        <v>0.6</v>
      </c>
      <c r="L72" s="9" t="s">
        <v>85</v>
      </c>
      <c r="M72" s="9" t="s">
        <v>85</v>
      </c>
      <c r="N72" s="9">
        <v>0.54</v>
      </c>
      <c r="O72" s="9" t="s">
        <v>85</v>
      </c>
      <c r="P72" s="9" t="s">
        <v>85</v>
      </c>
      <c r="Q72" s="9">
        <v>0.64</v>
      </c>
      <c r="R72" s="9" t="s">
        <v>85</v>
      </c>
      <c r="S72" s="9" t="s">
        <v>85</v>
      </c>
      <c r="T72" s="9">
        <v>0.525333</v>
      </c>
      <c r="U72" s="9" t="s">
        <v>85</v>
      </c>
      <c r="V72" s="9" t="s">
        <v>85</v>
      </c>
      <c r="W72" s="9">
        <v>0.56</v>
      </c>
      <c r="X72" s="9" t="s">
        <v>85</v>
      </c>
      <c r="Y72" s="9" t="s">
        <v>85</v>
      </c>
      <c r="Z72" s="9">
        <v>0.58</v>
      </c>
      <c r="AA72" s="10" t="s">
        <v>85</v>
      </c>
      <c r="AB72" s="10" t="s">
        <v>85</v>
      </c>
      <c r="AC72" s="9">
        <v>0.68</v>
      </c>
      <c r="AD72" s="9" t="s">
        <v>85</v>
      </c>
      <c r="AE72" s="9" t="s">
        <v>85</v>
      </c>
      <c r="AF72" s="9">
        <v>0.6</v>
      </c>
      <c r="AG72" s="9" t="s">
        <v>85</v>
      </c>
      <c r="AH72" s="9" t="s">
        <v>85</v>
      </c>
      <c r="AI72" s="9">
        <v>0.66</v>
      </c>
      <c r="AJ72" s="9" t="s">
        <v>85</v>
      </c>
      <c r="AK72" s="9" t="s">
        <v>85</v>
      </c>
      <c r="AL72" s="9">
        <v>0.68</v>
      </c>
      <c r="AM72" s="9" t="s">
        <v>85</v>
      </c>
      <c r="AN72" s="9" t="s">
        <v>85</v>
      </c>
      <c r="AO72" s="9">
        <v>0.64</v>
      </c>
      <c r="AP72" s="9" t="s">
        <v>85</v>
      </c>
      <c r="AQ72" s="9" t="s">
        <v>85</v>
      </c>
      <c r="AR72" s="9">
        <v>0.62</v>
      </c>
      <c r="AS72" s="9" t="s">
        <v>85</v>
      </c>
      <c r="AT72" s="9" t="s">
        <v>85</v>
      </c>
      <c r="AU72" s="9">
        <v>0.66</v>
      </c>
      <c r="AV72" s="9" t="s">
        <v>85</v>
      </c>
      <c r="AW72" s="9" t="s">
        <v>85</v>
      </c>
      <c r="AX72" s="9">
        <v>0.66</v>
      </c>
      <c r="AY72" s="9" t="s">
        <v>85</v>
      </c>
      <c r="AZ72" s="9" t="s">
        <v>85</v>
      </c>
      <c r="BA72" s="9">
        <v>0.62</v>
      </c>
      <c r="BB72" s="10" t="s">
        <v>85</v>
      </c>
      <c r="BC72" s="10" t="s">
        <v>85</v>
      </c>
      <c r="BD72" s="9">
        <v>0.72</v>
      </c>
      <c r="BE72" s="9" t="s">
        <v>85</v>
      </c>
      <c r="BF72" s="9" t="s">
        <v>85</v>
      </c>
      <c r="BG72" s="9">
        <v>0.2</v>
      </c>
      <c r="BH72" s="6"/>
      <c r="BI72" s="6" t="str">
        <f t="shared" si="1"/>
        <v>20V_One_Acc</v>
      </c>
      <c r="BJ72" s="6" t="str">
        <f t="shared" si="2"/>
        <v>10B_One_Acc</v>
      </c>
      <c r="BK72" s="6" t="str">
        <f t="shared" si="3"/>
        <v>10B_One_Acc</v>
      </c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</row>
    <row r="73" ht="15.75" customHeight="1">
      <c r="A73" s="1" t="s">
        <v>167</v>
      </c>
      <c r="B73" s="17">
        <v>3.0</v>
      </c>
      <c r="C73" s="9" t="s">
        <v>85</v>
      </c>
      <c r="D73" s="9" t="s">
        <v>85</v>
      </c>
      <c r="E73" s="9">
        <v>0.576</v>
      </c>
      <c r="F73" s="9" t="s">
        <v>85</v>
      </c>
      <c r="G73" s="9" t="s">
        <v>85</v>
      </c>
      <c r="H73" s="9">
        <v>0.333333</v>
      </c>
      <c r="I73" s="9" t="s">
        <v>85</v>
      </c>
      <c r="J73" s="9" t="s">
        <v>85</v>
      </c>
      <c r="K73" s="9">
        <v>0.469333</v>
      </c>
      <c r="L73" s="9" t="s">
        <v>85</v>
      </c>
      <c r="M73" s="9" t="s">
        <v>85</v>
      </c>
      <c r="N73" s="9">
        <v>0.448</v>
      </c>
      <c r="O73" s="9" t="s">
        <v>85</v>
      </c>
      <c r="P73" s="9" t="s">
        <v>85</v>
      </c>
      <c r="Q73" s="9">
        <v>0.552</v>
      </c>
      <c r="R73" s="9" t="s">
        <v>85</v>
      </c>
      <c r="S73" s="9" t="s">
        <v>85</v>
      </c>
      <c r="T73" s="9">
        <v>0.7</v>
      </c>
      <c r="U73" s="9" t="s">
        <v>85</v>
      </c>
      <c r="V73" s="9" t="s">
        <v>85</v>
      </c>
      <c r="W73" s="9">
        <v>0.418667</v>
      </c>
      <c r="X73" s="9" t="s">
        <v>85</v>
      </c>
      <c r="Y73" s="9" t="s">
        <v>85</v>
      </c>
      <c r="Z73" s="9">
        <v>0.448</v>
      </c>
      <c r="AA73" s="10" t="s">
        <v>85</v>
      </c>
      <c r="AB73" s="10" t="s">
        <v>85</v>
      </c>
      <c r="AC73" s="9">
        <v>0.554667</v>
      </c>
      <c r="AD73" s="9" t="s">
        <v>85</v>
      </c>
      <c r="AE73" s="9" t="s">
        <v>85</v>
      </c>
      <c r="AF73" s="9">
        <v>0.592</v>
      </c>
      <c r="AG73" s="9" t="s">
        <v>85</v>
      </c>
      <c r="AH73" s="9" t="s">
        <v>85</v>
      </c>
      <c r="AI73" s="9">
        <v>0.48</v>
      </c>
      <c r="AJ73" s="9" t="s">
        <v>85</v>
      </c>
      <c r="AK73" s="9" t="s">
        <v>85</v>
      </c>
      <c r="AL73" s="9">
        <v>0.453333</v>
      </c>
      <c r="AM73" s="9" t="s">
        <v>85</v>
      </c>
      <c r="AN73" s="9" t="s">
        <v>85</v>
      </c>
      <c r="AO73" s="9">
        <v>0.533333</v>
      </c>
      <c r="AP73" s="9" t="s">
        <v>85</v>
      </c>
      <c r="AQ73" s="9" t="s">
        <v>85</v>
      </c>
      <c r="AR73" s="9">
        <v>0.621333</v>
      </c>
      <c r="AS73" s="9" t="s">
        <v>85</v>
      </c>
      <c r="AT73" s="9" t="s">
        <v>85</v>
      </c>
      <c r="AU73" s="9">
        <v>0.456</v>
      </c>
      <c r="AV73" s="9" t="s">
        <v>85</v>
      </c>
      <c r="AW73" s="9" t="s">
        <v>85</v>
      </c>
      <c r="AX73" s="9">
        <v>0.461333</v>
      </c>
      <c r="AY73" s="9" t="s">
        <v>85</v>
      </c>
      <c r="AZ73" s="9" t="s">
        <v>85</v>
      </c>
      <c r="BA73" s="9">
        <v>0.538667</v>
      </c>
      <c r="BB73" s="10" t="s">
        <v>85</v>
      </c>
      <c r="BC73" s="10" t="s">
        <v>85</v>
      </c>
      <c r="BD73" s="9">
        <v>0.466667</v>
      </c>
      <c r="BE73" s="9" t="s">
        <v>85</v>
      </c>
      <c r="BF73" s="9" t="s">
        <v>85</v>
      </c>
      <c r="BG73" s="9">
        <v>0.434667</v>
      </c>
      <c r="BH73" s="6"/>
      <c r="BI73" s="6" t="str">
        <f t="shared" si="1"/>
        <v>8BN_One_Acc</v>
      </c>
      <c r="BJ73" s="6" t="str">
        <f t="shared" si="2"/>
        <v>12BN_One_Acc</v>
      </c>
      <c r="BK73" s="6" t="str">
        <f t="shared" si="3"/>
        <v>10BN_One_Acc</v>
      </c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</row>
    <row r="74" ht="15.75" customHeight="1">
      <c r="A74" s="1" t="s">
        <v>168</v>
      </c>
      <c r="B74" s="17">
        <v>2.0</v>
      </c>
      <c r="C74" s="9" t="s">
        <v>85</v>
      </c>
      <c r="D74" s="9" t="s">
        <v>85</v>
      </c>
      <c r="E74" s="9">
        <v>0.84</v>
      </c>
      <c r="F74" s="9" t="s">
        <v>85</v>
      </c>
      <c r="G74" s="9" t="s">
        <v>85</v>
      </c>
      <c r="H74" s="9">
        <v>0.35</v>
      </c>
      <c r="I74" s="9" t="s">
        <v>85</v>
      </c>
      <c r="J74" s="9" t="s">
        <v>85</v>
      </c>
      <c r="K74" s="9">
        <v>0.896667</v>
      </c>
      <c r="L74" s="9" t="s">
        <v>85</v>
      </c>
      <c r="M74" s="9" t="s">
        <v>85</v>
      </c>
      <c r="N74" s="9">
        <v>0.903333</v>
      </c>
      <c r="O74" s="9" t="s">
        <v>85</v>
      </c>
      <c r="P74" s="9" t="s">
        <v>85</v>
      </c>
      <c r="Q74" s="9">
        <v>0.86</v>
      </c>
      <c r="R74" s="9" t="s">
        <v>85</v>
      </c>
      <c r="S74" s="9" t="s">
        <v>85</v>
      </c>
      <c r="T74" s="9">
        <v>0.858333</v>
      </c>
      <c r="U74" s="9" t="s">
        <v>85</v>
      </c>
      <c r="V74" s="9" t="s">
        <v>85</v>
      </c>
      <c r="W74" s="9">
        <v>0.92</v>
      </c>
      <c r="X74" s="9" t="s">
        <v>85</v>
      </c>
      <c r="Y74" s="9" t="s">
        <v>85</v>
      </c>
      <c r="Z74" s="9">
        <v>0.916667</v>
      </c>
      <c r="AA74" s="10" t="s">
        <v>85</v>
      </c>
      <c r="AB74" s="10" t="s">
        <v>85</v>
      </c>
      <c r="AC74" s="9">
        <v>0.87</v>
      </c>
      <c r="AD74" s="9" t="s">
        <v>85</v>
      </c>
      <c r="AE74" s="9" t="s">
        <v>85</v>
      </c>
      <c r="AF74" s="9">
        <v>0.856667</v>
      </c>
      <c r="AG74" s="9" t="s">
        <v>85</v>
      </c>
      <c r="AH74" s="9" t="s">
        <v>85</v>
      </c>
      <c r="AI74" s="9">
        <v>0.913333</v>
      </c>
      <c r="AJ74" s="9" t="s">
        <v>85</v>
      </c>
      <c r="AK74" s="9" t="s">
        <v>85</v>
      </c>
      <c r="AL74" s="9">
        <v>0.913333</v>
      </c>
      <c r="AM74" s="9" t="s">
        <v>85</v>
      </c>
      <c r="AN74" s="9" t="s">
        <v>85</v>
      </c>
      <c r="AO74" s="9">
        <v>0.846667</v>
      </c>
      <c r="AP74" s="9" t="s">
        <v>85</v>
      </c>
      <c r="AQ74" s="9" t="s">
        <v>85</v>
      </c>
      <c r="AR74" s="9">
        <v>0.856667</v>
      </c>
      <c r="AS74" s="9" t="s">
        <v>85</v>
      </c>
      <c r="AT74" s="9" t="s">
        <v>85</v>
      </c>
      <c r="AU74" s="9">
        <v>0.906667</v>
      </c>
      <c r="AV74" s="9" t="s">
        <v>85</v>
      </c>
      <c r="AW74" s="9" t="s">
        <v>85</v>
      </c>
      <c r="AX74" s="9">
        <v>0.916667</v>
      </c>
      <c r="AY74" s="9" t="s">
        <v>85</v>
      </c>
      <c r="AZ74" s="9" t="s">
        <v>85</v>
      </c>
      <c r="BA74" s="9">
        <v>0.871667</v>
      </c>
      <c r="BB74" s="10" t="s">
        <v>85</v>
      </c>
      <c r="BC74" s="10" t="s">
        <v>85</v>
      </c>
      <c r="BD74" s="9">
        <v>0.926667</v>
      </c>
      <c r="BE74" s="9" t="s">
        <v>85</v>
      </c>
      <c r="BF74" s="9" t="s">
        <v>85</v>
      </c>
      <c r="BG74" s="9">
        <v>0.668333</v>
      </c>
      <c r="BH74" s="6"/>
      <c r="BI74" s="6" t="str">
        <f t="shared" si="1"/>
        <v>20V_One_Acc</v>
      </c>
      <c r="BJ74" s="6" t="str">
        <f t="shared" si="2"/>
        <v>8V_One_Acc</v>
      </c>
      <c r="BK74" s="6" t="str">
        <f t="shared" si="3"/>
        <v>8VB_One_Acc</v>
      </c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</row>
    <row r="75" ht="15.75" customHeight="1">
      <c r="A75" s="1" t="s">
        <v>169</v>
      </c>
      <c r="B75" s="17">
        <v>6.0</v>
      </c>
      <c r="C75" s="9" t="s">
        <v>85</v>
      </c>
      <c r="D75" s="9" t="s">
        <v>85</v>
      </c>
      <c r="E75" s="9">
        <v>0.442222</v>
      </c>
      <c r="F75" s="9" t="s">
        <v>85</v>
      </c>
      <c r="G75" s="9" t="s">
        <v>85</v>
      </c>
      <c r="H75" s="9">
        <v>0.166667</v>
      </c>
      <c r="I75" s="9" t="s">
        <v>85</v>
      </c>
      <c r="J75" s="9" t="s">
        <v>85</v>
      </c>
      <c r="K75" s="9">
        <v>0.637778</v>
      </c>
      <c r="L75" s="9" t="s">
        <v>85</v>
      </c>
      <c r="M75" s="9" t="s">
        <v>85</v>
      </c>
      <c r="N75" s="9">
        <v>0.515556</v>
      </c>
      <c r="O75" s="9" t="s">
        <v>85</v>
      </c>
      <c r="P75" s="9" t="s">
        <v>85</v>
      </c>
      <c r="Q75" s="9">
        <v>0.466667</v>
      </c>
      <c r="R75" s="9" t="s">
        <v>85</v>
      </c>
      <c r="S75" s="9" t="s">
        <v>85</v>
      </c>
      <c r="T75" s="9">
        <v>0.346667</v>
      </c>
      <c r="U75" s="9" t="s">
        <v>85</v>
      </c>
      <c r="V75" s="9" t="s">
        <v>85</v>
      </c>
      <c r="W75" s="9">
        <v>0.355556</v>
      </c>
      <c r="X75" s="9" t="s">
        <v>85</v>
      </c>
      <c r="Y75" s="9" t="s">
        <v>85</v>
      </c>
      <c r="Z75" s="9">
        <v>0.286667</v>
      </c>
      <c r="AA75" s="10" t="s">
        <v>85</v>
      </c>
      <c r="AB75" s="10" t="s">
        <v>85</v>
      </c>
      <c r="AC75" s="9">
        <v>0.395556</v>
      </c>
      <c r="AD75" s="9" t="s">
        <v>85</v>
      </c>
      <c r="AE75" s="9" t="s">
        <v>85</v>
      </c>
      <c r="AF75" s="9">
        <v>0.373333</v>
      </c>
      <c r="AG75" s="9" t="s">
        <v>85</v>
      </c>
      <c r="AH75" s="9" t="s">
        <v>85</v>
      </c>
      <c r="AI75" s="9">
        <v>0.362222</v>
      </c>
      <c r="AJ75" s="9" t="s">
        <v>85</v>
      </c>
      <c r="AK75" s="9" t="s">
        <v>85</v>
      </c>
      <c r="AL75" s="9">
        <v>0.442222</v>
      </c>
      <c r="AM75" s="9" t="s">
        <v>85</v>
      </c>
      <c r="AN75" s="9" t="s">
        <v>85</v>
      </c>
      <c r="AO75" s="9">
        <v>0.504444</v>
      </c>
      <c r="AP75" s="9" t="s">
        <v>85</v>
      </c>
      <c r="AQ75" s="9" t="s">
        <v>85</v>
      </c>
      <c r="AR75" s="9">
        <v>0.351111</v>
      </c>
      <c r="AS75" s="9" t="s">
        <v>85</v>
      </c>
      <c r="AT75" s="9" t="s">
        <v>85</v>
      </c>
      <c r="AU75" s="9">
        <v>0.493333</v>
      </c>
      <c r="AV75" s="9" t="s">
        <v>85</v>
      </c>
      <c r="AW75" s="9" t="s">
        <v>85</v>
      </c>
      <c r="AX75" s="9">
        <v>0.491111</v>
      </c>
      <c r="AY75" s="9" t="s">
        <v>85</v>
      </c>
      <c r="AZ75" s="9" t="s">
        <v>85</v>
      </c>
      <c r="BA75" s="9">
        <v>0.264444</v>
      </c>
      <c r="BB75" s="10" t="s">
        <v>85</v>
      </c>
      <c r="BC75" s="10" t="s">
        <v>85</v>
      </c>
      <c r="BD75" s="9">
        <v>0.262222</v>
      </c>
      <c r="BE75" s="9" t="s">
        <v>85</v>
      </c>
      <c r="BF75" s="9" t="s">
        <v>85</v>
      </c>
      <c r="BG75" s="9">
        <v>0.433333</v>
      </c>
      <c r="BH75" s="6"/>
      <c r="BI75" s="6" t="str">
        <f t="shared" si="1"/>
        <v>5V_One_Acc</v>
      </c>
      <c r="BJ75" s="6" t="str">
        <f t="shared" si="2"/>
        <v>5VB_One_Acc</v>
      </c>
      <c r="BK75" s="6" t="str">
        <f t="shared" si="3"/>
        <v>12B_One_Acc</v>
      </c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</row>
    <row r="76" ht="15.75" customHeight="1">
      <c r="A76" s="1" t="s">
        <v>170</v>
      </c>
      <c r="B76" s="17">
        <v>5.0</v>
      </c>
      <c r="C76" s="9" t="s">
        <v>85</v>
      </c>
      <c r="D76" s="9" t="s">
        <v>85</v>
      </c>
      <c r="E76" s="9">
        <v>0.737778</v>
      </c>
      <c r="F76" s="9" t="s">
        <v>85</v>
      </c>
      <c r="G76" s="9" t="s">
        <v>85</v>
      </c>
      <c r="H76" s="9">
        <v>0.2</v>
      </c>
      <c r="I76" s="9" t="s">
        <v>85</v>
      </c>
      <c r="J76" s="9" t="s">
        <v>85</v>
      </c>
      <c r="K76" s="9">
        <v>0.846667</v>
      </c>
      <c r="L76" s="9" t="s">
        <v>85</v>
      </c>
      <c r="M76" s="9" t="s">
        <v>85</v>
      </c>
      <c r="N76" s="9">
        <v>0.833333</v>
      </c>
      <c r="O76" s="9" t="s">
        <v>85</v>
      </c>
      <c r="P76" s="9" t="s">
        <v>85</v>
      </c>
      <c r="Q76" s="9">
        <v>0.793333</v>
      </c>
      <c r="R76" s="9" t="s">
        <v>85</v>
      </c>
      <c r="S76" s="9" t="s">
        <v>85</v>
      </c>
      <c r="T76" s="9">
        <v>0.757778</v>
      </c>
      <c r="U76" s="9" t="s">
        <v>85</v>
      </c>
      <c r="V76" s="9" t="s">
        <v>85</v>
      </c>
      <c r="W76" s="9">
        <v>0.822222</v>
      </c>
      <c r="X76" s="9" t="s">
        <v>85</v>
      </c>
      <c r="Y76" s="9" t="s">
        <v>85</v>
      </c>
      <c r="Z76" s="9">
        <v>0.815556</v>
      </c>
      <c r="AA76" s="10" t="s">
        <v>85</v>
      </c>
      <c r="AB76" s="10" t="s">
        <v>85</v>
      </c>
      <c r="AC76" s="9">
        <v>0.773333</v>
      </c>
      <c r="AD76" s="9" t="s">
        <v>85</v>
      </c>
      <c r="AE76" s="9" t="s">
        <v>85</v>
      </c>
      <c r="AF76" s="9">
        <v>0.771111</v>
      </c>
      <c r="AG76" s="9" t="s">
        <v>85</v>
      </c>
      <c r="AH76" s="9" t="s">
        <v>85</v>
      </c>
      <c r="AI76" s="9">
        <v>0.851111</v>
      </c>
      <c r="AJ76" s="9" t="s">
        <v>85</v>
      </c>
      <c r="AK76" s="9" t="s">
        <v>85</v>
      </c>
      <c r="AL76" s="9">
        <v>0.784444</v>
      </c>
      <c r="AM76" s="9" t="s">
        <v>85</v>
      </c>
      <c r="AN76" s="9" t="s">
        <v>85</v>
      </c>
      <c r="AO76" s="9">
        <v>0.755556</v>
      </c>
      <c r="AP76" s="9" t="s">
        <v>85</v>
      </c>
      <c r="AQ76" s="9" t="s">
        <v>85</v>
      </c>
      <c r="AR76" s="9">
        <v>0.684444</v>
      </c>
      <c r="AS76" s="9" t="s">
        <v>85</v>
      </c>
      <c r="AT76" s="9" t="s">
        <v>85</v>
      </c>
      <c r="AU76" s="9">
        <v>0.855556</v>
      </c>
      <c r="AV76" s="9" t="s">
        <v>85</v>
      </c>
      <c r="AW76" s="9" t="s">
        <v>85</v>
      </c>
      <c r="AX76" s="9">
        <v>0.831111</v>
      </c>
      <c r="AY76" s="9" t="s">
        <v>85</v>
      </c>
      <c r="AZ76" s="9" t="s">
        <v>85</v>
      </c>
      <c r="BA76" s="9">
        <v>0.735556</v>
      </c>
      <c r="BB76" s="10" t="s">
        <v>85</v>
      </c>
      <c r="BC76" s="10" t="s">
        <v>85</v>
      </c>
      <c r="BD76" s="9">
        <v>0.824444</v>
      </c>
      <c r="BE76" s="9" t="s">
        <v>85</v>
      </c>
      <c r="BF76" s="9" t="s">
        <v>85</v>
      </c>
      <c r="BG76" s="9">
        <v>0.773333</v>
      </c>
      <c r="BH76" s="6"/>
      <c r="BI76" s="6" t="str">
        <f t="shared" si="1"/>
        <v>12V_One_Acc</v>
      </c>
      <c r="BJ76" s="6" t="str">
        <f t="shared" si="2"/>
        <v>10V_One_Acc</v>
      </c>
      <c r="BK76" s="6" t="str">
        <f t="shared" si="3"/>
        <v>5V_One_Acc</v>
      </c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</row>
    <row r="77" ht="15.75" customHeight="1">
      <c r="A77" s="1" t="s">
        <v>171</v>
      </c>
      <c r="B77" s="17">
        <v>2.0</v>
      </c>
      <c r="C77" s="9" t="s">
        <v>85</v>
      </c>
      <c r="D77" s="9" t="s">
        <v>85</v>
      </c>
      <c r="E77" s="9">
        <v>0.505556</v>
      </c>
      <c r="F77" s="9" t="s">
        <v>85</v>
      </c>
      <c r="G77" s="9" t="s">
        <v>85</v>
      </c>
      <c r="H77" s="9">
        <v>0.5</v>
      </c>
      <c r="I77" s="9" t="s">
        <v>85</v>
      </c>
      <c r="J77" s="9" t="s">
        <v>85</v>
      </c>
      <c r="K77" s="9">
        <v>0.511111</v>
      </c>
      <c r="L77" s="9" t="s">
        <v>85</v>
      </c>
      <c r="M77" s="9" t="s">
        <v>85</v>
      </c>
      <c r="N77" s="9">
        <v>0.5</v>
      </c>
      <c r="O77" s="9" t="s">
        <v>85</v>
      </c>
      <c r="P77" s="9" t="s">
        <v>85</v>
      </c>
      <c r="Q77" s="9">
        <v>0.533333</v>
      </c>
      <c r="R77" s="9" t="s">
        <v>85</v>
      </c>
      <c r="S77" s="9" t="s">
        <v>85</v>
      </c>
      <c r="T77" s="9">
        <v>0.544444</v>
      </c>
      <c r="U77" s="9" t="s">
        <v>85</v>
      </c>
      <c r="V77" s="9" t="s">
        <v>85</v>
      </c>
      <c r="W77" s="9">
        <v>0.522222</v>
      </c>
      <c r="X77" s="9" t="s">
        <v>85</v>
      </c>
      <c r="Y77" s="9" t="s">
        <v>85</v>
      </c>
      <c r="Z77" s="9">
        <v>0.5</v>
      </c>
      <c r="AA77" s="10" t="s">
        <v>85</v>
      </c>
      <c r="AB77" s="10" t="s">
        <v>85</v>
      </c>
      <c r="AC77" s="9">
        <v>0.494444</v>
      </c>
      <c r="AD77" s="9" t="s">
        <v>85</v>
      </c>
      <c r="AE77" s="9" t="s">
        <v>85</v>
      </c>
      <c r="AF77" s="9">
        <v>0.577778</v>
      </c>
      <c r="AG77" s="9" t="s">
        <v>85</v>
      </c>
      <c r="AH77" s="9" t="s">
        <v>85</v>
      </c>
      <c r="AI77" s="9">
        <v>0.511111</v>
      </c>
      <c r="AJ77" s="9" t="s">
        <v>85</v>
      </c>
      <c r="AK77" s="9" t="s">
        <v>85</v>
      </c>
      <c r="AL77" s="9">
        <v>0.527778</v>
      </c>
      <c r="AM77" s="9" t="s">
        <v>85</v>
      </c>
      <c r="AN77" s="9" t="s">
        <v>85</v>
      </c>
      <c r="AO77" s="9">
        <v>0.5</v>
      </c>
      <c r="AP77" s="9" t="s">
        <v>85</v>
      </c>
      <c r="AQ77" s="9" t="s">
        <v>85</v>
      </c>
      <c r="AR77" s="9">
        <v>0.5</v>
      </c>
      <c r="AS77" s="9" t="s">
        <v>85</v>
      </c>
      <c r="AT77" s="9" t="s">
        <v>85</v>
      </c>
      <c r="AU77" s="9">
        <v>0.466667</v>
      </c>
      <c r="AV77" s="9" t="s">
        <v>85</v>
      </c>
      <c r="AW77" s="9" t="s">
        <v>85</v>
      </c>
      <c r="AX77" s="9">
        <v>0.477778</v>
      </c>
      <c r="AY77" s="9" t="s">
        <v>85</v>
      </c>
      <c r="AZ77" s="9" t="s">
        <v>85</v>
      </c>
      <c r="BA77" s="9">
        <v>0.544444</v>
      </c>
      <c r="BB77" s="10" t="s">
        <v>85</v>
      </c>
      <c r="BC77" s="10" t="s">
        <v>85</v>
      </c>
      <c r="BD77" s="9">
        <v>0.5</v>
      </c>
      <c r="BE77" s="9" t="s">
        <v>85</v>
      </c>
      <c r="BF77" s="9" t="s">
        <v>85</v>
      </c>
      <c r="BG77" s="9">
        <v>0.477778</v>
      </c>
      <c r="BH77" s="6"/>
      <c r="BI77" s="6" t="str">
        <f t="shared" si="1"/>
        <v>10BN_One_Acc</v>
      </c>
      <c r="BJ77" s="6" t="str">
        <f t="shared" si="2"/>
        <v>8BN_One_Acc</v>
      </c>
      <c r="BK77" s="6" t="str">
        <f t="shared" si="3"/>
        <v>8BN_One_Acc</v>
      </c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</row>
    <row r="78" ht="15.75" customHeight="1">
      <c r="A78" s="1" t="s">
        <v>172</v>
      </c>
      <c r="B78" s="17">
        <v>60.0</v>
      </c>
      <c r="C78" s="9" t="s">
        <v>85</v>
      </c>
      <c r="D78" s="9" t="s">
        <v>85</v>
      </c>
      <c r="E78" s="9">
        <v>0.165</v>
      </c>
      <c r="F78" s="9" t="s">
        <v>85</v>
      </c>
      <c r="G78" s="9" t="s">
        <v>85</v>
      </c>
      <c r="H78" s="9">
        <v>0.016667</v>
      </c>
      <c r="I78" s="9" t="s">
        <v>85</v>
      </c>
      <c r="J78" s="9" t="s">
        <v>85</v>
      </c>
      <c r="K78" s="9">
        <v>0.405</v>
      </c>
      <c r="L78" s="9" t="s">
        <v>85</v>
      </c>
      <c r="M78" s="9" t="s">
        <v>85</v>
      </c>
      <c r="N78" s="9">
        <v>0.26</v>
      </c>
      <c r="O78" s="9" t="s">
        <v>85</v>
      </c>
      <c r="P78" s="9" t="s">
        <v>85</v>
      </c>
      <c r="Q78" s="9">
        <v>0.4</v>
      </c>
      <c r="R78" s="9" t="s">
        <v>85</v>
      </c>
      <c r="S78" s="9" t="s">
        <v>85</v>
      </c>
      <c r="T78" s="9">
        <v>0.35</v>
      </c>
      <c r="U78" s="9" t="s">
        <v>85</v>
      </c>
      <c r="V78" s="9" t="s">
        <v>85</v>
      </c>
      <c r="W78" s="9">
        <v>0.47</v>
      </c>
      <c r="X78" s="9" t="s">
        <v>85</v>
      </c>
      <c r="Y78" s="9" t="s">
        <v>85</v>
      </c>
      <c r="Z78" s="9">
        <v>0.326667</v>
      </c>
      <c r="AA78" s="10" t="s">
        <v>85</v>
      </c>
      <c r="AB78" s="10" t="s">
        <v>85</v>
      </c>
      <c r="AC78" s="9">
        <v>0.618333</v>
      </c>
      <c r="AD78" s="9" t="s">
        <v>85</v>
      </c>
      <c r="AE78" s="9" t="s">
        <v>85</v>
      </c>
      <c r="AF78" s="9">
        <v>0.62</v>
      </c>
      <c r="AG78" s="9" t="s">
        <v>85</v>
      </c>
      <c r="AH78" s="9" t="s">
        <v>85</v>
      </c>
      <c r="AI78" s="9">
        <v>0.236667</v>
      </c>
      <c r="AJ78" s="9" t="s">
        <v>85</v>
      </c>
      <c r="AK78" s="9" t="s">
        <v>85</v>
      </c>
      <c r="AL78" s="9">
        <v>0.465</v>
      </c>
      <c r="AM78" s="9" t="s">
        <v>85</v>
      </c>
      <c r="AN78" s="9" t="s">
        <v>85</v>
      </c>
      <c r="AO78" s="9">
        <v>0.395</v>
      </c>
      <c r="AP78" s="9" t="s">
        <v>85</v>
      </c>
      <c r="AQ78" s="9" t="s">
        <v>85</v>
      </c>
      <c r="AR78" s="9">
        <v>0.411667</v>
      </c>
      <c r="AS78" s="9" t="s">
        <v>85</v>
      </c>
      <c r="AT78" s="9" t="s">
        <v>85</v>
      </c>
      <c r="AU78" s="9">
        <v>0.38</v>
      </c>
      <c r="AV78" s="9" t="s">
        <v>85</v>
      </c>
      <c r="AW78" s="9" t="s">
        <v>85</v>
      </c>
      <c r="AX78" s="9">
        <v>0.463333</v>
      </c>
      <c r="AY78" s="9" t="s">
        <v>85</v>
      </c>
      <c r="AZ78" s="9" t="s">
        <v>85</v>
      </c>
      <c r="BA78" s="9">
        <v>0.41</v>
      </c>
      <c r="BB78" s="10" t="s">
        <v>85</v>
      </c>
      <c r="BC78" s="10" t="s">
        <v>85</v>
      </c>
      <c r="BD78" s="9">
        <v>0.381667</v>
      </c>
      <c r="BE78" s="9" t="s">
        <v>85</v>
      </c>
      <c r="BF78" s="9" t="s">
        <v>85</v>
      </c>
      <c r="BG78" s="9">
        <v>0.31</v>
      </c>
      <c r="BH78" s="6"/>
      <c r="BI78" s="6" t="str">
        <f t="shared" si="1"/>
        <v>10BN_One_Acc</v>
      </c>
      <c r="BJ78" s="6" t="str">
        <f t="shared" si="2"/>
        <v>10B_One_Acc</v>
      </c>
      <c r="BK78" s="6" t="str">
        <f t="shared" si="3"/>
        <v>8V_One_Acc</v>
      </c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</row>
    <row r="79" ht="15.75" customHeight="1">
      <c r="A79" s="1" t="s">
        <v>173</v>
      </c>
      <c r="B79" s="17">
        <v>3.0</v>
      </c>
      <c r="C79" s="9" t="s">
        <v>85</v>
      </c>
      <c r="D79" s="9" t="s">
        <v>85</v>
      </c>
      <c r="E79" s="9">
        <v>0.629333</v>
      </c>
      <c r="F79" s="9" t="s">
        <v>85</v>
      </c>
      <c r="G79" s="9" t="s">
        <v>85</v>
      </c>
      <c r="H79" s="9">
        <v>0.333333</v>
      </c>
      <c r="I79" s="9" t="s">
        <v>85</v>
      </c>
      <c r="J79" s="9" t="s">
        <v>85</v>
      </c>
      <c r="K79" s="9">
        <v>0.752</v>
      </c>
      <c r="L79" s="9" t="s">
        <v>85</v>
      </c>
      <c r="M79" s="9" t="s">
        <v>85</v>
      </c>
      <c r="N79" s="9">
        <v>0.754667</v>
      </c>
      <c r="O79" s="9" t="s">
        <v>85</v>
      </c>
      <c r="P79" s="9" t="s">
        <v>85</v>
      </c>
      <c r="Q79" s="9">
        <v>0.52</v>
      </c>
      <c r="R79" s="9" t="s">
        <v>85</v>
      </c>
      <c r="S79" s="9" t="s">
        <v>85</v>
      </c>
      <c r="T79" s="9">
        <v>0.442667</v>
      </c>
      <c r="U79" s="9" t="s">
        <v>85</v>
      </c>
      <c r="V79" s="9" t="s">
        <v>85</v>
      </c>
      <c r="W79" s="9">
        <v>0.805333</v>
      </c>
      <c r="X79" s="9" t="s">
        <v>85</v>
      </c>
      <c r="Y79" s="9" t="s">
        <v>85</v>
      </c>
      <c r="Z79" s="9">
        <v>0.797333</v>
      </c>
      <c r="AA79" s="10" t="s">
        <v>85</v>
      </c>
      <c r="AB79" s="10" t="s">
        <v>85</v>
      </c>
      <c r="AC79" s="9">
        <v>0.624</v>
      </c>
      <c r="AD79" s="9" t="s">
        <v>85</v>
      </c>
      <c r="AE79" s="9" t="s">
        <v>85</v>
      </c>
      <c r="AF79" s="9">
        <v>0.64</v>
      </c>
      <c r="AG79" s="9" t="s">
        <v>85</v>
      </c>
      <c r="AH79" s="9" t="s">
        <v>85</v>
      </c>
      <c r="AI79" s="9">
        <v>0.792</v>
      </c>
      <c r="AJ79" s="9" t="s">
        <v>85</v>
      </c>
      <c r="AK79" s="9" t="s">
        <v>85</v>
      </c>
      <c r="AL79" s="9">
        <v>0.789333</v>
      </c>
      <c r="AM79" s="9" t="s">
        <v>85</v>
      </c>
      <c r="AN79" s="9" t="s">
        <v>85</v>
      </c>
      <c r="AO79" s="9">
        <v>0.616</v>
      </c>
      <c r="AP79" s="9" t="s">
        <v>85</v>
      </c>
      <c r="AQ79" s="9" t="s">
        <v>85</v>
      </c>
      <c r="AR79" s="9">
        <v>0.632</v>
      </c>
      <c r="AS79" s="9" t="s">
        <v>85</v>
      </c>
      <c r="AT79" s="9" t="s">
        <v>85</v>
      </c>
      <c r="AU79" s="9">
        <v>0.781333</v>
      </c>
      <c r="AV79" s="9" t="s">
        <v>85</v>
      </c>
      <c r="AW79" s="9" t="s">
        <v>85</v>
      </c>
      <c r="AX79" s="9">
        <v>0.768</v>
      </c>
      <c r="AY79" s="9" t="s">
        <v>85</v>
      </c>
      <c r="AZ79" s="9" t="s">
        <v>85</v>
      </c>
      <c r="BA79" s="9">
        <v>0.664</v>
      </c>
      <c r="BB79" s="10" t="s">
        <v>85</v>
      </c>
      <c r="BC79" s="10" t="s">
        <v>85</v>
      </c>
      <c r="BD79" s="9">
        <v>0.786667</v>
      </c>
      <c r="BE79" s="9" t="s">
        <v>85</v>
      </c>
      <c r="BF79" s="9" t="s">
        <v>85</v>
      </c>
      <c r="BG79" s="9">
        <v>0.52</v>
      </c>
      <c r="BH79" s="6"/>
      <c r="BI79" s="6" t="str">
        <f t="shared" si="1"/>
        <v>8V_One_Acc</v>
      </c>
      <c r="BJ79" s="6" t="str">
        <f t="shared" si="2"/>
        <v>8VB_One_Acc</v>
      </c>
      <c r="BK79" s="6" t="str">
        <f t="shared" si="3"/>
        <v>10V_One_Acc</v>
      </c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</row>
    <row r="80" ht="15.75" customHeight="1">
      <c r="A80" s="1" t="s">
        <v>174</v>
      </c>
      <c r="B80" s="17">
        <v>3.0</v>
      </c>
      <c r="C80" s="9" t="s">
        <v>85</v>
      </c>
      <c r="D80" s="9" t="s">
        <v>85</v>
      </c>
      <c r="E80" s="9">
        <v>0.96</v>
      </c>
      <c r="F80" s="9" t="s">
        <v>85</v>
      </c>
      <c r="G80" s="9" t="s">
        <v>85</v>
      </c>
      <c r="H80" s="9">
        <v>0.34</v>
      </c>
      <c r="I80" s="9" t="s">
        <v>85</v>
      </c>
      <c r="J80" s="9" t="s">
        <v>85</v>
      </c>
      <c r="K80" s="9">
        <v>0.906667</v>
      </c>
      <c r="L80" s="9" t="s">
        <v>85</v>
      </c>
      <c r="M80" s="9" t="s">
        <v>85</v>
      </c>
      <c r="N80" s="9">
        <v>0.946667</v>
      </c>
      <c r="O80" s="9" t="s">
        <v>85</v>
      </c>
      <c r="P80" s="9" t="s">
        <v>85</v>
      </c>
      <c r="Q80" s="9">
        <v>0.926667</v>
      </c>
      <c r="R80" s="9" t="s">
        <v>85</v>
      </c>
      <c r="S80" s="9" t="s">
        <v>85</v>
      </c>
      <c r="T80" s="9">
        <v>0.933333</v>
      </c>
      <c r="U80" s="9" t="s">
        <v>85</v>
      </c>
      <c r="V80" s="9" t="s">
        <v>85</v>
      </c>
      <c r="W80" s="9">
        <v>0.34</v>
      </c>
      <c r="X80" s="9" t="s">
        <v>85</v>
      </c>
      <c r="Y80" s="9" t="s">
        <v>85</v>
      </c>
      <c r="Z80" s="9">
        <v>0.946667</v>
      </c>
      <c r="AA80" s="10" t="s">
        <v>85</v>
      </c>
      <c r="AB80" s="10" t="s">
        <v>85</v>
      </c>
      <c r="AC80" s="9">
        <v>0.92</v>
      </c>
      <c r="AD80" s="9" t="s">
        <v>85</v>
      </c>
      <c r="AE80" s="9" t="s">
        <v>85</v>
      </c>
      <c r="AF80" s="9">
        <v>0.94</v>
      </c>
      <c r="AG80" s="9" t="s">
        <v>85</v>
      </c>
      <c r="AH80" s="9" t="s">
        <v>85</v>
      </c>
      <c r="AI80" s="9">
        <v>0.42</v>
      </c>
      <c r="AJ80" s="9" t="s">
        <v>85</v>
      </c>
      <c r="AK80" s="9" t="s">
        <v>85</v>
      </c>
      <c r="AL80" s="9">
        <v>0.966667</v>
      </c>
      <c r="AM80" s="9" t="s">
        <v>85</v>
      </c>
      <c r="AN80" s="9" t="s">
        <v>85</v>
      </c>
      <c r="AO80" s="9">
        <v>0.933333</v>
      </c>
      <c r="AP80" s="9" t="s">
        <v>85</v>
      </c>
      <c r="AQ80" s="9" t="s">
        <v>85</v>
      </c>
      <c r="AR80" s="9">
        <v>0.933333</v>
      </c>
      <c r="AS80" s="9" t="s">
        <v>85</v>
      </c>
      <c r="AT80" s="9" t="s">
        <v>85</v>
      </c>
      <c r="AU80" s="9">
        <v>0.373333</v>
      </c>
      <c r="AV80" s="9" t="s">
        <v>85</v>
      </c>
      <c r="AW80" s="9" t="s">
        <v>85</v>
      </c>
      <c r="AX80" s="9">
        <v>0.94</v>
      </c>
      <c r="AY80" s="9" t="s">
        <v>85</v>
      </c>
      <c r="AZ80" s="9" t="s">
        <v>85</v>
      </c>
      <c r="BA80" s="9">
        <v>0.706667</v>
      </c>
      <c r="BB80" s="10" t="s">
        <v>85</v>
      </c>
      <c r="BC80" s="10" t="s">
        <v>85</v>
      </c>
      <c r="BD80" s="9">
        <v>0.826667</v>
      </c>
      <c r="BE80" s="9" t="s">
        <v>85</v>
      </c>
      <c r="BF80" s="9" t="s">
        <v>85</v>
      </c>
      <c r="BG80" s="9">
        <v>0.92</v>
      </c>
      <c r="BH80" s="6"/>
      <c r="BI80" s="6" t="str">
        <f t="shared" si="1"/>
        <v>10VB_One_Acc</v>
      </c>
      <c r="BJ80" s="6" t="str">
        <f t="shared" si="2"/>
        <v>5B_One_Acc</v>
      </c>
      <c r="BK80" s="6" t="str">
        <f t="shared" si="3"/>
        <v>5VB_One_Acc</v>
      </c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</row>
    <row r="81" ht="15.75" customHeight="1">
      <c r="A81" s="1" t="s">
        <v>175</v>
      </c>
      <c r="B81" s="17">
        <v>2.0</v>
      </c>
      <c r="C81" s="9" t="s">
        <v>85</v>
      </c>
      <c r="D81" s="9" t="s">
        <v>85</v>
      </c>
      <c r="E81" s="9">
        <v>0.557404</v>
      </c>
      <c r="F81" s="9" t="s">
        <v>85</v>
      </c>
      <c r="G81" s="9" t="s">
        <v>85</v>
      </c>
      <c r="H81" s="9">
        <v>0.570715</v>
      </c>
      <c r="I81" s="9" t="s">
        <v>85</v>
      </c>
      <c r="J81" s="9" t="s">
        <v>85</v>
      </c>
      <c r="K81" s="9">
        <v>0.607321</v>
      </c>
      <c r="L81" s="9" t="s">
        <v>85</v>
      </c>
      <c r="M81" s="9" t="s">
        <v>85</v>
      </c>
      <c r="N81" s="9">
        <v>0.627288</v>
      </c>
      <c r="O81" s="9" t="s">
        <v>85</v>
      </c>
      <c r="P81" s="9" t="s">
        <v>85</v>
      </c>
      <c r="Q81" s="9">
        <v>0.673877</v>
      </c>
      <c r="R81" s="9" t="s">
        <v>85</v>
      </c>
      <c r="S81" s="9" t="s">
        <v>85</v>
      </c>
      <c r="T81" s="9">
        <v>0.65391</v>
      </c>
      <c r="U81" s="9" t="s">
        <v>85</v>
      </c>
      <c r="V81" s="9" t="s">
        <v>85</v>
      </c>
      <c r="W81" s="9">
        <v>0.524126</v>
      </c>
      <c r="X81" s="9" t="s">
        <v>85</v>
      </c>
      <c r="Y81" s="9" t="s">
        <v>85</v>
      </c>
      <c r="Z81" s="9">
        <v>0.550749</v>
      </c>
      <c r="AA81" s="10" t="s">
        <v>85</v>
      </c>
      <c r="AB81" s="10" t="s">
        <v>85</v>
      </c>
      <c r="AC81" s="9">
        <v>0.580699</v>
      </c>
      <c r="AD81" s="9" t="s">
        <v>85</v>
      </c>
      <c r="AE81" s="9" t="s">
        <v>85</v>
      </c>
      <c r="AF81" s="9">
        <v>0.552413</v>
      </c>
      <c r="AG81" s="9" t="s">
        <v>85</v>
      </c>
      <c r="AH81" s="9" t="s">
        <v>85</v>
      </c>
      <c r="AI81" s="9">
        <v>0.552413</v>
      </c>
      <c r="AJ81" s="9" t="s">
        <v>85</v>
      </c>
      <c r="AK81" s="9" t="s">
        <v>85</v>
      </c>
      <c r="AL81" s="9">
        <v>0.580699</v>
      </c>
      <c r="AM81" s="9" t="s">
        <v>85</v>
      </c>
      <c r="AN81" s="9" t="s">
        <v>85</v>
      </c>
      <c r="AO81" s="9">
        <v>0.603993</v>
      </c>
      <c r="AP81" s="9" t="s">
        <v>85</v>
      </c>
      <c r="AQ81" s="9" t="s">
        <v>85</v>
      </c>
      <c r="AR81" s="9">
        <v>0.499168</v>
      </c>
      <c r="AS81" s="9" t="s">
        <v>85</v>
      </c>
      <c r="AT81" s="9" t="s">
        <v>85</v>
      </c>
      <c r="AU81" s="9">
        <v>0.630616</v>
      </c>
      <c r="AV81" s="9" t="s">
        <v>85</v>
      </c>
      <c r="AW81" s="9" t="s">
        <v>85</v>
      </c>
      <c r="AX81" s="9">
        <v>0.677205</v>
      </c>
      <c r="AY81" s="9" t="s">
        <v>85</v>
      </c>
      <c r="AZ81" s="9" t="s">
        <v>85</v>
      </c>
      <c r="BA81" s="9">
        <v>0.49584</v>
      </c>
      <c r="BB81" s="10" t="s">
        <v>85</v>
      </c>
      <c r="BC81" s="10" t="s">
        <v>85</v>
      </c>
      <c r="BD81" s="9">
        <v>0.667221</v>
      </c>
      <c r="BE81" s="9" t="s">
        <v>85</v>
      </c>
      <c r="BF81" s="9" t="s">
        <v>85</v>
      </c>
      <c r="BG81" s="9">
        <v>0.742096</v>
      </c>
      <c r="BH81" s="6"/>
      <c r="BI81" s="6" t="str">
        <f t="shared" si="1"/>
        <v>De_One_Acc</v>
      </c>
      <c r="BJ81" s="6" t="str">
        <f t="shared" si="2"/>
        <v>12VB_One_Acc</v>
      </c>
      <c r="BK81" s="6" t="str">
        <f t="shared" si="3"/>
        <v>8B_One_Acc</v>
      </c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</row>
    <row r="82" ht="15.75" customHeight="1">
      <c r="A82" s="1" t="s">
        <v>176</v>
      </c>
      <c r="B82" s="17">
        <v>2.0</v>
      </c>
      <c r="C82" s="9" t="s">
        <v>85</v>
      </c>
      <c r="D82" s="9" t="s">
        <v>85</v>
      </c>
      <c r="E82" s="9">
        <v>0.743966</v>
      </c>
      <c r="F82" s="9" t="s">
        <v>85</v>
      </c>
      <c r="G82" s="9" t="s">
        <v>85</v>
      </c>
      <c r="H82" s="9">
        <v>0.616999</v>
      </c>
      <c r="I82" s="9" t="s">
        <v>85</v>
      </c>
      <c r="J82" s="9" t="s">
        <v>85</v>
      </c>
      <c r="K82" s="9">
        <v>0.766002</v>
      </c>
      <c r="L82" s="9" t="s">
        <v>85</v>
      </c>
      <c r="M82" s="9" t="s">
        <v>85</v>
      </c>
      <c r="N82" s="9">
        <v>0.767051</v>
      </c>
      <c r="O82" s="9" t="s">
        <v>85</v>
      </c>
      <c r="P82" s="9" t="s">
        <v>85</v>
      </c>
      <c r="Q82" s="9">
        <v>0.796432</v>
      </c>
      <c r="R82" s="9" t="s">
        <v>85</v>
      </c>
      <c r="S82" s="9" t="s">
        <v>85</v>
      </c>
      <c r="T82" s="9">
        <v>0.797482</v>
      </c>
      <c r="U82" s="9" t="s">
        <v>85</v>
      </c>
      <c r="V82" s="9" t="s">
        <v>85</v>
      </c>
      <c r="W82" s="9">
        <v>0.779643</v>
      </c>
      <c r="X82" s="9" t="s">
        <v>85</v>
      </c>
      <c r="Y82" s="9" t="s">
        <v>85</v>
      </c>
      <c r="Z82" s="9">
        <v>0.782791</v>
      </c>
      <c r="AA82" s="10" t="s">
        <v>85</v>
      </c>
      <c r="AB82" s="10" t="s">
        <v>85</v>
      </c>
      <c r="AC82" s="9">
        <v>0.779643</v>
      </c>
      <c r="AD82" s="9" t="s">
        <v>85</v>
      </c>
      <c r="AE82" s="9" t="s">
        <v>85</v>
      </c>
      <c r="AF82" s="9">
        <v>0.776495</v>
      </c>
      <c r="AG82" s="9" t="s">
        <v>85</v>
      </c>
      <c r="AH82" s="9" t="s">
        <v>85</v>
      </c>
      <c r="AI82" s="9">
        <v>0.755509</v>
      </c>
      <c r="AJ82" s="9" t="s">
        <v>85</v>
      </c>
      <c r="AK82" s="9" t="s">
        <v>85</v>
      </c>
      <c r="AL82" s="9">
        <v>0.743966</v>
      </c>
      <c r="AM82" s="9" t="s">
        <v>85</v>
      </c>
      <c r="AN82" s="9" t="s">
        <v>85</v>
      </c>
      <c r="AO82" s="9">
        <v>0.796432</v>
      </c>
      <c r="AP82" s="9" t="s">
        <v>85</v>
      </c>
      <c r="AQ82" s="9" t="s">
        <v>85</v>
      </c>
      <c r="AR82" s="9">
        <v>0.795383</v>
      </c>
      <c r="AS82" s="9" t="s">
        <v>85</v>
      </c>
      <c r="AT82" s="9" t="s">
        <v>85</v>
      </c>
      <c r="AU82" s="9">
        <v>0.795383</v>
      </c>
      <c r="AV82" s="9" t="s">
        <v>85</v>
      </c>
      <c r="AW82" s="9" t="s">
        <v>85</v>
      </c>
      <c r="AX82" s="9">
        <v>0.798531</v>
      </c>
      <c r="AY82" s="9" t="s">
        <v>85</v>
      </c>
      <c r="AZ82" s="9" t="s">
        <v>85</v>
      </c>
      <c r="BA82" s="9">
        <v>0.78489</v>
      </c>
      <c r="BB82" s="10" t="s">
        <v>85</v>
      </c>
      <c r="BC82" s="10" t="s">
        <v>85</v>
      </c>
      <c r="BD82" s="9">
        <v>0.803778</v>
      </c>
      <c r="BE82" s="9" t="s">
        <v>85</v>
      </c>
      <c r="BF82" s="9" t="s">
        <v>85</v>
      </c>
      <c r="BG82" s="9">
        <v>0.820567</v>
      </c>
      <c r="BH82" s="6"/>
      <c r="BI82" s="6" t="str">
        <f t="shared" si="1"/>
        <v>De_One_Acc</v>
      </c>
      <c r="BJ82" s="6" t="str">
        <f t="shared" si="2"/>
        <v>20V_One_Acc</v>
      </c>
      <c r="BK82" s="6" t="str">
        <f t="shared" si="3"/>
        <v>12VB_One_Acc</v>
      </c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</row>
    <row r="83" ht="15.75" customHeight="1">
      <c r="A83" s="1" t="s">
        <v>177</v>
      </c>
      <c r="B83" s="17">
        <v>3.0</v>
      </c>
      <c r="C83" s="9" t="s">
        <v>85</v>
      </c>
      <c r="D83" s="9" t="s">
        <v>85</v>
      </c>
      <c r="E83" s="9">
        <v>0.927635</v>
      </c>
      <c r="F83" s="9" t="s">
        <v>85</v>
      </c>
      <c r="G83" s="9" t="s">
        <v>85</v>
      </c>
      <c r="H83" s="9">
        <v>0.577222</v>
      </c>
      <c r="I83" s="9" t="s">
        <v>85</v>
      </c>
      <c r="J83" s="9" t="s">
        <v>85</v>
      </c>
      <c r="K83" s="9">
        <v>0.930792</v>
      </c>
      <c r="L83" s="9" t="s">
        <v>85</v>
      </c>
      <c r="M83" s="9" t="s">
        <v>85</v>
      </c>
      <c r="N83" s="9">
        <v>0.932127</v>
      </c>
      <c r="O83" s="9" t="s">
        <v>85</v>
      </c>
      <c r="P83" s="9" t="s">
        <v>85</v>
      </c>
      <c r="Q83" s="9">
        <v>0.93407</v>
      </c>
      <c r="R83" s="9" t="s">
        <v>85</v>
      </c>
      <c r="S83" s="9" t="s">
        <v>85</v>
      </c>
      <c r="T83" s="9">
        <v>0.934677</v>
      </c>
      <c r="U83" s="9" t="s">
        <v>85</v>
      </c>
      <c r="V83" s="9" t="s">
        <v>85</v>
      </c>
      <c r="W83" s="9">
        <v>0.934556</v>
      </c>
      <c r="X83" s="9" t="s">
        <v>85</v>
      </c>
      <c r="Y83" s="9" t="s">
        <v>85</v>
      </c>
      <c r="Z83" s="9">
        <v>0.937227</v>
      </c>
      <c r="AA83" s="10" t="s">
        <v>85</v>
      </c>
      <c r="AB83" s="10" t="s">
        <v>85</v>
      </c>
      <c r="AC83" s="9">
        <v>0.934556</v>
      </c>
      <c r="AD83" s="9" t="s">
        <v>85</v>
      </c>
      <c r="AE83" s="9" t="s">
        <v>85</v>
      </c>
      <c r="AF83" s="9">
        <v>0.930792</v>
      </c>
      <c r="AG83" s="9" t="s">
        <v>85</v>
      </c>
      <c r="AH83" s="9" t="s">
        <v>85</v>
      </c>
      <c r="AI83" s="9">
        <v>0.937834</v>
      </c>
      <c r="AJ83" s="9" t="s">
        <v>85</v>
      </c>
      <c r="AK83" s="9" t="s">
        <v>85</v>
      </c>
      <c r="AL83" s="9">
        <v>0.939412</v>
      </c>
      <c r="AM83" s="9" t="s">
        <v>85</v>
      </c>
      <c r="AN83" s="9" t="s">
        <v>85</v>
      </c>
      <c r="AO83" s="9">
        <v>0.941234</v>
      </c>
      <c r="AP83" s="9" t="s">
        <v>85</v>
      </c>
      <c r="AQ83" s="9" t="s">
        <v>85</v>
      </c>
      <c r="AR83" s="9">
        <v>0.93577</v>
      </c>
      <c r="AS83" s="9" t="s">
        <v>85</v>
      </c>
      <c r="AT83" s="9" t="s">
        <v>85</v>
      </c>
      <c r="AU83" s="9">
        <v>0.95034</v>
      </c>
      <c r="AV83" s="9" t="s">
        <v>85</v>
      </c>
      <c r="AW83" s="9" t="s">
        <v>85</v>
      </c>
      <c r="AX83" s="9">
        <v>0.953254</v>
      </c>
      <c r="AY83" s="9" t="s">
        <v>85</v>
      </c>
      <c r="AZ83" s="9" t="s">
        <v>85</v>
      </c>
      <c r="BA83" s="9">
        <v>0.940869</v>
      </c>
      <c r="BB83" s="10" t="s">
        <v>85</v>
      </c>
      <c r="BC83" s="10" t="s">
        <v>85</v>
      </c>
      <c r="BD83" s="9">
        <v>0.954104</v>
      </c>
      <c r="BE83" s="9" t="s">
        <v>85</v>
      </c>
      <c r="BF83" s="9" t="s">
        <v>85</v>
      </c>
      <c r="BG83" s="9">
        <v>0.921442</v>
      </c>
      <c r="BH83" s="6"/>
      <c r="BI83" s="6" t="str">
        <f t="shared" si="1"/>
        <v>20V_One_Acc</v>
      </c>
      <c r="BJ83" s="6" t="str">
        <f t="shared" si="2"/>
        <v>12VB_One_Acc</v>
      </c>
      <c r="BK83" s="6" t="str">
        <f t="shared" si="3"/>
        <v>12V_One_Acc</v>
      </c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</row>
    <row r="84" ht="15.75" customHeight="1">
      <c r="A84" s="1" t="s">
        <v>178</v>
      </c>
      <c r="B84" s="17">
        <v>2.0</v>
      </c>
      <c r="C84" s="9" t="s">
        <v>85</v>
      </c>
      <c r="D84" s="9" t="s">
        <v>85</v>
      </c>
      <c r="E84" s="9">
        <v>0.908108</v>
      </c>
      <c r="F84" s="9" t="s">
        <v>85</v>
      </c>
      <c r="G84" s="9" t="s">
        <v>85</v>
      </c>
      <c r="H84" s="9">
        <v>0.643243</v>
      </c>
      <c r="I84" s="9" t="s">
        <v>85</v>
      </c>
      <c r="J84" s="9" t="s">
        <v>85</v>
      </c>
      <c r="K84" s="9">
        <v>0.910811</v>
      </c>
      <c r="L84" s="9" t="s">
        <v>85</v>
      </c>
      <c r="M84" s="9" t="s">
        <v>85</v>
      </c>
      <c r="N84" s="9">
        <v>0.913514</v>
      </c>
      <c r="O84" s="9" t="s">
        <v>85</v>
      </c>
      <c r="P84" s="9" t="s">
        <v>85</v>
      </c>
      <c r="Q84" s="9">
        <v>0.92973</v>
      </c>
      <c r="R84" s="9" t="s">
        <v>85</v>
      </c>
      <c r="S84" s="9" t="s">
        <v>85</v>
      </c>
      <c r="T84" s="9">
        <v>0.910811</v>
      </c>
      <c r="U84" s="9" t="s">
        <v>85</v>
      </c>
      <c r="V84" s="9" t="s">
        <v>85</v>
      </c>
      <c r="W84" s="9">
        <v>0.897297</v>
      </c>
      <c r="X84" s="9" t="s">
        <v>85</v>
      </c>
      <c r="Y84" s="9" t="s">
        <v>85</v>
      </c>
      <c r="Z84" s="9">
        <v>0.910811</v>
      </c>
      <c r="AA84" s="10" t="s">
        <v>85</v>
      </c>
      <c r="AB84" s="10" t="s">
        <v>85</v>
      </c>
      <c r="AC84" s="9">
        <v>0.92973</v>
      </c>
      <c r="AD84" s="9" t="s">
        <v>85</v>
      </c>
      <c r="AE84" s="9" t="s">
        <v>85</v>
      </c>
      <c r="AF84" s="9">
        <v>0.924324</v>
      </c>
      <c r="AG84" s="9" t="s">
        <v>85</v>
      </c>
      <c r="AH84" s="9" t="s">
        <v>85</v>
      </c>
      <c r="AI84" s="9">
        <v>0.918919</v>
      </c>
      <c r="AJ84" s="9" t="s">
        <v>85</v>
      </c>
      <c r="AK84" s="9" t="s">
        <v>85</v>
      </c>
      <c r="AL84" s="9">
        <v>0.918919</v>
      </c>
      <c r="AM84" s="9" t="s">
        <v>85</v>
      </c>
      <c r="AN84" s="9" t="s">
        <v>85</v>
      </c>
      <c r="AO84" s="9">
        <v>0.940541</v>
      </c>
      <c r="AP84" s="9" t="s">
        <v>85</v>
      </c>
      <c r="AQ84" s="9" t="s">
        <v>85</v>
      </c>
      <c r="AR84" s="9">
        <v>0.927027</v>
      </c>
      <c r="AS84" s="9" t="s">
        <v>85</v>
      </c>
      <c r="AT84" s="9" t="s">
        <v>85</v>
      </c>
      <c r="AU84" s="9">
        <v>0.937838</v>
      </c>
      <c r="AV84" s="9" t="s">
        <v>85</v>
      </c>
      <c r="AW84" s="9" t="s">
        <v>85</v>
      </c>
      <c r="AX84" s="9">
        <v>0.951351</v>
      </c>
      <c r="AY84" s="9" t="s">
        <v>85</v>
      </c>
      <c r="AZ84" s="9" t="s">
        <v>85</v>
      </c>
      <c r="BA84" s="9">
        <v>0.935135</v>
      </c>
      <c r="BB84" s="10" t="s">
        <v>85</v>
      </c>
      <c r="BC84" s="10" t="s">
        <v>85</v>
      </c>
      <c r="BD84" s="9">
        <v>0.943243</v>
      </c>
      <c r="BE84" s="9" t="s">
        <v>85</v>
      </c>
      <c r="BF84" s="9" t="s">
        <v>85</v>
      </c>
      <c r="BG84" s="9">
        <v>0.954054</v>
      </c>
      <c r="BH84" s="6"/>
      <c r="BI84" s="6" t="str">
        <f t="shared" si="1"/>
        <v>De_One_Acc</v>
      </c>
      <c r="BJ84" s="6" t="str">
        <f t="shared" si="2"/>
        <v>12VB_One_Acc</v>
      </c>
      <c r="BK84" s="6" t="str">
        <f t="shared" si="3"/>
        <v>20V_One_Acc</v>
      </c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</row>
    <row r="85" ht="15.75" customHeight="1">
      <c r="A85" s="1" t="s">
        <v>179</v>
      </c>
      <c r="B85" s="17">
        <v>15.0</v>
      </c>
      <c r="C85" s="9" t="s">
        <v>85</v>
      </c>
      <c r="D85" s="9" t="s">
        <v>85</v>
      </c>
      <c r="E85" s="9">
        <v>0.7408</v>
      </c>
      <c r="F85" s="9" t="s">
        <v>85</v>
      </c>
      <c r="G85" s="9" t="s">
        <v>85</v>
      </c>
      <c r="H85" s="9">
        <v>0.0528</v>
      </c>
      <c r="I85" s="9" t="s">
        <v>85</v>
      </c>
      <c r="J85" s="9" t="s">
        <v>85</v>
      </c>
      <c r="K85" s="9">
        <v>0.7808</v>
      </c>
      <c r="L85" s="9" t="s">
        <v>85</v>
      </c>
      <c r="M85" s="9" t="s">
        <v>85</v>
      </c>
      <c r="N85" s="9">
        <v>0.5424</v>
      </c>
      <c r="O85" s="9" t="s">
        <v>85</v>
      </c>
      <c r="P85" s="9" t="s">
        <v>85</v>
      </c>
      <c r="Q85" s="9">
        <v>0.7216</v>
      </c>
      <c r="R85" s="9" t="s">
        <v>85</v>
      </c>
      <c r="S85" s="9" t="s">
        <v>85</v>
      </c>
      <c r="T85" s="9">
        <v>0.7856</v>
      </c>
      <c r="U85" s="9" t="s">
        <v>85</v>
      </c>
      <c r="V85" s="9" t="s">
        <v>85</v>
      </c>
      <c r="W85" s="9">
        <v>0.8352</v>
      </c>
      <c r="X85" s="9" t="s">
        <v>85</v>
      </c>
      <c r="Y85" s="9" t="s">
        <v>85</v>
      </c>
      <c r="Z85" s="9">
        <v>0.592</v>
      </c>
      <c r="AA85" s="10" t="s">
        <v>85</v>
      </c>
      <c r="AB85" s="10" t="s">
        <v>85</v>
      </c>
      <c r="AC85" s="9">
        <v>0.7504</v>
      </c>
      <c r="AD85" s="9" t="s">
        <v>85</v>
      </c>
      <c r="AE85" s="9" t="s">
        <v>85</v>
      </c>
      <c r="AF85" s="9">
        <v>0.7984</v>
      </c>
      <c r="AG85" s="9" t="s">
        <v>85</v>
      </c>
      <c r="AH85" s="9" t="s">
        <v>85</v>
      </c>
      <c r="AI85" s="9">
        <v>0.7568</v>
      </c>
      <c r="AJ85" s="9" t="s">
        <v>85</v>
      </c>
      <c r="AK85" s="9" t="s">
        <v>85</v>
      </c>
      <c r="AL85" s="9">
        <v>0.8288</v>
      </c>
      <c r="AM85" s="9" t="s">
        <v>85</v>
      </c>
      <c r="AN85" s="9" t="s">
        <v>85</v>
      </c>
      <c r="AO85" s="9">
        <v>0.8144</v>
      </c>
      <c r="AP85" s="9" t="s">
        <v>85</v>
      </c>
      <c r="AQ85" s="9" t="s">
        <v>85</v>
      </c>
      <c r="AR85" s="9">
        <v>0.7872</v>
      </c>
      <c r="AS85" s="9" t="s">
        <v>85</v>
      </c>
      <c r="AT85" s="9" t="s">
        <v>85</v>
      </c>
      <c r="AU85" s="9">
        <v>0.8272</v>
      </c>
      <c r="AV85" s="9" t="s">
        <v>85</v>
      </c>
      <c r="AW85" s="9" t="s">
        <v>85</v>
      </c>
      <c r="AX85" s="9">
        <v>0.5824</v>
      </c>
      <c r="AY85" s="9" t="s">
        <v>85</v>
      </c>
      <c r="AZ85" s="9" t="s">
        <v>85</v>
      </c>
      <c r="BA85" s="9">
        <v>0.8016</v>
      </c>
      <c r="BB85" s="10" t="s">
        <v>85</v>
      </c>
      <c r="BC85" s="10" t="s">
        <v>85</v>
      </c>
      <c r="BD85" s="9">
        <v>0.5024</v>
      </c>
      <c r="BE85" s="9" t="s">
        <v>85</v>
      </c>
      <c r="BF85" s="9" t="s">
        <v>85</v>
      </c>
      <c r="BG85" s="9">
        <v>0.5456</v>
      </c>
      <c r="BH85" s="6"/>
      <c r="BI85" s="6" t="str">
        <f t="shared" si="1"/>
        <v>8V_One_Acc</v>
      </c>
      <c r="BJ85" s="6" t="str">
        <f t="shared" si="2"/>
        <v>10VB_One_Acc</v>
      </c>
      <c r="BK85" s="6" t="str">
        <f t="shared" si="3"/>
        <v>12V_One_Acc</v>
      </c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</row>
    <row r="86" ht="15.75" customHeight="1">
      <c r="A86" s="1" t="s">
        <v>180</v>
      </c>
      <c r="B86" s="17">
        <v>6.0</v>
      </c>
      <c r="C86" s="9" t="s">
        <v>85</v>
      </c>
      <c r="D86" s="9" t="s">
        <v>85</v>
      </c>
      <c r="E86" s="9">
        <v>0.738693</v>
      </c>
      <c r="F86" s="9" t="s">
        <v>85</v>
      </c>
      <c r="G86" s="9" t="s">
        <v>85</v>
      </c>
      <c r="H86" s="9">
        <v>0.173869</v>
      </c>
      <c r="I86" s="9" t="s">
        <v>85</v>
      </c>
      <c r="J86" s="9" t="s">
        <v>85</v>
      </c>
      <c r="K86" s="9">
        <v>0.747739</v>
      </c>
      <c r="L86" s="9" t="s">
        <v>85</v>
      </c>
      <c r="M86" s="9" t="s">
        <v>85</v>
      </c>
      <c r="N86" s="9">
        <v>0.78995</v>
      </c>
      <c r="O86" s="9" t="s">
        <v>85</v>
      </c>
      <c r="P86" s="9" t="s">
        <v>85</v>
      </c>
      <c r="Q86" s="9">
        <v>0.735678</v>
      </c>
      <c r="R86" s="9" t="s">
        <v>85</v>
      </c>
      <c r="S86" s="9" t="s">
        <v>85</v>
      </c>
      <c r="T86" s="9">
        <v>0.809045</v>
      </c>
      <c r="U86" s="9" t="s">
        <v>85</v>
      </c>
      <c r="V86" s="9" t="s">
        <v>85</v>
      </c>
      <c r="W86" s="9">
        <v>0.777889</v>
      </c>
      <c r="X86" s="9" t="s">
        <v>85</v>
      </c>
      <c r="Y86" s="9" t="s">
        <v>85</v>
      </c>
      <c r="Z86" s="9">
        <v>0.838191</v>
      </c>
      <c r="AA86" s="10" t="s">
        <v>85</v>
      </c>
      <c r="AB86" s="10" t="s">
        <v>85</v>
      </c>
      <c r="AC86" s="9">
        <v>0.750754</v>
      </c>
      <c r="AD86" s="9" t="s">
        <v>85</v>
      </c>
      <c r="AE86" s="9" t="s">
        <v>85</v>
      </c>
      <c r="AF86" s="9">
        <v>0.715578</v>
      </c>
      <c r="AG86" s="9" t="s">
        <v>85</v>
      </c>
      <c r="AH86" s="9" t="s">
        <v>85</v>
      </c>
      <c r="AI86" s="9">
        <v>0.729648</v>
      </c>
      <c r="AJ86" s="9" t="s">
        <v>85</v>
      </c>
      <c r="AK86" s="9" t="s">
        <v>85</v>
      </c>
      <c r="AL86" s="9">
        <v>0.776884</v>
      </c>
      <c r="AM86" s="9" t="s">
        <v>85</v>
      </c>
      <c r="AN86" s="9" t="s">
        <v>85</v>
      </c>
      <c r="AO86" s="9">
        <v>0.743719</v>
      </c>
      <c r="AP86" s="9" t="s">
        <v>85</v>
      </c>
      <c r="AQ86" s="9" t="s">
        <v>85</v>
      </c>
      <c r="AR86" s="9">
        <v>0.768844</v>
      </c>
      <c r="AS86" s="9" t="s">
        <v>85</v>
      </c>
      <c r="AT86" s="9" t="s">
        <v>85</v>
      </c>
      <c r="AU86" s="9">
        <v>0.780905</v>
      </c>
      <c r="AV86" s="9" t="s">
        <v>85</v>
      </c>
      <c r="AW86" s="9" t="s">
        <v>85</v>
      </c>
      <c r="AX86" s="9">
        <v>0.81407</v>
      </c>
      <c r="AY86" s="9" t="s">
        <v>85</v>
      </c>
      <c r="AZ86" s="9" t="s">
        <v>85</v>
      </c>
      <c r="BA86" s="9">
        <v>0.61206</v>
      </c>
      <c r="BB86" s="10" t="s">
        <v>85</v>
      </c>
      <c r="BC86" s="10" t="s">
        <v>85</v>
      </c>
      <c r="BD86" s="9">
        <v>0.78191</v>
      </c>
      <c r="BE86" s="9" t="s">
        <v>85</v>
      </c>
      <c r="BF86" s="9" t="s">
        <v>85</v>
      </c>
      <c r="BG86" s="9">
        <v>0.716583</v>
      </c>
      <c r="BH86" s="6"/>
      <c r="BI86" s="6" t="str">
        <f t="shared" si="1"/>
        <v>8VB_One_Acc</v>
      </c>
      <c r="BJ86" s="6" t="str">
        <f t="shared" si="2"/>
        <v>12VB_One_Acc</v>
      </c>
      <c r="BK86" s="6" t="str">
        <f t="shared" si="3"/>
        <v>8BN_One_Acc</v>
      </c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</row>
    <row r="87" ht="15.75" customHeight="1">
      <c r="A87" s="1" t="s">
        <v>181</v>
      </c>
      <c r="B87" s="17">
        <v>6.0</v>
      </c>
      <c r="C87" s="9" t="s">
        <v>85</v>
      </c>
      <c r="D87" s="9" t="s">
        <v>85</v>
      </c>
      <c r="E87" s="9">
        <v>0.963333</v>
      </c>
      <c r="F87" s="9" t="s">
        <v>85</v>
      </c>
      <c r="G87" s="9" t="s">
        <v>85</v>
      </c>
      <c r="H87" s="9">
        <v>0.166667</v>
      </c>
      <c r="I87" s="9" t="s">
        <v>85</v>
      </c>
      <c r="J87" s="9" t="s">
        <v>85</v>
      </c>
      <c r="K87" s="9">
        <v>0.94</v>
      </c>
      <c r="L87" s="9" t="s">
        <v>85</v>
      </c>
      <c r="M87" s="9" t="s">
        <v>85</v>
      </c>
      <c r="N87" s="9">
        <v>0.943333</v>
      </c>
      <c r="O87" s="9" t="s">
        <v>85</v>
      </c>
      <c r="P87" s="9" t="s">
        <v>85</v>
      </c>
      <c r="Q87" s="9">
        <v>0.963333</v>
      </c>
      <c r="R87" s="9" t="s">
        <v>85</v>
      </c>
      <c r="S87" s="9" t="s">
        <v>85</v>
      </c>
      <c r="T87" s="9">
        <v>0.96</v>
      </c>
      <c r="U87" s="9" t="s">
        <v>85</v>
      </c>
      <c r="V87" s="9" t="s">
        <v>85</v>
      </c>
      <c r="W87" s="9">
        <v>0.933333</v>
      </c>
      <c r="X87" s="9" t="s">
        <v>85</v>
      </c>
      <c r="Y87" s="9" t="s">
        <v>85</v>
      </c>
      <c r="Z87" s="9">
        <v>0.93</v>
      </c>
      <c r="AA87" s="10" t="s">
        <v>85</v>
      </c>
      <c r="AB87" s="10" t="s">
        <v>85</v>
      </c>
      <c r="AC87" s="9">
        <v>0.946667</v>
      </c>
      <c r="AD87" s="9" t="s">
        <v>85</v>
      </c>
      <c r="AE87" s="9" t="s">
        <v>85</v>
      </c>
      <c r="AF87" s="9">
        <v>0.96</v>
      </c>
      <c r="AG87" s="9" t="s">
        <v>85</v>
      </c>
      <c r="AH87" s="9" t="s">
        <v>85</v>
      </c>
      <c r="AI87" s="9">
        <v>0.963333</v>
      </c>
      <c r="AJ87" s="9" t="s">
        <v>85</v>
      </c>
      <c r="AK87" s="9" t="s">
        <v>85</v>
      </c>
      <c r="AL87" s="9">
        <v>0.953333</v>
      </c>
      <c r="AM87" s="9" t="s">
        <v>85</v>
      </c>
      <c r="AN87" s="9" t="s">
        <v>85</v>
      </c>
      <c r="AO87" s="9">
        <v>0.983333</v>
      </c>
      <c r="AP87" s="9" t="s">
        <v>85</v>
      </c>
      <c r="AQ87" s="9" t="s">
        <v>85</v>
      </c>
      <c r="AR87" s="9">
        <v>0.983333</v>
      </c>
      <c r="AS87" s="9" t="s">
        <v>85</v>
      </c>
      <c r="AT87" s="9" t="s">
        <v>85</v>
      </c>
      <c r="AU87" s="9">
        <v>0.946667</v>
      </c>
      <c r="AV87" s="9" t="s">
        <v>85</v>
      </c>
      <c r="AW87" s="9" t="s">
        <v>85</v>
      </c>
      <c r="AX87" s="9">
        <v>0.956667</v>
      </c>
      <c r="AY87" s="9" t="s">
        <v>85</v>
      </c>
      <c r="AZ87" s="9" t="s">
        <v>85</v>
      </c>
      <c r="BA87" s="9">
        <v>0.993333</v>
      </c>
      <c r="BB87" s="10" t="s">
        <v>85</v>
      </c>
      <c r="BC87" s="10" t="s">
        <v>85</v>
      </c>
      <c r="BD87" s="9">
        <v>0.96</v>
      </c>
      <c r="BE87" s="9" t="s">
        <v>85</v>
      </c>
      <c r="BF87" s="9" t="s">
        <v>85</v>
      </c>
      <c r="BG87" s="9">
        <v>0.853333</v>
      </c>
      <c r="BH87" s="6"/>
      <c r="BI87" s="6" t="str">
        <f t="shared" si="1"/>
        <v>20B_One_Acc</v>
      </c>
      <c r="BJ87" s="6" t="str">
        <f t="shared" si="2"/>
        <v>12B_One_Acc</v>
      </c>
      <c r="BK87" s="6" t="str">
        <f t="shared" si="3"/>
        <v>12B_One_Acc</v>
      </c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</row>
    <row r="88" ht="15.75" customHeight="1">
      <c r="A88" s="1" t="s">
        <v>182</v>
      </c>
      <c r="B88" s="17">
        <v>2.0</v>
      </c>
      <c r="C88" s="9" t="s">
        <v>85</v>
      </c>
      <c r="D88" s="9" t="s">
        <v>85</v>
      </c>
      <c r="E88" s="9">
        <v>0.758772</v>
      </c>
      <c r="F88" s="9" t="s">
        <v>85</v>
      </c>
      <c r="G88" s="9" t="s">
        <v>85</v>
      </c>
      <c r="H88" s="9">
        <v>0.04386</v>
      </c>
      <c r="I88" s="9" t="s">
        <v>85</v>
      </c>
      <c r="J88" s="9" t="s">
        <v>85</v>
      </c>
      <c r="K88" s="9">
        <v>0.719298</v>
      </c>
      <c r="L88" s="9" t="s">
        <v>85</v>
      </c>
      <c r="M88" s="9" t="s">
        <v>85</v>
      </c>
      <c r="N88" s="9">
        <v>0.723684</v>
      </c>
      <c r="O88" s="9" t="s">
        <v>85</v>
      </c>
      <c r="P88" s="9" t="s">
        <v>85</v>
      </c>
      <c r="Q88" s="9">
        <v>0.671053</v>
      </c>
      <c r="R88" s="9" t="s">
        <v>85</v>
      </c>
      <c r="S88" s="9" t="s">
        <v>85</v>
      </c>
      <c r="T88" s="9">
        <v>0.666667</v>
      </c>
      <c r="U88" s="9" t="s">
        <v>85</v>
      </c>
      <c r="V88" s="9" t="s">
        <v>85</v>
      </c>
      <c r="W88" s="9">
        <v>0.72807</v>
      </c>
      <c r="X88" s="9" t="s">
        <v>85</v>
      </c>
      <c r="Y88" s="9" t="s">
        <v>85</v>
      </c>
      <c r="Z88" s="9">
        <v>0.75</v>
      </c>
      <c r="AA88" s="10" t="s">
        <v>85</v>
      </c>
      <c r="AB88" s="10" t="s">
        <v>85</v>
      </c>
      <c r="AC88" s="9">
        <v>0.692982</v>
      </c>
      <c r="AD88" s="9" t="s">
        <v>85</v>
      </c>
      <c r="AE88" s="9" t="s">
        <v>85</v>
      </c>
      <c r="AF88" s="9">
        <v>0.692982</v>
      </c>
      <c r="AG88" s="9" t="s">
        <v>85</v>
      </c>
      <c r="AH88" s="9" t="s">
        <v>85</v>
      </c>
      <c r="AI88" s="9">
        <v>0.714912</v>
      </c>
      <c r="AJ88" s="9" t="s">
        <v>85</v>
      </c>
      <c r="AK88" s="9" t="s">
        <v>85</v>
      </c>
      <c r="AL88" s="9">
        <v>0.732456</v>
      </c>
      <c r="AM88" s="9" t="s">
        <v>85</v>
      </c>
      <c r="AN88" s="9" t="s">
        <v>85</v>
      </c>
      <c r="AO88" s="9">
        <v>0.666667</v>
      </c>
      <c r="AP88" s="9" t="s">
        <v>85</v>
      </c>
      <c r="AQ88" s="9" t="s">
        <v>85</v>
      </c>
      <c r="AR88" s="9">
        <v>0.684211</v>
      </c>
      <c r="AS88" s="9" t="s">
        <v>85</v>
      </c>
      <c r="AT88" s="9" t="s">
        <v>85</v>
      </c>
      <c r="AU88" s="9">
        <v>0.714912</v>
      </c>
      <c r="AV88" s="9" t="s">
        <v>85</v>
      </c>
      <c r="AW88" s="9" t="s">
        <v>85</v>
      </c>
      <c r="AX88" s="9">
        <v>0.70614</v>
      </c>
      <c r="AY88" s="9" t="s">
        <v>85</v>
      </c>
      <c r="AZ88" s="9" t="s">
        <v>85</v>
      </c>
      <c r="BA88" s="9">
        <v>0.671053</v>
      </c>
      <c r="BB88" s="10" t="s">
        <v>85</v>
      </c>
      <c r="BC88" s="10" t="s">
        <v>85</v>
      </c>
      <c r="BD88" s="9">
        <v>0.679825</v>
      </c>
      <c r="BE88" s="9" t="s">
        <v>85</v>
      </c>
      <c r="BF88" s="9" t="s">
        <v>85</v>
      </c>
      <c r="BG88" s="9">
        <v>0.583333</v>
      </c>
      <c r="BH88" s="6"/>
      <c r="BI88" s="6" t="str">
        <f t="shared" si="1"/>
        <v>5B_One_Acc</v>
      </c>
      <c r="BJ88" s="6" t="str">
        <f t="shared" si="2"/>
        <v>8VB_One_Acc</v>
      </c>
      <c r="BK88" s="6" t="str">
        <f t="shared" si="3"/>
        <v>10VB_One_Acc</v>
      </c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</row>
    <row r="89" ht="15.75" customHeight="1">
      <c r="A89" s="1" t="s">
        <v>183</v>
      </c>
      <c r="B89" s="17">
        <v>2.0</v>
      </c>
      <c r="C89" s="9" t="s">
        <v>85</v>
      </c>
      <c r="D89" s="9" t="s">
        <v>85</v>
      </c>
      <c r="E89" s="9">
        <v>0.823077</v>
      </c>
      <c r="F89" s="9" t="s">
        <v>85</v>
      </c>
      <c r="G89" s="9" t="s">
        <v>85</v>
      </c>
      <c r="H89" s="9">
        <v>0.169231</v>
      </c>
      <c r="I89" s="9" t="s">
        <v>85</v>
      </c>
      <c r="J89" s="9" t="s">
        <v>85</v>
      </c>
      <c r="K89" s="9">
        <v>0.784615</v>
      </c>
      <c r="L89" s="9" t="s">
        <v>85</v>
      </c>
      <c r="M89" s="9" t="s">
        <v>85</v>
      </c>
      <c r="N89" s="9">
        <v>0.784615</v>
      </c>
      <c r="O89" s="9" t="s">
        <v>85</v>
      </c>
      <c r="P89" s="9" t="s">
        <v>85</v>
      </c>
      <c r="Q89" s="9">
        <v>0.792308</v>
      </c>
      <c r="R89" s="9" t="s">
        <v>85</v>
      </c>
      <c r="S89" s="9" t="s">
        <v>85</v>
      </c>
      <c r="T89" s="9">
        <v>0.830769</v>
      </c>
      <c r="U89" s="9" t="s">
        <v>85</v>
      </c>
      <c r="V89" s="9" t="s">
        <v>85</v>
      </c>
      <c r="W89" s="9">
        <v>0.838462</v>
      </c>
      <c r="X89" s="9" t="s">
        <v>85</v>
      </c>
      <c r="Y89" s="9" t="s">
        <v>85</v>
      </c>
      <c r="Z89" s="9">
        <v>0.838462</v>
      </c>
      <c r="AA89" s="10" t="s">
        <v>85</v>
      </c>
      <c r="AB89" s="10" t="s">
        <v>85</v>
      </c>
      <c r="AC89" s="9">
        <v>0.838462</v>
      </c>
      <c r="AD89" s="9" t="s">
        <v>85</v>
      </c>
      <c r="AE89" s="9" t="s">
        <v>85</v>
      </c>
      <c r="AF89" s="9">
        <v>0.830769</v>
      </c>
      <c r="AG89" s="9" t="s">
        <v>85</v>
      </c>
      <c r="AH89" s="9" t="s">
        <v>85</v>
      </c>
      <c r="AI89" s="9">
        <v>0.746154</v>
      </c>
      <c r="AJ89" s="9" t="s">
        <v>85</v>
      </c>
      <c r="AK89" s="9" t="s">
        <v>85</v>
      </c>
      <c r="AL89" s="9">
        <v>0.792308</v>
      </c>
      <c r="AM89" s="9" t="s">
        <v>85</v>
      </c>
      <c r="AN89" s="9" t="s">
        <v>85</v>
      </c>
      <c r="AO89" s="9">
        <v>0.838462</v>
      </c>
      <c r="AP89" s="9" t="s">
        <v>85</v>
      </c>
      <c r="AQ89" s="9" t="s">
        <v>85</v>
      </c>
      <c r="AR89" s="9">
        <v>0.823077</v>
      </c>
      <c r="AS89" s="9" t="s">
        <v>85</v>
      </c>
      <c r="AT89" s="9" t="s">
        <v>85</v>
      </c>
      <c r="AU89" s="9">
        <v>0.715385</v>
      </c>
      <c r="AV89" s="9" t="s">
        <v>85</v>
      </c>
      <c r="AW89" s="9" t="s">
        <v>85</v>
      </c>
      <c r="AX89" s="9">
        <v>0.784615</v>
      </c>
      <c r="AY89" s="9" t="s">
        <v>85</v>
      </c>
      <c r="AZ89" s="9" t="s">
        <v>85</v>
      </c>
      <c r="BA89" s="9">
        <v>0.784615</v>
      </c>
      <c r="BB89" s="10" t="s">
        <v>85</v>
      </c>
      <c r="BC89" s="10" t="s">
        <v>85</v>
      </c>
      <c r="BD89" s="9">
        <v>0.776923</v>
      </c>
      <c r="BE89" s="9" t="s">
        <v>85</v>
      </c>
      <c r="BF89" s="9" t="s">
        <v>85</v>
      </c>
      <c r="BG89" s="9">
        <v>0.676923</v>
      </c>
      <c r="BH89" s="6"/>
      <c r="BI89" s="6" t="str">
        <f t="shared" si="1"/>
        <v>8V_One_Acc</v>
      </c>
      <c r="BJ89" s="6" t="str">
        <f t="shared" si="2"/>
        <v>8V_One_Acc</v>
      </c>
      <c r="BK89" s="6" t="str">
        <f t="shared" si="3"/>
        <v>8V_One_Acc</v>
      </c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</row>
    <row r="90" ht="15.75" customHeight="1">
      <c r="A90" s="1" t="s">
        <v>184</v>
      </c>
      <c r="B90" s="17">
        <v>4.0</v>
      </c>
      <c r="C90" s="9" t="s">
        <v>85</v>
      </c>
      <c r="D90" s="9" t="s">
        <v>85</v>
      </c>
      <c r="E90" s="9">
        <v>1.0</v>
      </c>
      <c r="F90" s="9" t="s">
        <v>85</v>
      </c>
      <c r="G90" s="9" t="s">
        <v>85</v>
      </c>
      <c r="H90" s="9">
        <v>0.25</v>
      </c>
      <c r="I90" s="9" t="s">
        <v>85</v>
      </c>
      <c r="J90" s="9" t="s">
        <v>85</v>
      </c>
      <c r="K90" s="9">
        <v>0.99</v>
      </c>
      <c r="L90" s="9" t="s">
        <v>85</v>
      </c>
      <c r="M90" s="9" t="s">
        <v>85</v>
      </c>
      <c r="N90" s="9">
        <v>0.99</v>
      </c>
      <c r="O90" s="9" t="s">
        <v>85</v>
      </c>
      <c r="P90" s="9" t="s">
        <v>85</v>
      </c>
      <c r="Q90" s="9">
        <v>1.0</v>
      </c>
      <c r="R90" s="9" t="s">
        <v>85</v>
      </c>
      <c r="S90" s="9" t="s">
        <v>85</v>
      </c>
      <c r="T90" s="9">
        <v>1.0</v>
      </c>
      <c r="U90" s="9" t="s">
        <v>85</v>
      </c>
      <c r="V90" s="9" t="s">
        <v>85</v>
      </c>
      <c r="W90" s="9">
        <v>0.97</v>
      </c>
      <c r="X90" s="9" t="s">
        <v>85</v>
      </c>
      <c r="Y90" s="9" t="s">
        <v>85</v>
      </c>
      <c r="Z90" s="9">
        <v>0.97</v>
      </c>
      <c r="AA90" s="10" t="s">
        <v>85</v>
      </c>
      <c r="AB90" s="10" t="s">
        <v>85</v>
      </c>
      <c r="AC90" s="9">
        <v>1.0</v>
      </c>
      <c r="AD90" s="9" t="s">
        <v>85</v>
      </c>
      <c r="AE90" s="9" t="s">
        <v>85</v>
      </c>
      <c r="AF90" s="9">
        <v>1.0</v>
      </c>
      <c r="AG90" s="9" t="s">
        <v>85</v>
      </c>
      <c r="AH90" s="9" t="s">
        <v>85</v>
      </c>
      <c r="AI90" s="9">
        <v>0.99</v>
      </c>
      <c r="AJ90" s="9" t="s">
        <v>85</v>
      </c>
      <c r="AK90" s="9" t="s">
        <v>85</v>
      </c>
      <c r="AL90" s="9">
        <v>0.99</v>
      </c>
      <c r="AM90" s="9" t="s">
        <v>85</v>
      </c>
      <c r="AN90" s="9" t="s">
        <v>85</v>
      </c>
      <c r="AO90" s="9">
        <v>1.0</v>
      </c>
      <c r="AP90" s="9" t="s">
        <v>85</v>
      </c>
      <c r="AQ90" s="9" t="s">
        <v>85</v>
      </c>
      <c r="AR90" s="9">
        <v>1.0</v>
      </c>
      <c r="AS90" s="9" t="s">
        <v>85</v>
      </c>
      <c r="AT90" s="9" t="s">
        <v>85</v>
      </c>
      <c r="AU90" s="9">
        <v>0.99</v>
      </c>
      <c r="AV90" s="9" t="s">
        <v>85</v>
      </c>
      <c r="AW90" s="9" t="s">
        <v>85</v>
      </c>
      <c r="AX90" s="9">
        <v>0.99</v>
      </c>
      <c r="AY90" s="9" t="s">
        <v>85</v>
      </c>
      <c r="AZ90" s="9" t="s">
        <v>85</v>
      </c>
      <c r="BA90" s="9">
        <v>1.0</v>
      </c>
      <c r="BB90" s="10" t="s">
        <v>85</v>
      </c>
      <c r="BC90" s="10" t="s">
        <v>85</v>
      </c>
      <c r="BD90" s="9">
        <v>1.0</v>
      </c>
      <c r="BE90" s="9" t="s">
        <v>85</v>
      </c>
      <c r="BF90" s="9" t="s">
        <v>85</v>
      </c>
      <c r="BG90" s="9">
        <v>0.47</v>
      </c>
      <c r="BH90" s="6"/>
      <c r="BI90" s="6" t="str">
        <f t="shared" si="1"/>
        <v>5B_One_Acc</v>
      </c>
      <c r="BJ90" s="6" t="str">
        <f t="shared" si="2"/>
        <v>5B_One_Acc</v>
      </c>
      <c r="BK90" s="6" t="str">
        <f t="shared" si="3"/>
        <v>5B_One_Acc</v>
      </c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</row>
    <row r="91" ht="15.75" customHeight="1">
      <c r="A91" s="1" t="s">
        <v>185</v>
      </c>
      <c r="B91" s="17">
        <v>2.0</v>
      </c>
      <c r="C91" s="9" t="s">
        <v>85</v>
      </c>
      <c r="D91" s="9" t="s">
        <v>85</v>
      </c>
      <c r="E91" s="9">
        <v>0.772608</v>
      </c>
      <c r="F91" s="9" t="s">
        <v>85</v>
      </c>
      <c r="G91" s="9" t="s">
        <v>85</v>
      </c>
      <c r="H91" s="9">
        <v>0.499561</v>
      </c>
      <c r="I91" s="9" t="s">
        <v>85</v>
      </c>
      <c r="J91" s="9" t="s">
        <v>85</v>
      </c>
      <c r="K91" s="9">
        <v>0.872695</v>
      </c>
      <c r="L91" s="9" t="s">
        <v>85</v>
      </c>
      <c r="M91" s="9" t="s">
        <v>85</v>
      </c>
      <c r="N91" s="9">
        <v>0.854258</v>
      </c>
      <c r="O91" s="9" t="s">
        <v>85</v>
      </c>
      <c r="P91" s="9" t="s">
        <v>85</v>
      </c>
      <c r="Q91" s="9">
        <v>0.725198</v>
      </c>
      <c r="R91" s="9" t="s">
        <v>85</v>
      </c>
      <c r="S91" s="9" t="s">
        <v>85</v>
      </c>
      <c r="T91" s="9">
        <v>0.720808</v>
      </c>
      <c r="U91" s="9" t="s">
        <v>85</v>
      </c>
      <c r="V91" s="9" t="s">
        <v>85</v>
      </c>
      <c r="W91" s="9">
        <v>0.837577</v>
      </c>
      <c r="X91" s="9" t="s">
        <v>85</v>
      </c>
      <c r="Y91" s="9" t="s">
        <v>85</v>
      </c>
      <c r="Z91" s="9">
        <v>0.845478</v>
      </c>
      <c r="AA91" s="10" t="s">
        <v>85</v>
      </c>
      <c r="AB91" s="10" t="s">
        <v>85</v>
      </c>
      <c r="AC91" s="9">
        <v>0.71993</v>
      </c>
      <c r="AD91" s="9" t="s">
        <v>85</v>
      </c>
      <c r="AE91" s="9" t="s">
        <v>85</v>
      </c>
      <c r="AF91" s="9">
        <v>0.757682</v>
      </c>
      <c r="AG91" s="9" t="s">
        <v>85</v>
      </c>
      <c r="AH91" s="9" t="s">
        <v>85</v>
      </c>
      <c r="AI91" s="9">
        <v>0.906058</v>
      </c>
      <c r="AJ91" s="9" t="s">
        <v>85</v>
      </c>
      <c r="AK91" s="9" t="s">
        <v>85</v>
      </c>
      <c r="AL91" s="9">
        <v>0.864794</v>
      </c>
      <c r="AM91" s="9" t="s">
        <v>85</v>
      </c>
      <c r="AN91" s="9" t="s">
        <v>85</v>
      </c>
      <c r="AO91" s="9">
        <v>0.737489</v>
      </c>
      <c r="AP91" s="9" t="s">
        <v>85</v>
      </c>
      <c r="AQ91" s="9" t="s">
        <v>85</v>
      </c>
      <c r="AR91" s="9">
        <v>0.745391</v>
      </c>
      <c r="AS91" s="9" t="s">
        <v>85</v>
      </c>
      <c r="AT91" s="9" t="s">
        <v>85</v>
      </c>
      <c r="AU91" s="9">
        <v>0.833187</v>
      </c>
      <c r="AV91" s="9" t="s">
        <v>85</v>
      </c>
      <c r="AW91" s="9" t="s">
        <v>85</v>
      </c>
      <c r="AX91" s="9">
        <v>0.835821</v>
      </c>
      <c r="AY91" s="9" t="s">
        <v>85</v>
      </c>
      <c r="AZ91" s="9" t="s">
        <v>85</v>
      </c>
      <c r="BA91" s="9">
        <v>0.714662</v>
      </c>
      <c r="BB91" s="10" t="s">
        <v>85</v>
      </c>
      <c r="BC91" s="10" t="s">
        <v>85</v>
      </c>
      <c r="BD91" s="9">
        <v>0.774363</v>
      </c>
      <c r="BE91" s="9" t="s">
        <v>85</v>
      </c>
      <c r="BF91" s="9" t="s">
        <v>85</v>
      </c>
      <c r="BG91" s="9">
        <v>0.62072</v>
      </c>
      <c r="BH91" s="6"/>
      <c r="BI91" s="6" t="str">
        <f t="shared" si="1"/>
        <v>10V_One_Acc</v>
      </c>
      <c r="BJ91" s="6" t="str">
        <f t="shared" si="2"/>
        <v>5V_One_Acc</v>
      </c>
      <c r="BK91" s="6" t="str">
        <f t="shared" si="3"/>
        <v>10VB_One_Acc</v>
      </c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</row>
    <row r="92" ht="15.75" customHeight="1">
      <c r="A92" s="1" t="s">
        <v>186</v>
      </c>
      <c r="B92" s="17">
        <v>4.0</v>
      </c>
      <c r="C92" s="9" t="s">
        <v>85</v>
      </c>
      <c r="D92" s="9" t="s">
        <v>85</v>
      </c>
      <c r="E92" s="9">
        <v>0.4965</v>
      </c>
      <c r="F92" s="9" t="s">
        <v>85</v>
      </c>
      <c r="G92" s="9" t="s">
        <v>85</v>
      </c>
      <c r="H92" s="9">
        <v>0.25875</v>
      </c>
      <c r="I92" s="9" t="s">
        <v>85</v>
      </c>
      <c r="J92" s="9" t="s">
        <v>85</v>
      </c>
      <c r="K92" s="9">
        <v>0.62775</v>
      </c>
      <c r="L92" s="9" t="s">
        <v>85</v>
      </c>
      <c r="M92" s="9" t="s">
        <v>85</v>
      </c>
      <c r="N92" s="9">
        <v>0.602</v>
      </c>
      <c r="O92" s="9" t="s">
        <v>85</v>
      </c>
      <c r="P92" s="9" t="s">
        <v>85</v>
      </c>
      <c r="Q92" s="9">
        <v>0.5255</v>
      </c>
      <c r="R92" s="9" t="s">
        <v>85</v>
      </c>
      <c r="S92" s="9" t="s">
        <v>85</v>
      </c>
      <c r="T92" s="9">
        <v>0.53</v>
      </c>
      <c r="U92" s="9" t="s">
        <v>85</v>
      </c>
      <c r="V92" s="9" t="s">
        <v>85</v>
      </c>
      <c r="W92" s="9">
        <v>0.39375</v>
      </c>
      <c r="X92" s="9" t="s">
        <v>85</v>
      </c>
      <c r="Y92" s="9" t="s">
        <v>85</v>
      </c>
      <c r="Z92" s="9">
        <v>0.48875</v>
      </c>
      <c r="AA92" s="10" t="s">
        <v>85</v>
      </c>
      <c r="AB92" s="10" t="s">
        <v>85</v>
      </c>
      <c r="AC92" s="9">
        <v>0.53875</v>
      </c>
      <c r="AD92" s="9" t="s">
        <v>85</v>
      </c>
      <c r="AE92" s="9" t="s">
        <v>85</v>
      </c>
      <c r="AF92" s="9">
        <v>0.55</v>
      </c>
      <c r="AG92" s="9" t="s">
        <v>85</v>
      </c>
      <c r="AH92" s="9" t="s">
        <v>85</v>
      </c>
      <c r="AI92" s="9">
        <v>0.324</v>
      </c>
      <c r="AJ92" s="9" t="s">
        <v>85</v>
      </c>
      <c r="AK92" s="9" t="s">
        <v>85</v>
      </c>
      <c r="AL92" s="9">
        <v>0.25875</v>
      </c>
      <c r="AM92" s="9" t="s">
        <v>85</v>
      </c>
      <c r="AN92" s="9" t="s">
        <v>85</v>
      </c>
      <c r="AO92" s="9">
        <v>0.43075</v>
      </c>
      <c r="AP92" s="9" t="s">
        <v>85</v>
      </c>
      <c r="AQ92" s="9" t="s">
        <v>85</v>
      </c>
      <c r="AR92" s="9">
        <v>0.50025</v>
      </c>
      <c r="AS92" s="9" t="s">
        <v>85</v>
      </c>
      <c r="AT92" s="9" t="s">
        <v>85</v>
      </c>
      <c r="AU92" s="9">
        <v>0.407</v>
      </c>
      <c r="AV92" s="9" t="s">
        <v>85</v>
      </c>
      <c r="AW92" s="9" t="s">
        <v>85</v>
      </c>
      <c r="AX92" s="9">
        <v>0.4795</v>
      </c>
      <c r="AY92" s="9" t="s">
        <v>85</v>
      </c>
      <c r="AZ92" s="9" t="s">
        <v>85</v>
      </c>
      <c r="BA92" s="9">
        <v>0.53325</v>
      </c>
      <c r="BB92" s="10" t="s">
        <v>85</v>
      </c>
      <c r="BC92" s="10" t="s">
        <v>85</v>
      </c>
      <c r="BD92" s="9">
        <v>0.25875</v>
      </c>
      <c r="BE92" s="9" t="s">
        <v>85</v>
      </c>
      <c r="BF92" s="9" t="s">
        <v>85</v>
      </c>
      <c r="BG92" s="9">
        <v>0.83475</v>
      </c>
      <c r="BH92" s="6"/>
      <c r="BI92" s="6" t="str">
        <f t="shared" si="1"/>
        <v>De_One_Acc</v>
      </c>
      <c r="BJ92" s="6" t="str">
        <f t="shared" si="2"/>
        <v>5V_One_Acc</v>
      </c>
      <c r="BK92" s="6" t="str">
        <f t="shared" si="3"/>
        <v>5VB_One_Acc</v>
      </c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</row>
    <row r="93" ht="15.75" customHeight="1">
      <c r="A93" s="1" t="s">
        <v>187</v>
      </c>
      <c r="B93" s="17">
        <v>3.0</v>
      </c>
      <c r="C93" s="9" t="s">
        <v>85</v>
      </c>
      <c r="D93" s="9" t="s">
        <v>85</v>
      </c>
      <c r="E93" s="9">
        <v>0.868056</v>
      </c>
      <c r="F93" s="9" t="s">
        <v>85</v>
      </c>
      <c r="G93" s="9" t="s">
        <v>85</v>
      </c>
      <c r="H93" s="9">
        <v>0.333333</v>
      </c>
      <c r="I93" s="9" t="s">
        <v>85</v>
      </c>
      <c r="J93" s="9" t="s">
        <v>85</v>
      </c>
      <c r="K93" s="9">
        <v>0.805556</v>
      </c>
      <c r="L93" s="9" t="s">
        <v>85</v>
      </c>
      <c r="M93" s="9" t="s">
        <v>85</v>
      </c>
      <c r="N93" s="9">
        <v>0.826389</v>
      </c>
      <c r="O93" s="9" t="s">
        <v>85</v>
      </c>
      <c r="P93" s="9" t="s">
        <v>85</v>
      </c>
      <c r="Q93" s="9">
        <v>0.881944</v>
      </c>
      <c r="R93" s="9" t="s">
        <v>85</v>
      </c>
      <c r="S93" s="9" t="s">
        <v>85</v>
      </c>
      <c r="T93" s="9">
        <v>0.861111</v>
      </c>
      <c r="U93" s="9" t="s">
        <v>85</v>
      </c>
      <c r="V93" s="9" t="s">
        <v>85</v>
      </c>
      <c r="W93" s="9">
        <v>0.930556</v>
      </c>
      <c r="X93" s="9" t="s">
        <v>85</v>
      </c>
      <c r="Y93" s="9" t="s">
        <v>85</v>
      </c>
      <c r="Z93" s="9">
        <v>0.965278</v>
      </c>
      <c r="AA93" s="10" t="s">
        <v>85</v>
      </c>
      <c r="AB93" s="10" t="s">
        <v>85</v>
      </c>
      <c r="AC93" s="9">
        <v>0.881944</v>
      </c>
      <c r="AD93" s="9" t="s">
        <v>85</v>
      </c>
      <c r="AE93" s="9" t="s">
        <v>85</v>
      </c>
      <c r="AF93" s="9">
        <v>0.881944</v>
      </c>
      <c r="AG93" s="9" t="s">
        <v>85</v>
      </c>
      <c r="AH93" s="9" t="s">
        <v>85</v>
      </c>
      <c r="AI93" s="9">
        <v>0.861111</v>
      </c>
      <c r="AJ93" s="9" t="s">
        <v>85</v>
      </c>
      <c r="AK93" s="9" t="s">
        <v>85</v>
      </c>
      <c r="AL93" s="9">
        <v>0.881944</v>
      </c>
      <c r="AM93" s="9" t="s">
        <v>85</v>
      </c>
      <c r="AN93" s="9" t="s">
        <v>85</v>
      </c>
      <c r="AO93" s="9">
        <v>0.875</v>
      </c>
      <c r="AP93" s="9" t="s">
        <v>85</v>
      </c>
      <c r="AQ93" s="9" t="s">
        <v>85</v>
      </c>
      <c r="AR93" s="9">
        <v>0.875</v>
      </c>
      <c r="AS93" s="9" t="s">
        <v>85</v>
      </c>
      <c r="AT93" s="9" t="s">
        <v>85</v>
      </c>
      <c r="AU93" s="9">
        <v>0.826389</v>
      </c>
      <c r="AV93" s="9" t="s">
        <v>85</v>
      </c>
      <c r="AW93" s="9" t="s">
        <v>85</v>
      </c>
      <c r="AX93" s="9">
        <v>0.902778</v>
      </c>
      <c r="AY93" s="9" t="s">
        <v>85</v>
      </c>
      <c r="AZ93" s="9" t="s">
        <v>85</v>
      </c>
      <c r="BA93" s="9">
        <v>0.895833</v>
      </c>
      <c r="BB93" s="10" t="s">
        <v>85</v>
      </c>
      <c r="BC93" s="10" t="s">
        <v>85</v>
      </c>
      <c r="BD93" s="9">
        <v>0.909722</v>
      </c>
      <c r="BE93" s="9" t="s">
        <v>85</v>
      </c>
      <c r="BF93" s="9" t="s">
        <v>85</v>
      </c>
      <c r="BG93" s="9">
        <v>0.729167</v>
      </c>
      <c r="BH93" s="6"/>
      <c r="BI93" s="6" t="str">
        <f t="shared" si="1"/>
        <v>8VB_One_Acc</v>
      </c>
      <c r="BJ93" s="6" t="str">
        <f t="shared" si="2"/>
        <v>8V_One_Acc</v>
      </c>
      <c r="BK93" s="6" t="str">
        <f t="shared" si="3"/>
        <v>20V_One_Acc</v>
      </c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</row>
    <row r="94" ht="15.75" customHeight="1">
      <c r="A94" s="1" t="s">
        <v>188</v>
      </c>
      <c r="B94" s="17">
        <v>8.0</v>
      </c>
      <c r="C94" s="9" t="s">
        <v>85</v>
      </c>
      <c r="D94" s="9" t="s">
        <v>85</v>
      </c>
      <c r="E94" s="9">
        <v>0.729202</v>
      </c>
      <c r="F94" s="9" t="s">
        <v>85</v>
      </c>
      <c r="G94" s="9" t="s">
        <v>85</v>
      </c>
      <c r="H94" s="9">
        <v>0.120882</v>
      </c>
      <c r="I94" s="9" t="s">
        <v>85</v>
      </c>
      <c r="J94" s="9" t="s">
        <v>85</v>
      </c>
      <c r="K94" s="9">
        <v>0.605807</v>
      </c>
      <c r="L94" s="9" t="s">
        <v>85</v>
      </c>
      <c r="M94" s="9" t="s">
        <v>85</v>
      </c>
      <c r="N94" s="9">
        <v>0.800112</v>
      </c>
      <c r="O94" s="9" t="s">
        <v>85</v>
      </c>
      <c r="P94" s="9" t="s">
        <v>85</v>
      </c>
      <c r="Q94" s="9">
        <v>0.861809</v>
      </c>
      <c r="R94" s="9" t="s">
        <v>85</v>
      </c>
      <c r="S94" s="9" t="s">
        <v>85</v>
      </c>
      <c r="T94" s="9">
        <v>0.711893</v>
      </c>
      <c r="U94" s="9" t="s">
        <v>85</v>
      </c>
      <c r="V94" s="9" t="s">
        <v>85</v>
      </c>
      <c r="W94" s="9">
        <v>0.729481</v>
      </c>
      <c r="X94" s="9" t="s">
        <v>85</v>
      </c>
      <c r="Y94" s="9" t="s">
        <v>85</v>
      </c>
      <c r="Z94" s="9">
        <v>0.646845</v>
      </c>
      <c r="AA94" s="10" t="s">
        <v>85</v>
      </c>
      <c r="AB94" s="10" t="s">
        <v>85</v>
      </c>
      <c r="AC94" s="9">
        <v>0.886656</v>
      </c>
      <c r="AD94" s="9" t="s">
        <v>85</v>
      </c>
      <c r="AE94" s="9" t="s">
        <v>85</v>
      </c>
      <c r="AF94" s="9">
        <v>0.896985</v>
      </c>
      <c r="AG94" s="9" t="s">
        <v>85</v>
      </c>
      <c r="AH94" s="9" t="s">
        <v>85</v>
      </c>
      <c r="AI94" s="9">
        <v>0.721664</v>
      </c>
      <c r="AJ94" s="9" t="s">
        <v>85</v>
      </c>
      <c r="AK94" s="9" t="s">
        <v>85</v>
      </c>
      <c r="AL94" s="9">
        <v>0.884701</v>
      </c>
      <c r="AM94" s="9" t="s">
        <v>85</v>
      </c>
      <c r="AN94" s="9" t="s">
        <v>85</v>
      </c>
      <c r="AO94" s="9">
        <v>0.882468</v>
      </c>
      <c r="AP94" s="9" t="s">
        <v>85</v>
      </c>
      <c r="AQ94" s="9" t="s">
        <v>85</v>
      </c>
      <c r="AR94" s="9">
        <v>0.852596</v>
      </c>
      <c r="AS94" s="9" t="s">
        <v>85</v>
      </c>
      <c r="AT94" s="9" t="s">
        <v>85</v>
      </c>
      <c r="AU94" s="9">
        <v>0.80402</v>
      </c>
      <c r="AV94" s="9" t="s">
        <v>85</v>
      </c>
      <c r="AW94" s="9" t="s">
        <v>85</v>
      </c>
      <c r="AX94" s="9">
        <v>0.78392</v>
      </c>
      <c r="AY94" s="9" t="s">
        <v>85</v>
      </c>
      <c r="AZ94" s="9" t="s">
        <v>85</v>
      </c>
      <c r="BA94" s="9">
        <v>0.898939</v>
      </c>
      <c r="BB94" s="10" t="s">
        <v>85</v>
      </c>
      <c r="BC94" s="10" t="s">
        <v>85</v>
      </c>
      <c r="BD94" s="9">
        <v>0.911223</v>
      </c>
      <c r="BE94" s="9" t="s">
        <v>85</v>
      </c>
      <c r="BF94" s="9" t="s">
        <v>85</v>
      </c>
      <c r="BG94" s="9">
        <v>0.916806</v>
      </c>
      <c r="BH94" s="6"/>
      <c r="BI94" s="6" t="str">
        <f t="shared" si="1"/>
        <v>De_One_Acc</v>
      </c>
      <c r="BJ94" s="6" t="str">
        <f t="shared" si="2"/>
        <v>20V_One_Acc</v>
      </c>
      <c r="BK94" s="6" t="str">
        <f t="shared" si="3"/>
        <v>20B_One_Acc</v>
      </c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</row>
    <row r="95" ht="15.75" customHeight="1">
      <c r="A95" s="1" t="s">
        <v>189</v>
      </c>
      <c r="B95" s="17">
        <v>2.0</v>
      </c>
      <c r="C95" s="9" t="s">
        <v>85</v>
      </c>
      <c r="D95" s="9" t="s">
        <v>85</v>
      </c>
      <c r="E95" s="9">
        <v>0.892116</v>
      </c>
      <c r="F95" s="9" t="s">
        <v>85</v>
      </c>
      <c r="G95" s="9" t="s">
        <v>85</v>
      </c>
      <c r="H95" s="9">
        <v>0.892116</v>
      </c>
      <c r="I95" s="9" t="s">
        <v>85</v>
      </c>
      <c r="J95" s="9" t="s">
        <v>85</v>
      </c>
      <c r="K95" s="9">
        <v>0.892116</v>
      </c>
      <c r="L95" s="9" t="s">
        <v>85</v>
      </c>
      <c r="M95" s="9" t="s">
        <v>85</v>
      </c>
      <c r="N95" s="9">
        <v>0.892116</v>
      </c>
      <c r="O95" s="9" t="s">
        <v>85</v>
      </c>
      <c r="P95" s="9" t="s">
        <v>85</v>
      </c>
      <c r="Q95" s="9">
        <v>0.892116</v>
      </c>
      <c r="R95" s="9" t="s">
        <v>85</v>
      </c>
      <c r="S95" s="9" t="s">
        <v>85</v>
      </c>
      <c r="T95" s="9">
        <v>0.892116</v>
      </c>
      <c r="U95" s="9" t="s">
        <v>85</v>
      </c>
      <c r="V95" s="9" t="s">
        <v>85</v>
      </c>
      <c r="W95" s="9">
        <v>0.892116</v>
      </c>
      <c r="X95" s="9" t="s">
        <v>85</v>
      </c>
      <c r="Y95" s="9" t="s">
        <v>85</v>
      </c>
      <c r="Z95" s="9">
        <v>0.892116</v>
      </c>
      <c r="AA95" s="10" t="s">
        <v>85</v>
      </c>
      <c r="AB95" s="10" t="s">
        <v>85</v>
      </c>
      <c r="AC95" s="9">
        <v>0.892116</v>
      </c>
      <c r="AD95" s="9" t="s">
        <v>85</v>
      </c>
      <c r="AE95" s="9" t="s">
        <v>85</v>
      </c>
      <c r="AF95" s="9">
        <v>0.892116</v>
      </c>
      <c r="AG95" s="9" t="s">
        <v>85</v>
      </c>
      <c r="AH95" s="9" t="s">
        <v>85</v>
      </c>
      <c r="AI95" s="9">
        <v>0.892116</v>
      </c>
      <c r="AJ95" s="9" t="s">
        <v>85</v>
      </c>
      <c r="AK95" s="9" t="s">
        <v>85</v>
      </c>
      <c r="AL95" s="9">
        <v>0.892116</v>
      </c>
      <c r="AM95" s="9" t="s">
        <v>85</v>
      </c>
      <c r="AN95" s="9" t="s">
        <v>85</v>
      </c>
      <c r="AO95" s="9">
        <v>0.892116</v>
      </c>
      <c r="AP95" s="9" t="s">
        <v>85</v>
      </c>
      <c r="AQ95" s="9" t="s">
        <v>85</v>
      </c>
      <c r="AR95" s="9">
        <v>0.892116</v>
      </c>
      <c r="AS95" s="9" t="s">
        <v>85</v>
      </c>
      <c r="AT95" s="9" t="s">
        <v>85</v>
      </c>
      <c r="AU95" s="9">
        <v>0.892116</v>
      </c>
      <c r="AV95" s="9" t="s">
        <v>85</v>
      </c>
      <c r="AW95" s="9" t="s">
        <v>85</v>
      </c>
      <c r="AX95" s="9">
        <v>0.892116</v>
      </c>
      <c r="AY95" s="9" t="s">
        <v>85</v>
      </c>
      <c r="AZ95" s="9" t="s">
        <v>85</v>
      </c>
      <c r="BA95" s="9">
        <v>0.892116</v>
      </c>
      <c r="BB95" s="10" t="s">
        <v>85</v>
      </c>
      <c r="BC95" s="10" t="s">
        <v>85</v>
      </c>
      <c r="BD95" s="9">
        <v>0.892116</v>
      </c>
      <c r="BE95" s="9" t="s">
        <v>85</v>
      </c>
      <c r="BF95" s="9" t="s">
        <v>85</v>
      </c>
      <c r="BG95" s="9">
        <v>0.892116</v>
      </c>
      <c r="BH95" s="6"/>
      <c r="BI95" s="6" t="str">
        <f t="shared" si="1"/>
        <v>5B_One_Acc</v>
      </c>
      <c r="BJ95" s="6" t="str">
        <f t="shared" si="2"/>
        <v>5B_One_Acc</v>
      </c>
      <c r="BK95" s="6" t="str">
        <f t="shared" si="3"/>
        <v>5B_One_Acc</v>
      </c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</row>
    <row r="96" ht="15.75" customHeight="1">
      <c r="A96" s="1" t="s">
        <v>190</v>
      </c>
      <c r="B96" s="17">
        <v>2.0</v>
      </c>
      <c r="C96" s="9" t="s">
        <v>85</v>
      </c>
      <c r="D96" s="9" t="s">
        <v>85</v>
      </c>
      <c r="E96" s="9">
        <v>0.5</v>
      </c>
      <c r="F96" s="9" t="s">
        <v>85</v>
      </c>
      <c r="G96" s="9" t="s">
        <v>85</v>
      </c>
      <c r="H96" s="9">
        <v>0.5</v>
      </c>
      <c r="I96" s="9" t="s">
        <v>85</v>
      </c>
      <c r="J96" s="9" t="s">
        <v>85</v>
      </c>
      <c r="K96" s="9">
        <v>0.5</v>
      </c>
      <c r="L96" s="9" t="s">
        <v>85</v>
      </c>
      <c r="M96" s="9" t="s">
        <v>85</v>
      </c>
      <c r="N96" s="9">
        <v>0.5</v>
      </c>
      <c r="O96" s="9" t="s">
        <v>85</v>
      </c>
      <c r="P96" s="9" t="s">
        <v>85</v>
      </c>
      <c r="Q96" s="9">
        <v>0.5</v>
      </c>
      <c r="R96" s="9" t="s">
        <v>85</v>
      </c>
      <c r="S96" s="9" t="s">
        <v>85</v>
      </c>
      <c r="T96" s="9">
        <v>0.444444</v>
      </c>
      <c r="U96" s="9" t="s">
        <v>85</v>
      </c>
      <c r="V96" s="9" t="s">
        <v>85</v>
      </c>
      <c r="W96" s="9">
        <v>0.5</v>
      </c>
      <c r="X96" s="9" t="s">
        <v>85</v>
      </c>
      <c r="Y96" s="9" t="s">
        <v>85</v>
      </c>
      <c r="Z96" s="9">
        <v>0.5</v>
      </c>
      <c r="AA96" s="10" t="s">
        <v>85</v>
      </c>
      <c r="AB96" s="10" t="s">
        <v>85</v>
      </c>
      <c r="AC96" s="9">
        <v>0.5</v>
      </c>
      <c r="AD96" s="9" t="s">
        <v>85</v>
      </c>
      <c r="AE96" s="9" t="s">
        <v>85</v>
      </c>
      <c r="AF96" s="9">
        <v>0.5</v>
      </c>
      <c r="AG96" s="9" t="s">
        <v>85</v>
      </c>
      <c r="AH96" s="9" t="s">
        <v>85</v>
      </c>
      <c r="AI96" s="9">
        <v>0.5</v>
      </c>
      <c r="AJ96" s="9" t="s">
        <v>85</v>
      </c>
      <c r="AK96" s="9" t="s">
        <v>85</v>
      </c>
      <c r="AL96" s="9">
        <v>0.5</v>
      </c>
      <c r="AM96" s="9" t="s">
        <v>85</v>
      </c>
      <c r="AN96" s="9" t="s">
        <v>85</v>
      </c>
      <c r="AO96" s="9">
        <v>0.5</v>
      </c>
      <c r="AP96" s="9" t="s">
        <v>85</v>
      </c>
      <c r="AQ96" s="9" t="s">
        <v>85</v>
      </c>
      <c r="AR96" s="9">
        <v>0.5</v>
      </c>
      <c r="AS96" s="9" t="s">
        <v>85</v>
      </c>
      <c r="AT96" s="9" t="s">
        <v>85</v>
      </c>
      <c r="AU96" s="9">
        <v>0.592593</v>
      </c>
      <c r="AV96" s="9" t="s">
        <v>85</v>
      </c>
      <c r="AW96" s="9" t="s">
        <v>85</v>
      </c>
      <c r="AX96" s="9">
        <v>0.5</v>
      </c>
      <c r="AY96" s="9" t="s">
        <v>85</v>
      </c>
      <c r="AZ96" s="9" t="s">
        <v>85</v>
      </c>
      <c r="BA96" s="9">
        <v>0.5</v>
      </c>
      <c r="BB96" s="10" t="s">
        <v>85</v>
      </c>
      <c r="BC96" s="10" t="s">
        <v>85</v>
      </c>
      <c r="BD96" s="9">
        <v>0.5</v>
      </c>
      <c r="BE96" s="9" t="s">
        <v>85</v>
      </c>
      <c r="BF96" s="9" t="s">
        <v>85</v>
      </c>
      <c r="BG96" s="9">
        <v>0.5</v>
      </c>
      <c r="BH96" s="6"/>
      <c r="BI96" s="6" t="str">
        <f t="shared" si="1"/>
        <v>12V_One_Acc</v>
      </c>
      <c r="BJ96" s="6" t="str">
        <f t="shared" si="2"/>
        <v>5B_One_Acc</v>
      </c>
      <c r="BK96" s="6" t="str">
        <f t="shared" si="3"/>
        <v>5B_One_Acc</v>
      </c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</row>
    <row r="97" ht="15.75" customHeight="1">
      <c r="A97" s="1" t="s">
        <v>191</v>
      </c>
      <c r="B97" s="17">
        <v>25.0</v>
      </c>
      <c r="C97" s="9" t="s">
        <v>85</v>
      </c>
      <c r="D97" s="9" t="s">
        <v>85</v>
      </c>
      <c r="E97" s="9">
        <v>0.423197</v>
      </c>
      <c r="F97" s="9" t="s">
        <v>85</v>
      </c>
      <c r="G97" s="9" t="s">
        <v>85</v>
      </c>
      <c r="H97" s="9">
        <v>0.219436</v>
      </c>
      <c r="I97" s="9" t="s">
        <v>85</v>
      </c>
      <c r="J97" s="9" t="s">
        <v>85</v>
      </c>
      <c r="K97" s="9">
        <v>0.402821</v>
      </c>
      <c r="L97" s="9" t="s">
        <v>85</v>
      </c>
      <c r="M97" s="9" t="s">
        <v>85</v>
      </c>
      <c r="N97" s="9">
        <v>0.401254</v>
      </c>
      <c r="O97" s="9" t="s">
        <v>85</v>
      </c>
      <c r="P97" s="9" t="s">
        <v>85</v>
      </c>
      <c r="Q97" s="9">
        <v>0.478056</v>
      </c>
      <c r="R97" s="9" t="s">
        <v>85</v>
      </c>
      <c r="S97" s="9" t="s">
        <v>85</v>
      </c>
      <c r="T97" s="9">
        <v>0.473354</v>
      </c>
      <c r="U97" s="9" t="s">
        <v>85</v>
      </c>
      <c r="V97" s="9" t="s">
        <v>85</v>
      </c>
      <c r="W97" s="9">
        <v>0.368339</v>
      </c>
      <c r="X97" s="9" t="s">
        <v>85</v>
      </c>
      <c r="Y97" s="9" t="s">
        <v>85</v>
      </c>
      <c r="Z97" s="9">
        <v>0.46395</v>
      </c>
      <c r="AA97" s="10" t="s">
        <v>85</v>
      </c>
      <c r="AB97" s="10" t="s">
        <v>85</v>
      </c>
      <c r="AC97" s="9">
        <v>0.420063</v>
      </c>
      <c r="AD97" s="9" t="s">
        <v>85</v>
      </c>
      <c r="AE97" s="9" t="s">
        <v>85</v>
      </c>
      <c r="AF97" s="9">
        <v>0.474922</v>
      </c>
      <c r="AG97" s="9" t="s">
        <v>85</v>
      </c>
      <c r="AH97" s="9" t="s">
        <v>85</v>
      </c>
      <c r="AI97" s="9">
        <v>0.432602</v>
      </c>
      <c r="AJ97" s="9" t="s">
        <v>85</v>
      </c>
      <c r="AK97" s="9" t="s">
        <v>85</v>
      </c>
      <c r="AL97" s="9">
        <v>0.426332</v>
      </c>
      <c r="AM97" s="9" t="s">
        <v>85</v>
      </c>
      <c r="AN97" s="9" t="s">
        <v>85</v>
      </c>
      <c r="AO97" s="9">
        <v>0.470219</v>
      </c>
      <c r="AP97" s="9" t="s">
        <v>85</v>
      </c>
      <c r="AQ97" s="9" t="s">
        <v>85</v>
      </c>
      <c r="AR97" s="9">
        <v>0.487461</v>
      </c>
      <c r="AS97" s="9" t="s">
        <v>85</v>
      </c>
      <c r="AT97" s="9" t="s">
        <v>85</v>
      </c>
      <c r="AU97" s="9">
        <v>0.380878</v>
      </c>
      <c r="AV97" s="9" t="s">
        <v>85</v>
      </c>
      <c r="AW97" s="9" t="s">
        <v>85</v>
      </c>
      <c r="AX97" s="9">
        <v>0.409091</v>
      </c>
      <c r="AY97" s="9" t="s">
        <v>85</v>
      </c>
      <c r="AZ97" s="9" t="s">
        <v>85</v>
      </c>
      <c r="BA97" s="9">
        <v>0.393417</v>
      </c>
      <c r="BB97" s="10" t="s">
        <v>85</v>
      </c>
      <c r="BC97" s="10" t="s">
        <v>85</v>
      </c>
      <c r="BD97" s="9">
        <v>0.442006</v>
      </c>
      <c r="BE97" s="9" t="s">
        <v>85</v>
      </c>
      <c r="BF97" s="9" t="s">
        <v>85</v>
      </c>
      <c r="BG97" s="9">
        <v>0.420063</v>
      </c>
      <c r="BH97" s="6"/>
      <c r="BI97" s="6" t="str">
        <f t="shared" si="1"/>
        <v>12BN_One_Acc</v>
      </c>
      <c r="BJ97" s="6" t="str">
        <f t="shared" si="2"/>
        <v>8B_One_Acc</v>
      </c>
      <c r="BK97" s="6" t="str">
        <f t="shared" si="3"/>
        <v>10BN_One_Acc</v>
      </c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</row>
    <row r="98" ht="15.75" customHeight="1">
      <c r="A98" s="1" t="s">
        <v>192</v>
      </c>
      <c r="B98" s="17">
        <v>5.0</v>
      </c>
      <c r="C98" s="9" t="s">
        <v>85</v>
      </c>
      <c r="D98" s="9" t="s">
        <v>85</v>
      </c>
      <c r="E98" s="9">
        <v>0.493506</v>
      </c>
      <c r="F98" s="9" t="s">
        <v>85</v>
      </c>
      <c r="G98" s="9" t="s">
        <v>85</v>
      </c>
      <c r="H98" s="9">
        <v>0.428571</v>
      </c>
      <c r="I98" s="9" t="s">
        <v>85</v>
      </c>
      <c r="J98" s="9" t="s">
        <v>85</v>
      </c>
      <c r="K98" s="9">
        <v>0.545455</v>
      </c>
      <c r="L98" s="9" t="s">
        <v>85</v>
      </c>
      <c r="M98" s="9" t="s">
        <v>85</v>
      </c>
      <c r="N98" s="9">
        <v>0.506494</v>
      </c>
      <c r="O98" s="9" t="s">
        <v>85</v>
      </c>
      <c r="P98" s="9" t="s">
        <v>85</v>
      </c>
      <c r="Q98" s="9">
        <v>0.454545</v>
      </c>
      <c r="R98" s="9" t="s">
        <v>85</v>
      </c>
      <c r="S98" s="9" t="s">
        <v>85</v>
      </c>
      <c r="T98" s="9">
        <v>0.519481</v>
      </c>
      <c r="U98" s="9" t="s">
        <v>85</v>
      </c>
      <c r="V98" s="9" t="s">
        <v>85</v>
      </c>
      <c r="W98" s="9">
        <v>0.480519</v>
      </c>
      <c r="X98" s="9" t="s">
        <v>85</v>
      </c>
      <c r="Y98" s="9" t="s">
        <v>85</v>
      </c>
      <c r="Z98" s="9">
        <v>0.441558</v>
      </c>
      <c r="AA98" s="10" t="s">
        <v>85</v>
      </c>
      <c r="AB98" s="10" t="s">
        <v>85</v>
      </c>
      <c r="AC98" s="9">
        <v>0.467532</v>
      </c>
      <c r="AD98" s="9" t="s">
        <v>85</v>
      </c>
      <c r="AE98" s="9" t="s">
        <v>85</v>
      </c>
      <c r="AF98" s="9">
        <v>0.454545</v>
      </c>
      <c r="AG98" s="9" t="s">
        <v>85</v>
      </c>
      <c r="AH98" s="9" t="s">
        <v>85</v>
      </c>
      <c r="AI98" s="9">
        <v>0.493506</v>
      </c>
      <c r="AJ98" s="9" t="s">
        <v>85</v>
      </c>
      <c r="AK98" s="9" t="s">
        <v>85</v>
      </c>
      <c r="AL98" s="9">
        <v>0.402597</v>
      </c>
      <c r="AM98" s="9" t="s">
        <v>85</v>
      </c>
      <c r="AN98" s="9" t="s">
        <v>85</v>
      </c>
      <c r="AO98" s="9">
        <v>0.61039</v>
      </c>
      <c r="AP98" s="9" t="s">
        <v>85</v>
      </c>
      <c r="AQ98" s="9" t="s">
        <v>85</v>
      </c>
      <c r="AR98" s="9">
        <v>0.584416</v>
      </c>
      <c r="AS98" s="9" t="s">
        <v>85</v>
      </c>
      <c r="AT98" s="9" t="s">
        <v>85</v>
      </c>
      <c r="AU98" s="9">
        <v>0.506494</v>
      </c>
      <c r="AV98" s="9" t="s">
        <v>85</v>
      </c>
      <c r="AW98" s="9" t="s">
        <v>85</v>
      </c>
      <c r="AX98" s="9">
        <v>0.428571</v>
      </c>
      <c r="AY98" s="9" t="s">
        <v>85</v>
      </c>
      <c r="AZ98" s="9" t="s">
        <v>85</v>
      </c>
      <c r="BA98" s="9">
        <v>0.506494</v>
      </c>
      <c r="BB98" s="10" t="s">
        <v>85</v>
      </c>
      <c r="BC98" s="10" t="s">
        <v>85</v>
      </c>
      <c r="BD98" s="9">
        <v>0.584416</v>
      </c>
      <c r="BE98" s="9" t="s">
        <v>85</v>
      </c>
      <c r="BF98" s="9" t="s">
        <v>85</v>
      </c>
      <c r="BG98" s="9">
        <v>0.428571</v>
      </c>
      <c r="BH98" s="6"/>
      <c r="BI98" s="6" t="str">
        <f t="shared" si="1"/>
        <v>12B_One_Acc</v>
      </c>
      <c r="BJ98" s="6" t="str">
        <f t="shared" si="2"/>
        <v>12BN_One_Acc</v>
      </c>
      <c r="BK98" s="6" t="str">
        <f t="shared" si="3"/>
        <v>12BN_One_Acc</v>
      </c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</row>
    <row r="99" ht="15.75" customHeight="1">
      <c r="A99" s="1" t="s">
        <v>193</v>
      </c>
      <c r="B99" s="17">
        <v>2.0</v>
      </c>
      <c r="C99" s="9" t="s">
        <v>85</v>
      </c>
      <c r="D99" s="9" t="s">
        <v>85</v>
      </c>
      <c r="E99" s="9">
        <v>0.61039</v>
      </c>
      <c r="F99" s="9" t="s">
        <v>85</v>
      </c>
      <c r="G99" s="9" t="s">
        <v>85</v>
      </c>
      <c r="H99" s="9">
        <v>0.584416</v>
      </c>
      <c r="I99" s="9" t="s">
        <v>85</v>
      </c>
      <c r="J99" s="9" t="s">
        <v>85</v>
      </c>
      <c r="K99" s="9">
        <v>0.558442</v>
      </c>
      <c r="L99" s="9" t="s">
        <v>85</v>
      </c>
      <c r="M99" s="9" t="s">
        <v>85</v>
      </c>
      <c r="N99" s="9">
        <v>0.597403</v>
      </c>
      <c r="O99" s="9" t="s">
        <v>85</v>
      </c>
      <c r="P99" s="9" t="s">
        <v>85</v>
      </c>
      <c r="Q99" s="9">
        <v>0.597403</v>
      </c>
      <c r="R99" s="9" t="s">
        <v>85</v>
      </c>
      <c r="S99" s="9" t="s">
        <v>85</v>
      </c>
      <c r="T99" s="9">
        <v>0.571429</v>
      </c>
      <c r="U99" s="9" t="s">
        <v>85</v>
      </c>
      <c r="V99" s="9" t="s">
        <v>85</v>
      </c>
      <c r="W99" s="9">
        <v>0.571429</v>
      </c>
      <c r="X99" s="9" t="s">
        <v>85</v>
      </c>
      <c r="Y99" s="9" t="s">
        <v>85</v>
      </c>
      <c r="Z99" s="9">
        <v>0.571429</v>
      </c>
      <c r="AA99" s="10" t="s">
        <v>85</v>
      </c>
      <c r="AB99" s="10" t="s">
        <v>85</v>
      </c>
      <c r="AC99" s="9">
        <v>0.649351</v>
      </c>
      <c r="AD99" s="9" t="s">
        <v>85</v>
      </c>
      <c r="AE99" s="9" t="s">
        <v>85</v>
      </c>
      <c r="AF99" s="9">
        <v>0.649351</v>
      </c>
      <c r="AG99" s="9" t="s">
        <v>85</v>
      </c>
      <c r="AH99" s="9" t="s">
        <v>85</v>
      </c>
      <c r="AI99" s="9">
        <v>0.532468</v>
      </c>
      <c r="AJ99" s="9" t="s">
        <v>85</v>
      </c>
      <c r="AK99" s="9" t="s">
        <v>85</v>
      </c>
      <c r="AL99" s="9">
        <v>0.597403</v>
      </c>
      <c r="AM99" s="9" t="s">
        <v>85</v>
      </c>
      <c r="AN99" s="9" t="s">
        <v>85</v>
      </c>
      <c r="AO99" s="9">
        <v>0.688312</v>
      </c>
      <c r="AP99" s="9" t="s">
        <v>85</v>
      </c>
      <c r="AQ99" s="9" t="s">
        <v>85</v>
      </c>
      <c r="AR99" s="9">
        <v>0.662338</v>
      </c>
      <c r="AS99" s="9" t="s">
        <v>85</v>
      </c>
      <c r="AT99" s="9" t="s">
        <v>85</v>
      </c>
      <c r="AU99" s="9">
        <v>0.623377</v>
      </c>
      <c r="AV99" s="9" t="s">
        <v>85</v>
      </c>
      <c r="AW99" s="9" t="s">
        <v>85</v>
      </c>
      <c r="AX99" s="9">
        <v>0.584416</v>
      </c>
      <c r="AY99" s="9" t="s">
        <v>85</v>
      </c>
      <c r="AZ99" s="9" t="s">
        <v>85</v>
      </c>
      <c r="BA99" s="9">
        <v>0.61039</v>
      </c>
      <c r="BB99" s="10" t="s">
        <v>85</v>
      </c>
      <c r="BC99" s="10" t="s">
        <v>85</v>
      </c>
      <c r="BD99" s="9">
        <v>0.649351</v>
      </c>
      <c r="BE99" s="9" t="s">
        <v>85</v>
      </c>
      <c r="BF99" s="9" t="s">
        <v>85</v>
      </c>
      <c r="BG99" s="9">
        <v>0.571429</v>
      </c>
      <c r="BH99" s="6"/>
      <c r="BI99" s="6" t="str">
        <f t="shared" si="1"/>
        <v>12B_One_Acc</v>
      </c>
      <c r="BJ99" s="6" t="str">
        <f t="shared" si="2"/>
        <v>12BN_One_Acc</v>
      </c>
      <c r="BK99" s="6" t="str">
        <f t="shared" si="3"/>
        <v>10B_One_Acc</v>
      </c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</row>
    <row r="100" ht="15.75" customHeight="1">
      <c r="A100" s="1" t="s">
        <v>194</v>
      </c>
      <c r="B100" s="17">
        <v>2.0</v>
      </c>
      <c r="C100" s="9" t="s">
        <v>85</v>
      </c>
      <c r="D100" s="9" t="s">
        <v>85</v>
      </c>
      <c r="E100" s="9">
        <v>0.709667</v>
      </c>
      <c r="F100" s="9" t="s">
        <v>85</v>
      </c>
      <c r="G100" s="9" t="s">
        <v>85</v>
      </c>
      <c r="H100" s="9">
        <v>0.535667</v>
      </c>
      <c r="I100" s="9" t="s">
        <v>85</v>
      </c>
      <c r="J100" s="9" t="s">
        <v>85</v>
      </c>
      <c r="K100" s="9">
        <v>0.781667</v>
      </c>
      <c r="L100" s="9" t="s">
        <v>85</v>
      </c>
      <c r="M100" s="9" t="s">
        <v>85</v>
      </c>
      <c r="N100" s="9">
        <v>0.767</v>
      </c>
      <c r="O100" s="9" t="s">
        <v>85</v>
      </c>
      <c r="P100" s="9" t="s">
        <v>85</v>
      </c>
      <c r="Q100" s="9">
        <v>0.751</v>
      </c>
      <c r="R100" s="9" t="s">
        <v>85</v>
      </c>
      <c r="S100" s="9" t="s">
        <v>85</v>
      </c>
      <c r="T100" s="9">
        <v>0.746333</v>
      </c>
      <c r="U100" s="9" t="s">
        <v>85</v>
      </c>
      <c r="V100" s="9" t="s">
        <v>85</v>
      </c>
      <c r="W100" s="9">
        <v>0.797667</v>
      </c>
      <c r="X100" s="9" t="s">
        <v>85</v>
      </c>
      <c r="Y100" s="9" t="s">
        <v>85</v>
      </c>
      <c r="Z100" s="9">
        <v>0.773667</v>
      </c>
      <c r="AA100" s="10" t="s">
        <v>85</v>
      </c>
      <c r="AB100" s="10" t="s">
        <v>85</v>
      </c>
      <c r="AC100" s="9">
        <v>0.763</v>
      </c>
      <c r="AD100" s="9" t="s">
        <v>85</v>
      </c>
      <c r="AE100" s="9" t="s">
        <v>85</v>
      </c>
      <c r="AF100" s="9">
        <v>0.768</v>
      </c>
      <c r="AG100" s="9" t="s">
        <v>85</v>
      </c>
      <c r="AH100" s="9" t="s">
        <v>85</v>
      </c>
      <c r="AI100" s="9">
        <v>0.802667</v>
      </c>
      <c r="AJ100" s="9" t="s">
        <v>85</v>
      </c>
      <c r="AK100" s="9" t="s">
        <v>85</v>
      </c>
      <c r="AL100" s="9">
        <v>0.81</v>
      </c>
      <c r="AM100" s="9" t="s">
        <v>85</v>
      </c>
      <c r="AN100" s="9" t="s">
        <v>85</v>
      </c>
      <c r="AO100" s="9">
        <v>0.778333</v>
      </c>
      <c r="AP100" s="9" t="s">
        <v>85</v>
      </c>
      <c r="AQ100" s="9" t="s">
        <v>85</v>
      </c>
      <c r="AR100" s="9">
        <v>0.775</v>
      </c>
      <c r="AS100" s="9" t="s">
        <v>85</v>
      </c>
      <c r="AT100" s="9" t="s">
        <v>85</v>
      </c>
      <c r="AU100" s="9">
        <v>0.799333</v>
      </c>
      <c r="AV100" s="9" t="s">
        <v>85</v>
      </c>
      <c r="AW100" s="9" t="s">
        <v>85</v>
      </c>
      <c r="AX100" s="9">
        <v>0.802333</v>
      </c>
      <c r="AY100" s="9" t="s">
        <v>85</v>
      </c>
      <c r="AZ100" s="9" t="s">
        <v>85</v>
      </c>
      <c r="BA100" s="9">
        <v>0.796333</v>
      </c>
      <c r="BB100" s="10" t="s">
        <v>85</v>
      </c>
      <c r="BC100" s="10" t="s">
        <v>85</v>
      </c>
      <c r="BD100" s="9">
        <v>0.805333</v>
      </c>
      <c r="BE100" s="9" t="s">
        <v>85</v>
      </c>
      <c r="BF100" s="9" t="s">
        <v>85</v>
      </c>
      <c r="BG100" s="9">
        <v>0.650333</v>
      </c>
      <c r="BH100" s="6"/>
      <c r="BI100" s="6" t="str">
        <f t="shared" si="1"/>
        <v>10VB_One_Acc</v>
      </c>
      <c r="BJ100" s="6" t="str">
        <f t="shared" si="2"/>
        <v>20V_One_Acc</v>
      </c>
      <c r="BK100" s="6" t="str">
        <f t="shared" si="3"/>
        <v>10V_One_Acc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</row>
    <row r="101" ht="15.75" customHeight="1">
      <c r="A101" s="15"/>
      <c r="B101" s="15"/>
      <c r="I101" s="1"/>
      <c r="J101" s="1"/>
      <c r="K101" s="1"/>
      <c r="O101" s="1"/>
      <c r="P101" s="1"/>
      <c r="Q101" s="1"/>
      <c r="R101" s="1"/>
      <c r="S101" s="1"/>
      <c r="T101" s="1"/>
      <c r="W101" s="1"/>
      <c r="AA101" s="1"/>
      <c r="AB101" s="1"/>
      <c r="AC101" s="1"/>
      <c r="AD101" s="1"/>
      <c r="AE101" s="1"/>
      <c r="AG101" s="1"/>
      <c r="AH101" s="1"/>
      <c r="AI101" s="1"/>
      <c r="AM101" s="1"/>
      <c r="AN101" s="1"/>
      <c r="AO101" s="1"/>
      <c r="AP101" s="1"/>
      <c r="AQ101" s="1"/>
      <c r="AR101" s="1"/>
      <c r="AU101" s="1"/>
      <c r="AY101" s="1"/>
      <c r="AZ101" s="1"/>
      <c r="BA101" s="1"/>
      <c r="BB101" s="1"/>
      <c r="BC101" s="1"/>
    </row>
    <row r="102" ht="15.75" customHeight="1">
      <c r="A102" s="15"/>
      <c r="B102" s="15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ht="15.75" customHeight="1">
      <c r="A103" s="15"/>
      <c r="B103" s="15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ht="15.75" customHeight="1">
      <c r="A104" s="15"/>
      <c r="B104" s="1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ht="15.75" customHeight="1">
      <c r="A105" s="15"/>
      <c r="B105" s="1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ht="15.75" customHeight="1">
      <c r="A106" s="15"/>
      <c r="B106" s="1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ht="15.75" customHeight="1">
      <c r="B107" s="1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ht="15.75" customHeight="1">
      <c r="B108" s="1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ht="15.75" customHeight="1">
      <c r="B109" s="1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ht="15.75" customHeight="1">
      <c r="B110" s="1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ht="15.75" customHeight="1">
      <c r="B111" s="1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ht="15.75" customHeight="1">
      <c r="B112" s="1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ht="15.75" customHeight="1">
      <c r="B113" s="1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ht="15.75" customHeight="1">
      <c r="B114" s="1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ht="15.75" customHeight="1">
      <c r="B115" s="1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ht="15.75" customHeight="1">
      <c r="B116" s="1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ht="15.75" customHeight="1">
      <c r="B117" s="1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ht="15.75" customHeight="1">
      <c r="B118" s="1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ht="15.75" customHeight="1">
      <c r="B119" s="1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ht="15.75" customHeight="1">
      <c r="B120" s="1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ht="15.75" customHeight="1">
      <c r="B121" s="1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ht="15.75" customHeight="1">
      <c r="B122" s="1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ht="15.75" customHeight="1">
      <c r="B123" s="1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ht="15.75" customHeight="1">
      <c r="B124" s="1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ht="15.75" customHeight="1">
      <c r="B125" s="1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ht="15.75" customHeight="1">
      <c r="B126" s="15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ht="15.75" customHeight="1">
      <c r="B127" s="1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ht="15.75" customHeight="1">
      <c r="B128" s="15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ht="15.75" customHeight="1">
      <c r="B129" s="15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ht="15.75" customHeight="1">
      <c r="B130" s="15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ht="15.75" customHeight="1">
      <c r="B131" s="15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ht="15.75" customHeight="1">
      <c r="B132" s="15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ht="15.75" customHeight="1">
      <c r="B133" s="15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ht="15.75" customHeight="1">
      <c r="B134" s="15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ht="15.75" customHeight="1">
      <c r="B135" s="15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ht="15.75" customHeight="1">
      <c r="B136" s="15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ht="15.75" customHeight="1">
      <c r="B137" s="15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ht="15.75" customHeight="1">
      <c r="B138" s="15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ht="15.75" customHeight="1">
      <c r="B139" s="15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ht="15.75" customHeight="1">
      <c r="B140" s="15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ht="15.75" customHeight="1">
      <c r="B141" s="15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ht="15.75" customHeight="1">
      <c r="B142" s="15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ht="15.75" customHeight="1">
      <c r="B143" s="15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ht="15.75" customHeight="1">
      <c r="B144" s="15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ht="15.75" customHeight="1">
      <c r="B145" s="15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ht="15.75" customHeight="1">
      <c r="B146" s="15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ht="15.75" customHeight="1">
      <c r="B147" s="15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ht="15.75" customHeight="1">
      <c r="B148" s="15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ht="15.75" customHeight="1">
      <c r="B149" s="15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ht="15.75" customHeight="1">
      <c r="B150" s="15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ht="15.75" customHeight="1">
      <c r="B151" s="15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ht="15.75" customHeight="1">
      <c r="B152" s="15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ht="15.75" customHeight="1">
      <c r="B153" s="15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ht="15.75" customHeight="1">
      <c r="B154" s="15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ht="15.75" customHeight="1">
      <c r="B155" s="15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ht="15.75" customHeight="1">
      <c r="B156" s="15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ht="15.75" customHeight="1">
      <c r="B157" s="15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ht="15.75" customHeight="1">
      <c r="B158" s="15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ht="15.75" customHeight="1">
      <c r="B159" s="15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ht="15.75" customHeight="1">
      <c r="B160" s="15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ht="15.75" customHeight="1">
      <c r="B161" s="15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ht="15.75" customHeight="1">
      <c r="B162" s="15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ht="15.75" customHeight="1">
      <c r="B163" s="15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ht="15.75" customHeight="1">
      <c r="B164" s="15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ht="15.75" customHeight="1">
      <c r="B165" s="15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ht="15.75" customHeight="1">
      <c r="B166" s="15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ht="15.75" customHeight="1">
      <c r="B167" s="15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ht="15.75" customHeight="1">
      <c r="B168" s="15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ht="15.75" customHeight="1">
      <c r="B169" s="15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ht="15.75" customHeight="1">
      <c r="B170" s="15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ht="15.75" customHeight="1">
      <c r="B171" s="15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ht="15.75" customHeight="1">
      <c r="B172" s="15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ht="15.75" customHeight="1">
      <c r="B173" s="15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ht="15.75" customHeight="1">
      <c r="B174" s="15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ht="15.75" customHeight="1">
      <c r="B175" s="15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ht="15.75" customHeight="1">
      <c r="B176" s="15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ht="15.75" customHeight="1">
      <c r="B177" s="15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ht="15.75" customHeight="1">
      <c r="B178" s="15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ht="15.75" customHeight="1">
      <c r="B179" s="15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ht="15.75" customHeight="1">
      <c r="B180" s="15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ht="15.75" customHeight="1">
      <c r="B181" s="15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ht="15.75" customHeight="1">
      <c r="B182" s="15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ht="15.75" customHeight="1">
      <c r="B183" s="15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ht="15.75" customHeight="1">
      <c r="B184" s="15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ht="15.75" customHeight="1">
      <c r="B185" s="15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ht="15.75" customHeight="1">
      <c r="B186" s="15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ht="15.75" customHeight="1">
      <c r="B187" s="15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ht="15.75" customHeight="1">
      <c r="B188" s="15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ht="15.75" customHeight="1">
      <c r="B189" s="15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ht="15.75" customHeight="1">
      <c r="B190" s="15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ht="15.75" customHeight="1">
      <c r="B191" s="15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ht="15.75" customHeight="1">
      <c r="B192" s="15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ht="15.75" customHeight="1">
      <c r="B193" s="15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ht="15.75" customHeight="1">
      <c r="B194" s="15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ht="15.75" customHeight="1">
      <c r="B195" s="15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ht="15.75" customHeight="1">
      <c r="B196" s="15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ht="15.75" customHeight="1">
      <c r="B197" s="15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ht="15.75" customHeight="1">
      <c r="B198" s="15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ht="15.75" customHeight="1">
      <c r="B199" s="15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ht="15.75" customHeight="1">
      <c r="B200" s="15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ht="15.75" customHeight="1">
      <c r="B201" s="15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ht="15.75" customHeight="1">
      <c r="B202" s="15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ht="15.75" customHeight="1">
      <c r="B203" s="15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ht="15.75" customHeight="1">
      <c r="B204" s="15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ht="15.75" customHeight="1">
      <c r="B205" s="15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ht="15.75" customHeight="1">
      <c r="B206" s="15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ht="15.75" customHeight="1">
      <c r="B207" s="15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ht="15.75" customHeight="1">
      <c r="B208" s="15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ht="15.75" customHeight="1">
      <c r="B209" s="15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ht="15.75" customHeight="1">
      <c r="B210" s="15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ht="15.75" customHeight="1">
      <c r="B211" s="15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ht="15.75" customHeight="1">
      <c r="B212" s="15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ht="15.75" customHeight="1">
      <c r="B213" s="15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ht="15.75" customHeight="1">
      <c r="B214" s="15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ht="15.75" customHeight="1">
      <c r="B215" s="15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ht="15.75" customHeight="1">
      <c r="B216" s="15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ht="15.75" customHeight="1">
      <c r="B217" s="15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ht="15.75" customHeight="1">
      <c r="B218" s="15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ht="15.75" customHeight="1">
      <c r="B219" s="15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ht="15.75" customHeight="1">
      <c r="B220" s="15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ht="15.75" customHeight="1">
      <c r="B221" s="15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ht="15.75" customHeight="1">
      <c r="B222" s="15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ht="15.75" customHeight="1">
      <c r="B223" s="15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ht="15.75" customHeight="1">
      <c r="B224" s="15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ht="15.75" customHeight="1">
      <c r="B225" s="15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ht="15.75" customHeight="1">
      <c r="B226" s="15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ht="15.75" customHeight="1">
      <c r="B227" s="15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ht="15.75" customHeight="1">
      <c r="B228" s="15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ht="15.75" customHeight="1">
      <c r="B229" s="15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ht="15.75" customHeight="1">
      <c r="B230" s="15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ht="15.75" customHeight="1">
      <c r="B231" s="15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ht="15.75" customHeight="1">
      <c r="B232" s="15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ht="15.75" customHeight="1">
      <c r="B233" s="15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ht="15.75" customHeight="1">
      <c r="B234" s="15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ht="15.75" customHeight="1">
      <c r="B235" s="15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ht="15.75" customHeight="1">
      <c r="B236" s="15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ht="15.75" customHeight="1">
      <c r="B237" s="15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ht="15.75" customHeight="1">
      <c r="B238" s="15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ht="15.75" customHeight="1">
      <c r="B239" s="15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ht="15.75" customHeight="1">
      <c r="B240" s="15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ht="15.75" customHeight="1">
      <c r="B241" s="15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ht="15.75" customHeight="1">
      <c r="B242" s="15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ht="15.75" customHeight="1">
      <c r="B243" s="15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ht="15.75" customHeight="1">
      <c r="B244" s="15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ht="15.75" customHeight="1">
      <c r="B245" s="15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ht="15.75" customHeight="1">
      <c r="B246" s="15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ht="15.75" customHeight="1">
      <c r="B247" s="15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ht="15.75" customHeight="1">
      <c r="B248" s="15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ht="15.75" customHeight="1">
      <c r="B249" s="15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ht="15.75" customHeight="1">
      <c r="B250" s="15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ht="15.75" customHeight="1">
      <c r="B251" s="15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ht="15.75" customHeight="1">
      <c r="B252" s="15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ht="15.75" customHeight="1">
      <c r="B253" s="15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ht="15.75" customHeight="1">
      <c r="B254" s="15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ht="15.75" customHeight="1">
      <c r="B255" s="15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ht="15.75" customHeight="1">
      <c r="B256" s="15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ht="15.75" customHeight="1">
      <c r="B257" s="15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ht="15.75" customHeight="1">
      <c r="B258" s="15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ht="15.75" customHeight="1">
      <c r="B259" s="15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ht="15.75" customHeight="1">
      <c r="B260" s="15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ht="15.75" customHeight="1">
      <c r="B261" s="15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ht="15.75" customHeight="1">
      <c r="B262" s="15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ht="15.75" customHeight="1">
      <c r="B263" s="15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ht="15.75" customHeight="1">
      <c r="B264" s="15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ht="15.75" customHeight="1">
      <c r="B265" s="15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ht="15.75" customHeight="1">
      <c r="B266" s="15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ht="15.75" customHeight="1">
      <c r="B267" s="15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ht="15.75" customHeight="1">
      <c r="B268" s="15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ht="15.75" customHeight="1">
      <c r="B269" s="15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ht="15.75" customHeight="1">
      <c r="B270" s="15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ht="15.75" customHeight="1">
      <c r="B271" s="15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ht="15.75" customHeight="1">
      <c r="B272" s="15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ht="15.75" customHeight="1">
      <c r="B273" s="15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ht="15.75" customHeight="1">
      <c r="B274" s="15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ht="15.75" customHeight="1">
      <c r="B275" s="15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ht="15.75" customHeight="1">
      <c r="B276" s="15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ht="15.75" customHeight="1">
      <c r="B277" s="15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ht="15.75" customHeight="1">
      <c r="B278" s="15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ht="15.75" customHeight="1">
      <c r="B279" s="15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ht="15.75" customHeight="1">
      <c r="B280" s="15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ht="15.75" customHeight="1">
      <c r="B281" s="15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ht="15.75" customHeight="1">
      <c r="B282" s="15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ht="15.75" customHeight="1">
      <c r="B283" s="15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ht="15.75" customHeight="1">
      <c r="B284" s="15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ht="15.75" customHeight="1">
      <c r="B285" s="15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ht="15.75" customHeight="1">
      <c r="B286" s="15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ht="15.75" customHeight="1">
      <c r="B287" s="15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ht="15.75" customHeight="1">
      <c r="B288" s="15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ht="15.75" customHeight="1">
      <c r="B289" s="15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ht="15.75" customHeight="1">
      <c r="B290" s="15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ht="15.75" customHeight="1">
      <c r="B291" s="15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ht="15.75" customHeight="1">
      <c r="B292" s="15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ht="15.75" customHeight="1">
      <c r="B293" s="15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ht="15.75" customHeight="1">
      <c r="B294" s="15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ht="15.75" customHeight="1">
      <c r="B295" s="15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ht="15.75" customHeight="1">
      <c r="B296" s="15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ht="15.75" customHeight="1">
      <c r="B297" s="15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ht="15.75" customHeight="1">
      <c r="B298" s="15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ht="15.75" customHeight="1">
      <c r="B299" s="15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ht="15.75" customHeight="1">
      <c r="B300" s="15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C1:E1"/>
    <mergeCell ref="F1:H1"/>
    <mergeCell ref="I1:K1"/>
    <mergeCell ref="L1:N1"/>
    <mergeCell ref="O1:Q1"/>
    <mergeCell ref="R1:T1"/>
    <mergeCell ref="U1:W1"/>
    <mergeCell ref="AS1:AU1"/>
    <mergeCell ref="AV1:AX1"/>
    <mergeCell ref="AY1:BA1"/>
    <mergeCell ref="BB1:BD1"/>
    <mergeCell ref="BE1:BG1"/>
    <mergeCell ref="X1:Z1"/>
    <mergeCell ref="AA1:AC1"/>
    <mergeCell ref="AD1:AF1"/>
    <mergeCell ref="AG1:AI1"/>
    <mergeCell ref="AJ1:AL1"/>
    <mergeCell ref="AM1:AO1"/>
    <mergeCell ref="AP1:AR1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27.63"/>
    <col customWidth="1" min="2" max="2" width="13.88"/>
    <col customWidth="1" min="3" max="3" width="15.13"/>
    <col customWidth="1" min="4" max="5" width="13.75"/>
    <col customWidth="1" min="6" max="6" width="15.38"/>
    <col customWidth="1" min="7" max="7" width="13.75"/>
    <col customWidth="1" min="11" max="11" width="13.38"/>
    <col customWidth="1" min="12" max="12" width="17.75"/>
    <col customWidth="1" min="15" max="15" width="14.38"/>
    <col customWidth="1" min="18" max="18" width="13.88"/>
    <col customWidth="1" min="21" max="21" width="14.13"/>
    <col customWidth="1" min="23" max="23" width="13.88"/>
    <col customWidth="1" min="24" max="24" width="14.25"/>
    <col customWidth="1" min="26" max="26" width="13.75"/>
    <col customWidth="1" min="27" max="27" width="14.38"/>
    <col customWidth="1" min="29" max="29" width="14.0"/>
    <col customWidth="1" min="30" max="30" width="15.0"/>
    <col customWidth="1" min="33" max="33" width="13.25"/>
    <col customWidth="1" min="35" max="35" width="15.25"/>
    <col customWidth="1" min="36" max="36" width="16.38"/>
    <col customWidth="1" min="37" max="37" width="13.88"/>
    <col customWidth="1" min="39" max="39" width="14.38"/>
    <col customWidth="1" min="41" max="41" width="13.38"/>
    <col customWidth="1" min="42" max="42" width="14.13"/>
    <col customWidth="1" min="45" max="45" width="15.38"/>
    <col customWidth="1" min="47" max="47" width="14.88"/>
    <col customWidth="1" min="48" max="48" width="16.88"/>
    <col customWidth="1" min="50" max="50" width="14.75"/>
    <col customWidth="1" min="51" max="51" width="15.88"/>
    <col customWidth="1" min="60" max="60" width="17.38"/>
    <col customWidth="1" min="61" max="61" width="16.75"/>
    <col customWidth="1" min="62" max="62" width="16.63"/>
    <col customWidth="1" min="65" max="67" width="17.38"/>
    <col customWidth="1" min="68" max="68" width="15.25"/>
  </cols>
  <sheetData>
    <row r="1" ht="15.75" customHeight="1">
      <c r="A1" s="1" t="s">
        <v>0</v>
      </c>
      <c r="B1" s="3" t="s">
        <v>2</v>
      </c>
      <c r="E1" s="3" t="s">
        <v>3</v>
      </c>
      <c r="H1" s="3" t="s">
        <v>4</v>
      </c>
      <c r="K1" s="3" t="s">
        <v>5</v>
      </c>
      <c r="N1" s="3" t="s">
        <v>6</v>
      </c>
      <c r="Q1" s="3" t="s">
        <v>7</v>
      </c>
      <c r="T1" s="3" t="s">
        <v>8</v>
      </c>
      <c r="W1" s="3" t="s">
        <v>9</v>
      </c>
      <c r="Z1" s="3" t="s">
        <v>10</v>
      </c>
      <c r="AC1" s="3" t="s">
        <v>11</v>
      </c>
      <c r="AF1" s="3" t="s">
        <v>12</v>
      </c>
      <c r="AI1" s="3" t="s">
        <v>13</v>
      </c>
      <c r="AL1" s="3" t="s">
        <v>14</v>
      </c>
      <c r="AO1" s="3" t="s">
        <v>15</v>
      </c>
      <c r="AR1" s="3" t="s">
        <v>16</v>
      </c>
      <c r="AU1" s="3" t="s">
        <v>17</v>
      </c>
      <c r="AX1" s="3" t="s">
        <v>18</v>
      </c>
      <c r="BA1" s="3" t="s">
        <v>19</v>
      </c>
      <c r="BD1" s="3" t="s">
        <v>20</v>
      </c>
      <c r="BG1" s="1"/>
      <c r="BI1" s="1"/>
      <c r="BJ1" s="1"/>
      <c r="BK1" s="1"/>
      <c r="BL1" s="1"/>
      <c r="BM1" s="1"/>
      <c r="BN1" s="1"/>
      <c r="BQ1" s="1"/>
      <c r="BR1" s="1"/>
      <c r="BS1" s="1"/>
      <c r="BU1" s="1"/>
      <c r="BV1" s="1"/>
      <c r="BW1" s="1"/>
      <c r="BX1" s="1"/>
      <c r="BY1" s="1"/>
      <c r="BZ1" s="1"/>
      <c r="CA1" s="1"/>
    </row>
    <row r="2" ht="15.75" customHeight="1">
      <c r="A2" s="1"/>
      <c r="B2" s="1" t="s">
        <v>21</v>
      </c>
      <c r="C2" s="1" t="s">
        <v>22</v>
      </c>
      <c r="D2" s="4" t="s">
        <v>23</v>
      </c>
      <c r="E2" s="1" t="s">
        <v>24</v>
      </c>
      <c r="F2" s="1" t="s">
        <v>25</v>
      </c>
      <c r="G2" s="4" t="s">
        <v>26</v>
      </c>
      <c r="H2" s="1" t="s">
        <v>27</v>
      </c>
      <c r="I2" s="1" t="s">
        <v>28</v>
      </c>
      <c r="J2" s="5" t="s">
        <v>29</v>
      </c>
      <c r="K2" s="1" t="s">
        <v>30</v>
      </c>
      <c r="L2" s="1" t="s">
        <v>31</v>
      </c>
      <c r="M2" s="5" t="s">
        <v>32</v>
      </c>
      <c r="N2" s="1" t="s">
        <v>33</v>
      </c>
      <c r="O2" s="1" t="s">
        <v>34</v>
      </c>
      <c r="P2" s="5" t="s">
        <v>35</v>
      </c>
      <c r="Q2" s="1" t="s">
        <v>36</v>
      </c>
      <c r="R2" s="1" t="s">
        <v>37</v>
      </c>
      <c r="S2" s="5" t="s">
        <v>38</v>
      </c>
      <c r="T2" s="1" t="s">
        <v>39</v>
      </c>
      <c r="U2" s="1" t="s">
        <v>40</v>
      </c>
      <c r="V2" s="5" t="s">
        <v>41</v>
      </c>
      <c r="W2" s="1" t="s">
        <v>42</v>
      </c>
      <c r="X2" s="1" t="s">
        <v>43</v>
      </c>
      <c r="Y2" s="5" t="s">
        <v>44</v>
      </c>
      <c r="Z2" s="1" t="s">
        <v>45</v>
      </c>
      <c r="AA2" s="1" t="s">
        <v>46</v>
      </c>
      <c r="AB2" s="5" t="s">
        <v>47</v>
      </c>
      <c r="AC2" s="1" t="s">
        <v>48</v>
      </c>
      <c r="AD2" s="1" t="s">
        <v>49</v>
      </c>
      <c r="AE2" s="5" t="s">
        <v>50</v>
      </c>
      <c r="AF2" s="1" t="s">
        <v>51</v>
      </c>
      <c r="AG2" s="1" t="s">
        <v>52</v>
      </c>
      <c r="AH2" s="5" t="s">
        <v>53</v>
      </c>
      <c r="AI2" s="1" t="s">
        <v>54</v>
      </c>
      <c r="AJ2" s="1" t="s">
        <v>55</v>
      </c>
      <c r="AK2" s="5" t="s">
        <v>56</v>
      </c>
      <c r="AL2" s="1" t="s">
        <v>57</v>
      </c>
      <c r="AM2" s="1" t="s">
        <v>58</v>
      </c>
      <c r="AN2" s="5" t="s">
        <v>59</v>
      </c>
      <c r="AO2" s="1" t="s">
        <v>60</v>
      </c>
      <c r="AP2" s="1" t="s">
        <v>61</v>
      </c>
      <c r="AQ2" s="5" t="s">
        <v>62</v>
      </c>
      <c r="AR2" s="1" t="s">
        <v>63</v>
      </c>
      <c r="AS2" s="1" t="s">
        <v>64</v>
      </c>
      <c r="AT2" s="5" t="s">
        <v>65</v>
      </c>
      <c r="AU2" s="1" t="s">
        <v>66</v>
      </c>
      <c r="AV2" s="1" t="s">
        <v>67</v>
      </c>
      <c r="AW2" s="5" t="s">
        <v>68</v>
      </c>
      <c r="AX2" s="1" t="s">
        <v>69</v>
      </c>
      <c r="AY2" s="1" t="s">
        <v>70</v>
      </c>
      <c r="AZ2" s="5" t="s">
        <v>71</v>
      </c>
      <c r="BA2" s="1" t="s">
        <v>72</v>
      </c>
      <c r="BB2" s="1" t="s">
        <v>73</v>
      </c>
      <c r="BC2" s="5" t="s">
        <v>74</v>
      </c>
      <c r="BD2" s="1" t="s">
        <v>75</v>
      </c>
      <c r="BE2" s="1" t="s">
        <v>76</v>
      </c>
      <c r="BF2" s="5" t="s">
        <v>77</v>
      </c>
      <c r="BG2" s="1"/>
      <c r="BH2" s="1" t="s">
        <v>213</v>
      </c>
      <c r="BI2" s="1" t="s">
        <v>214</v>
      </c>
      <c r="BJ2" s="1" t="s">
        <v>215</v>
      </c>
      <c r="BK2" s="1"/>
      <c r="BL2" s="1" t="s">
        <v>216</v>
      </c>
      <c r="BM2" s="1" t="s">
        <v>217</v>
      </c>
      <c r="BN2" s="1" t="s">
        <v>218</v>
      </c>
      <c r="BO2" s="1" t="s">
        <v>219</v>
      </c>
      <c r="BQ2" s="1"/>
      <c r="BR2" s="1"/>
      <c r="BS2" s="1"/>
      <c r="BU2" s="1"/>
      <c r="BV2" s="1"/>
      <c r="BW2" s="1"/>
      <c r="BX2" s="1"/>
      <c r="BY2" s="1"/>
      <c r="BZ2" s="1"/>
      <c r="CA2" s="1"/>
    </row>
    <row r="3" ht="15.75" customHeight="1">
      <c r="A3" s="1" t="s">
        <v>84</v>
      </c>
      <c r="B3" s="9" t="s">
        <v>85</v>
      </c>
      <c r="C3" s="9" t="s">
        <v>85</v>
      </c>
      <c r="D3" s="9">
        <v>0.58</v>
      </c>
      <c r="E3" s="9" t="s">
        <v>85</v>
      </c>
      <c r="F3" s="9" t="s">
        <v>85</v>
      </c>
      <c r="G3" s="9">
        <v>0.1</v>
      </c>
      <c r="H3" s="9" t="s">
        <v>85</v>
      </c>
      <c r="I3" s="9" t="s">
        <v>85</v>
      </c>
      <c r="J3" s="9">
        <v>0.56</v>
      </c>
      <c r="K3" s="9" t="s">
        <v>85</v>
      </c>
      <c r="L3" s="9" t="s">
        <v>85</v>
      </c>
      <c r="M3" s="9">
        <v>0.59</v>
      </c>
      <c r="N3" s="9" t="s">
        <v>85</v>
      </c>
      <c r="O3" s="9" t="s">
        <v>85</v>
      </c>
      <c r="P3" s="9">
        <v>0.76</v>
      </c>
      <c r="Q3" s="9" t="s">
        <v>85</v>
      </c>
      <c r="R3" s="9" t="s">
        <v>85</v>
      </c>
      <c r="S3" s="9">
        <v>0.72</v>
      </c>
      <c r="T3" s="9" t="s">
        <v>85</v>
      </c>
      <c r="U3" s="9" t="s">
        <v>85</v>
      </c>
      <c r="V3" s="9">
        <v>0.55</v>
      </c>
      <c r="W3" s="9" t="s">
        <v>85</v>
      </c>
      <c r="X3" s="9" t="s">
        <v>85</v>
      </c>
      <c r="Y3" s="9">
        <v>0.4</v>
      </c>
      <c r="Z3" s="10" t="s">
        <v>85</v>
      </c>
      <c r="AA3" s="10" t="s">
        <v>85</v>
      </c>
      <c r="AB3" s="9">
        <v>0.47</v>
      </c>
      <c r="AC3" s="9" t="s">
        <v>85</v>
      </c>
      <c r="AD3" s="9" t="s">
        <v>85</v>
      </c>
      <c r="AE3" s="9">
        <v>0.66</v>
      </c>
      <c r="AF3" s="9" t="s">
        <v>85</v>
      </c>
      <c r="AG3" s="9" t="s">
        <v>85</v>
      </c>
      <c r="AH3" s="9">
        <v>0.5</v>
      </c>
      <c r="AI3" s="9" t="s">
        <v>85</v>
      </c>
      <c r="AJ3" s="9" t="s">
        <v>85</v>
      </c>
      <c r="AK3" s="9">
        <v>0.38</v>
      </c>
      <c r="AL3" s="9" t="s">
        <v>85</v>
      </c>
      <c r="AM3" s="9" t="s">
        <v>85</v>
      </c>
      <c r="AN3" s="9">
        <v>0.62</v>
      </c>
      <c r="AO3" s="9" t="s">
        <v>85</v>
      </c>
      <c r="AP3" s="9" t="s">
        <v>85</v>
      </c>
      <c r="AQ3" s="9">
        <v>0.73</v>
      </c>
      <c r="AR3" s="9" t="s">
        <v>85</v>
      </c>
      <c r="AS3" s="9" t="s">
        <v>85</v>
      </c>
      <c r="AT3" s="9">
        <v>0.3</v>
      </c>
      <c r="AU3" s="9" t="s">
        <v>85</v>
      </c>
      <c r="AV3" s="9" t="s">
        <v>85</v>
      </c>
      <c r="AW3" s="9">
        <v>0.49</v>
      </c>
      <c r="AX3" s="9" t="s">
        <v>85</v>
      </c>
      <c r="AY3" s="9" t="s">
        <v>85</v>
      </c>
      <c r="AZ3" s="9">
        <v>0.68</v>
      </c>
      <c r="BA3" s="10" t="s">
        <v>85</v>
      </c>
      <c r="BB3" s="10" t="s">
        <v>85</v>
      </c>
      <c r="BC3" s="9">
        <v>0.22</v>
      </c>
      <c r="BD3" s="10" t="s">
        <v>85</v>
      </c>
      <c r="BE3" s="10" t="s">
        <v>85</v>
      </c>
      <c r="BF3" s="9" t="s">
        <v>85</v>
      </c>
      <c r="BG3" s="6"/>
      <c r="BH3" s="6" t="str">
        <f t="shared" ref="BH3:BH100" si="1">INDEX($B$2:$BF$2,0,MATCH(MAX(B3:BF3),B3:BF3,0))</f>
        <v>8B_One_Acc</v>
      </c>
      <c r="BI3" s="6" t="str">
        <f t="shared" ref="BI3:BI100" si="2">INDEX($B$2:$BF$2,0,MATCH(LARGE(B3:BF3,2),B3:BF3,0))</f>
        <v>12BN_One_Acc</v>
      </c>
      <c r="BJ3" s="6" t="str">
        <f t="shared" ref="BJ3:BJ100" si="3">INDEX($B$2:$BF$2,0,MATCH(LARGE(B3:BF3,3),B3:BF3,0))</f>
        <v>8BN_One_Acc</v>
      </c>
      <c r="BK3" s="6"/>
      <c r="BL3" s="6">
        <f>COUNTA(BH3:BJ100)</f>
        <v>294</v>
      </c>
      <c r="BM3" s="6">
        <f>COUNTIF(BH3:BJ100,"*De*")</f>
        <v>0</v>
      </c>
      <c r="BN3" s="6">
        <f>COUNTIF(BH3:BJ100,"*V*")</f>
        <v>158</v>
      </c>
      <c r="BO3" s="6">
        <f>MINUS(BL3,SUM(BM3,BN3))</f>
        <v>136</v>
      </c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</row>
    <row r="4" ht="15.75" customHeight="1">
      <c r="A4" s="1" t="s">
        <v>89</v>
      </c>
      <c r="B4" s="9" t="s">
        <v>85</v>
      </c>
      <c r="C4" s="9" t="s">
        <v>85</v>
      </c>
      <c r="D4" s="9">
        <v>0.283887</v>
      </c>
      <c r="E4" s="9" t="s">
        <v>85</v>
      </c>
      <c r="F4" s="9" t="s">
        <v>85</v>
      </c>
      <c r="G4" s="9">
        <v>0.02046</v>
      </c>
      <c r="H4" s="9" t="s">
        <v>85</v>
      </c>
      <c r="I4" s="9" t="s">
        <v>85</v>
      </c>
      <c r="J4" s="9">
        <v>0.350384</v>
      </c>
      <c r="K4" s="9" t="s">
        <v>85</v>
      </c>
      <c r="L4" s="9" t="s">
        <v>85</v>
      </c>
      <c r="M4" s="9">
        <v>0.161125</v>
      </c>
      <c r="N4" s="9" t="s">
        <v>85</v>
      </c>
      <c r="O4" s="9" t="s">
        <v>85</v>
      </c>
      <c r="P4" s="9">
        <v>0.365729</v>
      </c>
      <c r="Q4" s="9" t="s">
        <v>85</v>
      </c>
      <c r="R4" s="9" t="s">
        <v>85</v>
      </c>
      <c r="S4" s="9">
        <v>0.296675</v>
      </c>
      <c r="T4" s="9" t="s">
        <v>85</v>
      </c>
      <c r="U4" s="9" t="s">
        <v>85</v>
      </c>
      <c r="V4" s="9">
        <v>0.30179</v>
      </c>
      <c r="W4" s="9" t="s">
        <v>85</v>
      </c>
      <c r="X4" s="9" t="s">
        <v>85</v>
      </c>
      <c r="Y4" s="9">
        <v>0.242967</v>
      </c>
      <c r="Z4" s="10" t="s">
        <v>85</v>
      </c>
      <c r="AA4" s="10" t="s">
        <v>85</v>
      </c>
      <c r="AB4" s="9">
        <v>0.265985</v>
      </c>
      <c r="AC4" s="9" t="s">
        <v>85</v>
      </c>
      <c r="AD4" s="9" t="s">
        <v>85</v>
      </c>
      <c r="AE4" s="9">
        <v>0.409207</v>
      </c>
      <c r="AF4" s="9" t="s">
        <v>85</v>
      </c>
      <c r="AG4" s="9" t="s">
        <v>85</v>
      </c>
      <c r="AH4" s="9">
        <v>0.332481</v>
      </c>
      <c r="AI4" s="9" t="s">
        <v>85</v>
      </c>
      <c r="AJ4" s="9" t="s">
        <v>85</v>
      </c>
      <c r="AK4" s="9">
        <v>0.28133</v>
      </c>
      <c r="AL4" s="9" t="s">
        <v>85</v>
      </c>
      <c r="AM4" s="9" t="s">
        <v>85</v>
      </c>
      <c r="AN4" s="9">
        <v>0.235294</v>
      </c>
      <c r="AO4" s="9" t="s">
        <v>85</v>
      </c>
      <c r="AP4" s="9" t="s">
        <v>85</v>
      </c>
      <c r="AQ4" s="9">
        <v>0.381074</v>
      </c>
      <c r="AR4" s="9" t="s">
        <v>85</v>
      </c>
      <c r="AS4" s="9" t="s">
        <v>85</v>
      </c>
      <c r="AT4" s="9">
        <v>0.084399</v>
      </c>
      <c r="AU4" s="9" t="s">
        <v>85</v>
      </c>
      <c r="AV4" s="9" t="s">
        <v>85</v>
      </c>
      <c r="AW4" s="9">
        <v>0.120205</v>
      </c>
      <c r="AX4" s="9" t="s">
        <v>85</v>
      </c>
      <c r="AY4" s="9" t="s">
        <v>85</v>
      </c>
      <c r="AZ4" s="9">
        <v>0.263427</v>
      </c>
      <c r="BA4" s="10" t="s">
        <v>85</v>
      </c>
      <c r="BB4" s="10" t="s">
        <v>85</v>
      </c>
      <c r="BC4" s="9">
        <v>0.168798</v>
      </c>
      <c r="BD4" s="10" t="s">
        <v>85</v>
      </c>
      <c r="BE4" s="10" t="s">
        <v>85</v>
      </c>
      <c r="BF4" s="9" t="s">
        <v>85</v>
      </c>
      <c r="BG4" s="6"/>
      <c r="BH4" s="6" t="str">
        <f t="shared" si="1"/>
        <v>10BN_One_Acc</v>
      </c>
      <c r="BI4" s="6" t="str">
        <f t="shared" si="2"/>
        <v>12BN_One_Acc</v>
      </c>
      <c r="BJ4" s="6" t="str">
        <f t="shared" si="3"/>
        <v>8B_One_Acc</v>
      </c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</row>
    <row r="5" ht="15.75" customHeight="1">
      <c r="A5" s="1" t="s">
        <v>91</v>
      </c>
      <c r="B5" s="9" t="s">
        <v>85</v>
      </c>
      <c r="C5" s="9" t="s">
        <v>85</v>
      </c>
      <c r="D5" s="9">
        <v>0.617143</v>
      </c>
      <c r="E5" s="9" t="s">
        <v>85</v>
      </c>
      <c r="F5" s="9" t="s">
        <v>85</v>
      </c>
      <c r="G5" s="9">
        <v>0.302857</v>
      </c>
      <c r="H5" s="9" t="s">
        <v>85</v>
      </c>
      <c r="I5" s="9" t="s">
        <v>85</v>
      </c>
      <c r="J5" s="9">
        <v>0.731429</v>
      </c>
      <c r="K5" s="9" t="s">
        <v>85</v>
      </c>
      <c r="L5" s="9" t="s">
        <v>85</v>
      </c>
      <c r="M5" s="9">
        <v>0.725714</v>
      </c>
      <c r="N5" s="9" t="s">
        <v>85</v>
      </c>
      <c r="O5" s="9" t="s">
        <v>85</v>
      </c>
      <c r="P5" s="9">
        <v>0.657143</v>
      </c>
      <c r="Q5" s="9" t="s">
        <v>85</v>
      </c>
      <c r="R5" s="9" t="s">
        <v>85</v>
      </c>
      <c r="S5" s="9">
        <v>0.725714</v>
      </c>
      <c r="T5" s="9" t="s">
        <v>85</v>
      </c>
      <c r="U5" s="9" t="s">
        <v>85</v>
      </c>
      <c r="V5" s="9">
        <v>0.68</v>
      </c>
      <c r="W5" s="9" t="s">
        <v>85</v>
      </c>
      <c r="X5" s="9" t="s">
        <v>85</v>
      </c>
      <c r="Y5" s="9">
        <v>0.674286</v>
      </c>
      <c r="Z5" s="10" t="s">
        <v>85</v>
      </c>
      <c r="AA5" s="10" t="s">
        <v>85</v>
      </c>
      <c r="AB5" s="9">
        <v>0.737143</v>
      </c>
      <c r="AC5" s="9" t="s">
        <v>85</v>
      </c>
      <c r="AD5" s="9" t="s">
        <v>85</v>
      </c>
      <c r="AE5" s="9">
        <v>0.742857</v>
      </c>
      <c r="AF5" s="9" t="s">
        <v>85</v>
      </c>
      <c r="AG5" s="9" t="s">
        <v>85</v>
      </c>
      <c r="AH5" s="9">
        <v>0.685714</v>
      </c>
      <c r="AI5" s="9" t="s">
        <v>85</v>
      </c>
      <c r="AJ5" s="9" t="s">
        <v>85</v>
      </c>
      <c r="AK5" s="9">
        <v>0.64</v>
      </c>
      <c r="AL5" s="9" t="s">
        <v>85</v>
      </c>
      <c r="AM5" s="9" t="s">
        <v>85</v>
      </c>
      <c r="AN5" s="9">
        <v>0.731429</v>
      </c>
      <c r="AO5" s="9" t="s">
        <v>85</v>
      </c>
      <c r="AP5" s="9" t="s">
        <v>85</v>
      </c>
      <c r="AQ5" s="1" t="s">
        <v>85</v>
      </c>
      <c r="AR5" s="9" t="s">
        <v>85</v>
      </c>
      <c r="AS5" s="9" t="s">
        <v>85</v>
      </c>
      <c r="AT5" s="9">
        <v>0.72</v>
      </c>
      <c r="AU5" s="9" t="s">
        <v>85</v>
      </c>
      <c r="AV5" s="9" t="s">
        <v>85</v>
      </c>
      <c r="AW5" s="9">
        <v>0.754286</v>
      </c>
      <c r="AX5" s="9" t="s">
        <v>85</v>
      </c>
      <c r="AY5" s="9" t="s">
        <v>85</v>
      </c>
      <c r="AZ5" s="9">
        <v>0.788571</v>
      </c>
      <c r="BA5" s="10" t="s">
        <v>85</v>
      </c>
      <c r="BB5" s="10" t="s">
        <v>85</v>
      </c>
      <c r="BC5" s="9">
        <v>0.765714</v>
      </c>
      <c r="BD5" s="10" t="s">
        <v>85</v>
      </c>
      <c r="BE5" s="10" t="s">
        <v>85</v>
      </c>
      <c r="BF5" s="9" t="s">
        <v>85</v>
      </c>
      <c r="BG5" s="6"/>
      <c r="BH5" s="6" t="str">
        <f t="shared" si="1"/>
        <v>20B_One_Acc</v>
      </c>
      <c r="BI5" s="6" t="str">
        <f t="shared" si="2"/>
        <v>20V_One_Acc</v>
      </c>
      <c r="BJ5" s="6" t="str">
        <f t="shared" si="3"/>
        <v>12VB_One_Acc</v>
      </c>
      <c r="BK5" s="6"/>
      <c r="BL5" s="1" t="s">
        <v>248</v>
      </c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</row>
    <row r="6" ht="15.75" customHeight="1">
      <c r="A6" s="1" t="s">
        <v>93</v>
      </c>
      <c r="B6" s="9" t="s">
        <v>85</v>
      </c>
      <c r="C6" s="9" t="s">
        <v>85</v>
      </c>
      <c r="D6" s="9">
        <v>0.5</v>
      </c>
      <c r="E6" s="9" t="s">
        <v>85</v>
      </c>
      <c r="F6" s="9" t="s">
        <v>85</v>
      </c>
      <c r="G6" s="9">
        <v>0.233333</v>
      </c>
      <c r="H6" s="9" t="s">
        <v>85</v>
      </c>
      <c r="I6" s="9" t="s">
        <v>85</v>
      </c>
      <c r="J6" s="9">
        <v>0.433333</v>
      </c>
      <c r="K6" s="9" t="s">
        <v>85</v>
      </c>
      <c r="L6" s="9" t="s">
        <v>85</v>
      </c>
      <c r="M6" s="9">
        <v>0.366667</v>
      </c>
      <c r="N6" s="9" t="s">
        <v>85</v>
      </c>
      <c r="O6" s="9" t="s">
        <v>85</v>
      </c>
      <c r="P6" s="9">
        <v>0.533333</v>
      </c>
      <c r="Q6" s="9" t="s">
        <v>85</v>
      </c>
      <c r="R6" s="9" t="s">
        <v>85</v>
      </c>
      <c r="S6" s="9">
        <v>0.5</v>
      </c>
      <c r="T6" s="9" t="s">
        <v>85</v>
      </c>
      <c r="U6" s="9" t="s">
        <v>85</v>
      </c>
      <c r="V6" s="9">
        <v>0.366667</v>
      </c>
      <c r="W6" s="9" t="s">
        <v>85</v>
      </c>
      <c r="X6" s="9" t="s">
        <v>85</v>
      </c>
      <c r="Y6" s="9">
        <v>0.533333</v>
      </c>
      <c r="Z6" s="10" t="s">
        <v>85</v>
      </c>
      <c r="AA6" s="10" t="s">
        <v>85</v>
      </c>
      <c r="AB6" s="9">
        <v>0.6</v>
      </c>
      <c r="AC6" s="9" t="s">
        <v>85</v>
      </c>
      <c r="AD6" s="9" t="s">
        <v>85</v>
      </c>
      <c r="AE6" s="9">
        <v>0.566667</v>
      </c>
      <c r="AF6" s="9" t="s">
        <v>85</v>
      </c>
      <c r="AG6" s="9" t="s">
        <v>85</v>
      </c>
      <c r="AH6" s="9">
        <v>0.466667</v>
      </c>
      <c r="AI6" s="9" t="s">
        <v>85</v>
      </c>
      <c r="AJ6" s="9" t="s">
        <v>85</v>
      </c>
      <c r="AK6" s="9">
        <v>0.433333</v>
      </c>
      <c r="AL6" s="9" t="s">
        <v>85</v>
      </c>
      <c r="AM6" s="9" t="s">
        <v>85</v>
      </c>
      <c r="AN6" s="9">
        <v>0.433333</v>
      </c>
      <c r="AO6" s="9" t="s">
        <v>85</v>
      </c>
      <c r="AP6" s="9" t="s">
        <v>85</v>
      </c>
      <c r="AQ6" s="9">
        <v>0.466667</v>
      </c>
      <c r="AR6" s="9" t="s">
        <v>85</v>
      </c>
      <c r="AS6" s="9" t="s">
        <v>85</v>
      </c>
      <c r="AT6" s="9">
        <v>0.433333</v>
      </c>
      <c r="AU6" s="9" t="s">
        <v>85</v>
      </c>
      <c r="AV6" s="9" t="s">
        <v>85</v>
      </c>
      <c r="AW6" s="9">
        <v>0.366667</v>
      </c>
      <c r="AX6" s="9" t="s">
        <v>85</v>
      </c>
      <c r="AY6" s="9" t="s">
        <v>85</v>
      </c>
      <c r="AZ6" s="9">
        <v>0.566667</v>
      </c>
      <c r="BA6" s="10" t="s">
        <v>85</v>
      </c>
      <c r="BB6" s="10" t="s">
        <v>85</v>
      </c>
      <c r="BC6" s="9">
        <v>0.5</v>
      </c>
      <c r="BD6" s="10" t="s">
        <v>85</v>
      </c>
      <c r="BE6" s="10" t="s">
        <v>85</v>
      </c>
      <c r="BF6" s="9" t="s">
        <v>85</v>
      </c>
      <c r="BG6" s="6"/>
      <c r="BH6" s="6" t="str">
        <f t="shared" si="1"/>
        <v>10B_One_Acc</v>
      </c>
      <c r="BI6" s="6" t="str">
        <f t="shared" si="2"/>
        <v>10BN_One_Acc</v>
      </c>
      <c r="BJ6" s="6" t="str">
        <f t="shared" si="3"/>
        <v>10BN_One_Acc</v>
      </c>
      <c r="BK6" s="6"/>
      <c r="BL6" s="1" t="s">
        <v>213</v>
      </c>
      <c r="BM6" s="6" t="s">
        <v>249</v>
      </c>
      <c r="BN6" s="6"/>
      <c r="BU6" s="6"/>
      <c r="BV6" s="6"/>
      <c r="BW6" s="6"/>
      <c r="BX6" s="6"/>
      <c r="BY6" s="6"/>
      <c r="BZ6" s="6"/>
      <c r="CA6" s="6"/>
    </row>
    <row r="7" ht="15.75" customHeight="1">
      <c r="A7" s="1" t="s">
        <v>95</v>
      </c>
      <c r="B7" s="9" t="s">
        <v>85</v>
      </c>
      <c r="C7" s="9" t="s">
        <v>85</v>
      </c>
      <c r="D7" s="9">
        <v>0.85</v>
      </c>
      <c r="E7" s="9" t="s">
        <v>85</v>
      </c>
      <c r="F7" s="9" t="s">
        <v>85</v>
      </c>
      <c r="G7" s="9">
        <v>0.5</v>
      </c>
      <c r="H7" s="9" t="s">
        <v>85</v>
      </c>
      <c r="I7" s="9" t="s">
        <v>85</v>
      </c>
      <c r="J7" s="9">
        <v>0.9</v>
      </c>
      <c r="K7" s="9" t="s">
        <v>85</v>
      </c>
      <c r="L7" s="9" t="s">
        <v>85</v>
      </c>
      <c r="M7" s="9">
        <v>0.9</v>
      </c>
      <c r="N7" s="9" t="s">
        <v>85</v>
      </c>
      <c r="O7" s="9" t="s">
        <v>85</v>
      </c>
      <c r="P7" s="9">
        <v>0.85</v>
      </c>
      <c r="Q7" s="9" t="s">
        <v>85</v>
      </c>
      <c r="R7" s="9" t="s">
        <v>85</v>
      </c>
      <c r="S7" s="9">
        <v>0.85</v>
      </c>
      <c r="T7" s="9" t="s">
        <v>85</v>
      </c>
      <c r="U7" s="9" t="s">
        <v>85</v>
      </c>
      <c r="V7" s="9">
        <v>0.6</v>
      </c>
      <c r="W7" s="9" t="s">
        <v>85</v>
      </c>
      <c r="X7" s="9" t="s">
        <v>85</v>
      </c>
      <c r="Y7" s="9">
        <v>0.6</v>
      </c>
      <c r="Z7" s="10" t="s">
        <v>85</v>
      </c>
      <c r="AA7" s="10" t="s">
        <v>85</v>
      </c>
      <c r="AB7" s="9">
        <v>0.9</v>
      </c>
      <c r="AC7" s="9" t="s">
        <v>85</v>
      </c>
      <c r="AD7" s="9" t="s">
        <v>85</v>
      </c>
      <c r="AE7" s="9">
        <v>0.9</v>
      </c>
      <c r="AF7" s="9" t="s">
        <v>85</v>
      </c>
      <c r="AG7" s="9" t="s">
        <v>85</v>
      </c>
      <c r="AH7" s="9">
        <v>0.75</v>
      </c>
      <c r="AI7" s="9" t="s">
        <v>85</v>
      </c>
      <c r="AJ7" s="9" t="s">
        <v>85</v>
      </c>
      <c r="AK7" s="9">
        <v>0.6</v>
      </c>
      <c r="AL7" s="9" t="s">
        <v>85</v>
      </c>
      <c r="AM7" s="9" t="s">
        <v>85</v>
      </c>
      <c r="AN7" s="9">
        <v>0.8</v>
      </c>
      <c r="AO7" s="9" t="s">
        <v>85</v>
      </c>
      <c r="AP7" s="9" t="s">
        <v>85</v>
      </c>
      <c r="AQ7" s="9">
        <v>0.7</v>
      </c>
      <c r="AR7" s="9" t="s">
        <v>85</v>
      </c>
      <c r="AS7" s="9" t="s">
        <v>85</v>
      </c>
      <c r="AT7" s="9">
        <v>0.85</v>
      </c>
      <c r="AU7" s="9" t="s">
        <v>85</v>
      </c>
      <c r="AV7" s="9" t="s">
        <v>85</v>
      </c>
      <c r="AW7" s="9">
        <v>0.85</v>
      </c>
      <c r="AX7" s="9" t="s">
        <v>85</v>
      </c>
      <c r="AY7" s="9" t="s">
        <v>85</v>
      </c>
      <c r="AZ7" s="9">
        <v>0.8</v>
      </c>
      <c r="BA7" s="10" t="s">
        <v>85</v>
      </c>
      <c r="BB7" s="10" t="s">
        <v>85</v>
      </c>
      <c r="BC7" s="9">
        <v>0.9</v>
      </c>
      <c r="BD7" s="10" t="s">
        <v>85</v>
      </c>
      <c r="BE7" s="10" t="s">
        <v>85</v>
      </c>
      <c r="BF7" s="9" t="s">
        <v>85</v>
      </c>
      <c r="BG7" s="6"/>
      <c r="BH7" s="6" t="str">
        <f t="shared" si="1"/>
        <v>5V_One_Acc</v>
      </c>
      <c r="BI7" s="6" t="str">
        <f t="shared" si="2"/>
        <v>5V_One_Acc</v>
      </c>
      <c r="BJ7" s="6" t="str">
        <f t="shared" si="3"/>
        <v>5V_One_Acc</v>
      </c>
      <c r="BK7" s="6"/>
      <c r="BM7" s="6">
        <f>COUNTIF(BH3:BH100,"*5*")</f>
        <v>29</v>
      </c>
      <c r="BN7" s="6">
        <f>COUNTIF(BH3:BH100,"*8*")</f>
        <v>18</v>
      </c>
      <c r="BO7" s="6">
        <f>COUNTIF(BH3:BH100,"*10*")</f>
        <v>14</v>
      </c>
      <c r="BP7" s="6">
        <f>COUNTIF(BH3:BH100,"*12*")</f>
        <v>23</v>
      </c>
      <c r="BQ7" s="6">
        <f>COUNTIF(BH3:BH100,"*20*")</f>
        <v>14</v>
      </c>
      <c r="BR7" s="6"/>
      <c r="BS7" s="6"/>
      <c r="BU7" s="6"/>
      <c r="BV7" s="6"/>
      <c r="BW7" s="6"/>
      <c r="BX7" s="6"/>
      <c r="BY7" s="6"/>
      <c r="BZ7" s="6"/>
      <c r="CA7" s="6"/>
    </row>
    <row r="8" ht="15.75" customHeight="1">
      <c r="A8" s="1" t="s">
        <v>97</v>
      </c>
      <c r="B8" s="9" t="s">
        <v>85</v>
      </c>
      <c r="C8" s="9" t="s">
        <v>85</v>
      </c>
      <c r="D8" s="9">
        <v>0.75</v>
      </c>
      <c r="E8" s="9" t="s">
        <v>85</v>
      </c>
      <c r="F8" s="9" t="s">
        <v>85</v>
      </c>
      <c r="G8" s="9">
        <v>0.5</v>
      </c>
      <c r="H8" s="9" t="s">
        <v>85</v>
      </c>
      <c r="I8" s="9" t="s">
        <v>85</v>
      </c>
      <c r="J8" s="9">
        <v>0.8</v>
      </c>
      <c r="K8" s="9" t="s">
        <v>85</v>
      </c>
      <c r="L8" s="9" t="s">
        <v>85</v>
      </c>
      <c r="M8" s="9">
        <v>0.85</v>
      </c>
      <c r="N8" s="9" t="s">
        <v>85</v>
      </c>
      <c r="O8" s="9" t="s">
        <v>85</v>
      </c>
      <c r="P8" s="9">
        <v>0.6</v>
      </c>
      <c r="Q8" s="9" t="s">
        <v>85</v>
      </c>
      <c r="R8" s="9" t="s">
        <v>85</v>
      </c>
      <c r="S8" s="9">
        <v>0.75</v>
      </c>
      <c r="T8" s="9" t="s">
        <v>85</v>
      </c>
      <c r="U8" s="9" t="s">
        <v>85</v>
      </c>
      <c r="V8" s="9">
        <v>0.7</v>
      </c>
      <c r="W8" s="9" t="s">
        <v>85</v>
      </c>
      <c r="X8" s="9" t="s">
        <v>85</v>
      </c>
      <c r="Y8" s="9">
        <v>0.75</v>
      </c>
      <c r="Z8" s="10" t="s">
        <v>85</v>
      </c>
      <c r="AA8" s="10" t="s">
        <v>85</v>
      </c>
      <c r="AB8" s="9">
        <v>0.65</v>
      </c>
      <c r="AC8" s="9" t="s">
        <v>85</v>
      </c>
      <c r="AD8" s="9" t="s">
        <v>85</v>
      </c>
      <c r="AE8" s="9">
        <v>0.8</v>
      </c>
      <c r="AF8" s="9" t="s">
        <v>85</v>
      </c>
      <c r="AG8" s="9" t="s">
        <v>85</v>
      </c>
      <c r="AH8" s="9">
        <v>0.9</v>
      </c>
      <c r="AI8" s="9" t="s">
        <v>85</v>
      </c>
      <c r="AJ8" s="9" t="s">
        <v>85</v>
      </c>
      <c r="AK8" s="9">
        <v>0.9</v>
      </c>
      <c r="AL8" s="9" t="s">
        <v>85</v>
      </c>
      <c r="AM8" s="9" t="s">
        <v>85</v>
      </c>
      <c r="AN8" s="9">
        <v>0.7</v>
      </c>
      <c r="AO8" s="9" t="s">
        <v>85</v>
      </c>
      <c r="AP8" s="9" t="s">
        <v>85</v>
      </c>
      <c r="AQ8" s="9">
        <v>0.7</v>
      </c>
      <c r="AR8" s="9" t="s">
        <v>85</v>
      </c>
      <c r="AS8" s="9" t="s">
        <v>85</v>
      </c>
      <c r="AT8" s="9">
        <v>0.75</v>
      </c>
      <c r="AU8" s="9" t="s">
        <v>85</v>
      </c>
      <c r="AV8" s="9" t="s">
        <v>85</v>
      </c>
      <c r="AW8" s="9">
        <v>0.75</v>
      </c>
      <c r="AX8" s="9" t="s">
        <v>85</v>
      </c>
      <c r="AY8" s="9" t="s">
        <v>85</v>
      </c>
      <c r="AZ8" s="9">
        <v>0.75</v>
      </c>
      <c r="BA8" s="10" t="s">
        <v>85</v>
      </c>
      <c r="BB8" s="10" t="s">
        <v>85</v>
      </c>
      <c r="BC8" s="9">
        <v>0.7</v>
      </c>
      <c r="BD8" s="10" t="s">
        <v>85</v>
      </c>
      <c r="BE8" s="10" t="s">
        <v>85</v>
      </c>
      <c r="BF8" s="9" t="s">
        <v>85</v>
      </c>
      <c r="BG8" s="6"/>
      <c r="BH8" s="6" t="str">
        <f t="shared" si="1"/>
        <v>10V_One_Acc</v>
      </c>
      <c r="BI8" s="6" t="str">
        <f t="shared" si="2"/>
        <v>10V_One_Acc</v>
      </c>
      <c r="BJ8" s="6" t="str">
        <f t="shared" si="3"/>
        <v>5VB_One_Acc</v>
      </c>
      <c r="BK8" s="6"/>
      <c r="BL8" s="6"/>
      <c r="BM8" s="6" t="s">
        <v>250</v>
      </c>
      <c r="BN8" s="6" t="s">
        <v>251</v>
      </c>
      <c r="BO8" s="6" t="s">
        <v>252</v>
      </c>
      <c r="BP8" s="6" t="s">
        <v>253</v>
      </c>
      <c r="BQ8" s="6" t="s">
        <v>254</v>
      </c>
      <c r="BR8" s="6"/>
      <c r="BS8" s="6"/>
      <c r="BT8" s="6"/>
      <c r="BU8" s="6"/>
      <c r="BV8" s="6"/>
      <c r="BW8" s="6"/>
      <c r="BX8" s="6"/>
      <c r="BY8" s="6"/>
      <c r="BZ8" s="6"/>
      <c r="CA8" s="6"/>
    </row>
    <row r="9" ht="15.75" customHeight="1">
      <c r="A9" s="1" t="s">
        <v>98</v>
      </c>
      <c r="B9" s="9" t="s">
        <v>85</v>
      </c>
      <c r="C9" s="9" t="s">
        <v>85</v>
      </c>
      <c r="D9" s="9">
        <v>0.9</v>
      </c>
      <c r="E9" s="9" t="s">
        <v>85</v>
      </c>
      <c r="F9" s="9" t="s">
        <v>85</v>
      </c>
      <c r="G9" s="9">
        <v>0.346667</v>
      </c>
      <c r="H9" s="9" t="s">
        <v>85</v>
      </c>
      <c r="I9" s="9" t="s">
        <v>85</v>
      </c>
      <c r="J9" s="9">
        <v>0.966667</v>
      </c>
      <c r="K9" s="9" t="s">
        <v>85</v>
      </c>
      <c r="L9" s="9" t="s">
        <v>85</v>
      </c>
      <c r="M9" s="9">
        <v>0.986667</v>
      </c>
      <c r="N9" s="9" t="s">
        <v>85</v>
      </c>
      <c r="O9" s="9" t="s">
        <v>85</v>
      </c>
      <c r="P9" s="9">
        <v>0.9</v>
      </c>
      <c r="Q9" s="9" t="s">
        <v>85</v>
      </c>
      <c r="R9" s="9" t="s">
        <v>85</v>
      </c>
      <c r="S9" s="9">
        <v>0.906667</v>
      </c>
      <c r="T9" s="9" t="s">
        <v>85</v>
      </c>
      <c r="U9" s="9" t="s">
        <v>85</v>
      </c>
      <c r="V9" s="9">
        <v>0.973333</v>
      </c>
      <c r="W9" s="9" t="s">
        <v>85</v>
      </c>
      <c r="X9" s="9" t="s">
        <v>85</v>
      </c>
      <c r="Y9" s="9">
        <v>0.96</v>
      </c>
      <c r="Z9" s="10" t="s">
        <v>85</v>
      </c>
      <c r="AA9" s="10" t="s">
        <v>85</v>
      </c>
      <c r="AB9" s="9">
        <v>0.886667</v>
      </c>
      <c r="AC9" s="9" t="s">
        <v>85</v>
      </c>
      <c r="AD9" s="9" t="s">
        <v>85</v>
      </c>
      <c r="AE9" s="9">
        <v>0.9</v>
      </c>
      <c r="AF9" s="9" t="s">
        <v>85</v>
      </c>
      <c r="AG9" s="9" t="s">
        <v>85</v>
      </c>
      <c r="AH9" s="9">
        <v>0.946667</v>
      </c>
      <c r="AI9" s="9" t="s">
        <v>85</v>
      </c>
      <c r="AJ9" s="9" t="s">
        <v>85</v>
      </c>
      <c r="AK9" s="9">
        <v>0.9</v>
      </c>
      <c r="AL9" s="9" t="s">
        <v>85</v>
      </c>
      <c r="AM9" s="9" t="s">
        <v>85</v>
      </c>
      <c r="AN9" s="9">
        <v>0.9</v>
      </c>
      <c r="AO9" s="9" t="s">
        <v>85</v>
      </c>
      <c r="AP9" s="9" t="s">
        <v>85</v>
      </c>
      <c r="AQ9" s="9">
        <v>0.9</v>
      </c>
      <c r="AR9" s="9" t="s">
        <v>85</v>
      </c>
      <c r="AS9" s="9" t="s">
        <v>85</v>
      </c>
      <c r="AT9" s="9">
        <v>0.893333</v>
      </c>
      <c r="AU9" s="9" t="s">
        <v>85</v>
      </c>
      <c r="AV9" s="9" t="s">
        <v>85</v>
      </c>
      <c r="AW9" s="9">
        <v>0.893333</v>
      </c>
      <c r="AX9" s="9" t="s">
        <v>85</v>
      </c>
      <c r="AY9" s="9" t="s">
        <v>85</v>
      </c>
      <c r="AZ9" s="9">
        <v>0.86</v>
      </c>
      <c r="BA9" s="10" t="s">
        <v>85</v>
      </c>
      <c r="BB9" s="10" t="s">
        <v>85</v>
      </c>
      <c r="BC9" s="9">
        <v>0.94</v>
      </c>
      <c r="BD9" s="10" t="s">
        <v>85</v>
      </c>
      <c r="BE9" s="10" t="s">
        <v>85</v>
      </c>
      <c r="BF9" s="9" t="s">
        <v>85</v>
      </c>
      <c r="BG9" s="6"/>
      <c r="BH9" s="6" t="str">
        <f t="shared" si="1"/>
        <v>5VB_One_Acc</v>
      </c>
      <c r="BI9" s="6" t="str">
        <f t="shared" si="2"/>
        <v>8V_One_Acc</v>
      </c>
      <c r="BJ9" s="6" t="str">
        <f t="shared" si="3"/>
        <v>5V_One_Acc</v>
      </c>
      <c r="BK9" s="6"/>
      <c r="BL9" s="6" t="s">
        <v>233</v>
      </c>
      <c r="BM9" s="18">
        <f t="shared" ref="BM9:BQ9" si="4">MINUS(BM7,SUM(BM10,BM11))</f>
        <v>15</v>
      </c>
      <c r="BN9" s="18">
        <f t="shared" si="4"/>
        <v>6</v>
      </c>
      <c r="BO9" s="18">
        <f t="shared" si="4"/>
        <v>7</v>
      </c>
      <c r="BP9" s="18">
        <f t="shared" si="4"/>
        <v>8</v>
      </c>
      <c r="BQ9" s="18">
        <f t="shared" si="4"/>
        <v>4</v>
      </c>
      <c r="BR9" s="6">
        <f t="shared" ref="BR9:BR11" si="5">SUM(BM9:BQ9)</f>
        <v>40</v>
      </c>
      <c r="BS9" s="6"/>
      <c r="BT9" s="6"/>
      <c r="BU9" s="6"/>
      <c r="BV9" s="6"/>
      <c r="BW9" s="6"/>
      <c r="BX9" s="6"/>
      <c r="BY9" s="6"/>
      <c r="BZ9" s="6"/>
      <c r="CA9" s="6"/>
    </row>
    <row r="10" ht="15.75" customHeight="1">
      <c r="A10" s="1" t="s">
        <v>99</v>
      </c>
      <c r="B10" s="9" t="s">
        <v>85</v>
      </c>
      <c r="C10" s="9" t="s">
        <v>85</v>
      </c>
      <c r="D10" s="9">
        <v>0.55</v>
      </c>
      <c r="E10" s="9" t="s">
        <v>85</v>
      </c>
      <c r="F10" s="9" t="s">
        <v>85</v>
      </c>
      <c r="G10" s="9">
        <v>0.2</v>
      </c>
      <c r="H10" s="9" t="s">
        <v>85</v>
      </c>
      <c r="I10" s="9" t="s">
        <v>85</v>
      </c>
      <c r="J10" s="9">
        <v>0.683333</v>
      </c>
      <c r="K10" s="9" t="s">
        <v>85</v>
      </c>
      <c r="L10" s="9" t="s">
        <v>85</v>
      </c>
      <c r="M10" s="9">
        <v>0.666667</v>
      </c>
      <c r="N10" s="9" t="s">
        <v>85</v>
      </c>
      <c r="O10" s="9" t="s">
        <v>85</v>
      </c>
      <c r="P10" s="9">
        <v>0.583333</v>
      </c>
      <c r="Q10" s="9" t="s">
        <v>85</v>
      </c>
      <c r="R10" s="9" t="s">
        <v>85</v>
      </c>
      <c r="S10" s="9">
        <v>0.583333</v>
      </c>
      <c r="T10" s="9" t="s">
        <v>85</v>
      </c>
      <c r="U10" s="9" t="s">
        <v>85</v>
      </c>
      <c r="V10" s="9">
        <v>0.716667</v>
      </c>
      <c r="W10" s="9" t="s">
        <v>85</v>
      </c>
      <c r="X10" s="9" t="s">
        <v>85</v>
      </c>
      <c r="Y10" s="9">
        <v>0.666667</v>
      </c>
      <c r="Z10" s="10" t="s">
        <v>85</v>
      </c>
      <c r="AA10" s="10" t="s">
        <v>85</v>
      </c>
      <c r="AB10" s="9">
        <v>0.583333</v>
      </c>
      <c r="AC10" s="9" t="s">
        <v>85</v>
      </c>
      <c r="AD10" s="9" t="s">
        <v>85</v>
      </c>
      <c r="AE10" s="9">
        <v>0.55</v>
      </c>
      <c r="AF10" s="9" t="s">
        <v>85</v>
      </c>
      <c r="AG10" s="9" t="s">
        <v>85</v>
      </c>
      <c r="AH10" s="9">
        <v>0.65</v>
      </c>
      <c r="AI10" s="9" t="s">
        <v>85</v>
      </c>
      <c r="AJ10" s="9" t="s">
        <v>85</v>
      </c>
      <c r="AK10" s="9">
        <v>0.7</v>
      </c>
      <c r="AL10" s="9" t="s">
        <v>85</v>
      </c>
      <c r="AM10" s="9" t="s">
        <v>85</v>
      </c>
      <c r="AN10" s="9">
        <v>0.633333</v>
      </c>
      <c r="AO10" s="9" t="s">
        <v>85</v>
      </c>
      <c r="AP10" s="9" t="s">
        <v>85</v>
      </c>
      <c r="AQ10" s="9">
        <v>0.6</v>
      </c>
      <c r="AR10" s="9" t="s">
        <v>85</v>
      </c>
      <c r="AS10" s="9" t="s">
        <v>85</v>
      </c>
      <c r="AT10" s="9">
        <v>0.766667</v>
      </c>
      <c r="AU10" s="9" t="s">
        <v>85</v>
      </c>
      <c r="AV10" s="9" t="s">
        <v>85</v>
      </c>
      <c r="AW10" s="9">
        <v>0.7</v>
      </c>
      <c r="AX10" s="9" t="s">
        <v>85</v>
      </c>
      <c r="AY10" s="9" t="s">
        <v>85</v>
      </c>
      <c r="AZ10" s="9">
        <v>0.55</v>
      </c>
      <c r="BA10" s="10" t="s">
        <v>85</v>
      </c>
      <c r="BB10" s="10" t="s">
        <v>85</v>
      </c>
      <c r="BC10" s="9">
        <v>0.683333</v>
      </c>
      <c r="BD10" s="10" t="s">
        <v>85</v>
      </c>
      <c r="BE10" s="10" t="s">
        <v>85</v>
      </c>
      <c r="BF10" s="9" t="s">
        <v>85</v>
      </c>
      <c r="BG10" s="6"/>
      <c r="BH10" s="6" t="str">
        <f t="shared" si="1"/>
        <v>12V_One_Acc</v>
      </c>
      <c r="BI10" s="6" t="str">
        <f t="shared" si="2"/>
        <v>8V_One_Acc</v>
      </c>
      <c r="BJ10" s="6" t="str">
        <f t="shared" si="3"/>
        <v>10VB_One_Acc</v>
      </c>
      <c r="BK10" s="6"/>
      <c r="BL10" s="6" t="s">
        <v>234</v>
      </c>
      <c r="BM10" s="18">
        <f>COUNTIFS(BH3:BH100,"*V*",BH3:BH100,"*5*")</f>
        <v>14</v>
      </c>
      <c r="BN10" s="19">
        <f>COUNTIFS(BH3:BH100,"*V*",BH3:BH100,"*8*")</f>
        <v>12</v>
      </c>
      <c r="BO10" s="18">
        <f>COUNTIFS(BH3:BH100,"*V*",BH3:BH100,"*10*")</f>
        <v>7</v>
      </c>
      <c r="BP10" s="18">
        <f>COUNTIFS(BH3:BH100,"*V*",BH3:BH100,"*12*")</f>
        <v>15</v>
      </c>
      <c r="BQ10" s="18">
        <f>COUNTIFS(BH3:BH100,"*V*",BH3:BH100,"*20*")</f>
        <v>10</v>
      </c>
      <c r="BR10" s="6">
        <f t="shared" si="5"/>
        <v>58</v>
      </c>
      <c r="BS10" s="6"/>
      <c r="BT10" s="6"/>
      <c r="BU10" s="6"/>
      <c r="BW10" s="6"/>
      <c r="BX10" s="6"/>
      <c r="BY10" s="6"/>
      <c r="BZ10" s="6"/>
      <c r="CA10" s="6"/>
    </row>
    <row r="11" ht="15.75" customHeight="1">
      <c r="A11" s="1" t="s">
        <v>101</v>
      </c>
      <c r="B11" s="9" t="s">
        <v>85</v>
      </c>
      <c r="C11" s="9" t="s">
        <v>85</v>
      </c>
      <c r="D11" s="9">
        <v>0.955556</v>
      </c>
      <c r="E11" s="9" t="s">
        <v>85</v>
      </c>
      <c r="F11" s="9" t="s">
        <v>85</v>
      </c>
      <c r="G11" s="9">
        <v>0.331111</v>
      </c>
      <c r="H11" s="9" t="s">
        <v>85</v>
      </c>
      <c r="I11" s="9" t="s">
        <v>85</v>
      </c>
      <c r="J11" s="9">
        <v>0.984444</v>
      </c>
      <c r="K11" s="9" t="s">
        <v>85</v>
      </c>
      <c r="L11" s="9" t="s">
        <v>85</v>
      </c>
      <c r="M11" s="9">
        <v>0.975556</v>
      </c>
      <c r="N11" s="9" t="s">
        <v>85</v>
      </c>
      <c r="O11" s="9" t="s">
        <v>85</v>
      </c>
      <c r="P11" s="9">
        <v>0.935556</v>
      </c>
      <c r="Q11" s="9" t="s">
        <v>85</v>
      </c>
      <c r="R11" s="9" t="s">
        <v>85</v>
      </c>
      <c r="S11" s="9">
        <v>0.938889</v>
      </c>
      <c r="T11" s="9" t="s">
        <v>85</v>
      </c>
      <c r="U11" s="9" t="s">
        <v>85</v>
      </c>
      <c r="V11" s="9">
        <v>0.945556</v>
      </c>
      <c r="W11" s="9" t="s">
        <v>85</v>
      </c>
      <c r="X11" s="9" t="s">
        <v>85</v>
      </c>
      <c r="Y11" s="9">
        <v>0.956667</v>
      </c>
      <c r="Z11" s="10" t="s">
        <v>85</v>
      </c>
      <c r="AA11" s="10" t="s">
        <v>85</v>
      </c>
      <c r="AB11" s="9">
        <v>0.965556</v>
      </c>
      <c r="AC11" s="9" t="s">
        <v>85</v>
      </c>
      <c r="AD11" s="9" t="s">
        <v>85</v>
      </c>
      <c r="AE11" s="9">
        <v>0.96</v>
      </c>
      <c r="AF11" s="9" t="s">
        <v>85</v>
      </c>
      <c r="AG11" s="9" t="s">
        <v>85</v>
      </c>
      <c r="AH11" s="9">
        <v>0.974444</v>
      </c>
      <c r="AI11" s="9" t="s">
        <v>85</v>
      </c>
      <c r="AJ11" s="9" t="s">
        <v>85</v>
      </c>
      <c r="AK11" s="9">
        <v>0.975556</v>
      </c>
      <c r="AL11" s="9" t="s">
        <v>85</v>
      </c>
      <c r="AM11" s="9" t="s">
        <v>85</v>
      </c>
      <c r="AN11" s="9">
        <v>0.961111</v>
      </c>
      <c r="AO11" s="9" t="s">
        <v>85</v>
      </c>
      <c r="AP11" s="9" t="s">
        <v>85</v>
      </c>
      <c r="AQ11" s="1" t="s">
        <v>85</v>
      </c>
      <c r="AR11" s="9" t="s">
        <v>85</v>
      </c>
      <c r="AS11" s="9" t="s">
        <v>85</v>
      </c>
      <c r="AT11" s="9">
        <v>0.933333</v>
      </c>
      <c r="AU11" s="9" t="s">
        <v>85</v>
      </c>
      <c r="AV11" s="9" t="s">
        <v>85</v>
      </c>
      <c r="AW11" s="9">
        <v>0.948889</v>
      </c>
      <c r="AX11" s="9" t="s">
        <v>85</v>
      </c>
      <c r="AY11" s="9" t="s">
        <v>85</v>
      </c>
      <c r="AZ11" s="9">
        <v>0.971111</v>
      </c>
      <c r="BA11" s="10" t="s">
        <v>85</v>
      </c>
      <c r="BB11" s="10" t="s">
        <v>85</v>
      </c>
      <c r="BC11" s="9">
        <v>0.94</v>
      </c>
      <c r="BD11" s="10" t="s">
        <v>85</v>
      </c>
      <c r="BE11" s="10" t="s">
        <v>85</v>
      </c>
      <c r="BF11" s="9" t="s">
        <v>85</v>
      </c>
      <c r="BG11" s="6"/>
      <c r="BH11" s="6" t="str">
        <f t="shared" si="1"/>
        <v>5V_One_Acc</v>
      </c>
      <c r="BI11" s="6" t="str">
        <f t="shared" si="2"/>
        <v>5VB_One_Acc</v>
      </c>
      <c r="BJ11" s="6" t="str">
        <f t="shared" si="3"/>
        <v>5VB_One_Acc</v>
      </c>
      <c r="BK11" s="6"/>
      <c r="BL11" s="6" t="s">
        <v>20</v>
      </c>
      <c r="BM11" s="18">
        <f>COUNTIFS(BH3:BH100,"*De*")</f>
        <v>0</v>
      </c>
      <c r="BN11" s="19">
        <f>COUNTIFS(BH3:BH100,"*De*",BH3:BH100,"*8*")</f>
        <v>0</v>
      </c>
      <c r="BO11" s="18">
        <f>COUNTIFS(BH3:BH100,"*De*",BH3:BH100,"*10*")</f>
        <v>0</v>
      </c>
      <c r="BP11" s="18">
        <f>COUNTIFS(BH3:BH100,"*De*",BH3:BH100,"*12*")</f>
        <v>0</v>
      </c>
      <c r="BQ11" s="18">
        <f>COUNTIFS(BH3:BH100,"*De*",BH3:BH100,"*20*")</f>
        <v>0</v>
      </c>
      <c r="BR11" s="6">
        <f t="shared" si="5"/>
        <v>0</v>
      </c>
      <c r="BS11" s="6"/>
      <c r="BT11" s="6"/>
      <c r="BU11" s="6"/>
      <c r="BW11" s="6"/>
      <c r="BX11" s="6"/>
      <c r="BY11" s="6"/>
      <c r="BZ11" s="6"/>
      <c r="CA11" s="6"/>
    </row>
    <row r="12" ht="15.75" customHeight="1">
      <c r="A12" s="1" t="s">
        <v>103</v>
      </c>
      <c r="B12" s="9" t="s">
        <v>85</v>
      </c>
      <c r="C12" s="9" t="s">
        <v>85</v>
      </c>
      <c r="D12" s="9">
        <v>0.976676</v>
      </c>
      <c r="E12" s="9" t="s">
        <v>85</v>
      </c>
      <c r="F12" s="9" t="s">
        <v>85</v>
      </c>
      <c r="G12" s="9">
        <v>0.717201</v>
      </c>
      <c r="H12" s="9" t="s">
        <v>85</v>
      </c>
      <c r="I12" s="9" t="s">
        <v>85</v>
      </c>
      <c r="J12" s="9">
        <v>0.962099</v>
      </c>
      <c r="K12" s="9" t="s">
        <v>85</v>
      </c>
      <c r="L12" s="9" t="s">
        <v>85</v>
      </c>
      <c r="M12" s="9">
        <v>0.965015</v>
      </c>
      <c r="N12" s="9" t="s">
        <v>85</v>
      </c>
      <c r="O12" s="9" t="s">
        <v>85</v>
      </c>
      <c r="P12" s="9">
        <v>0.96793</v>
      </c>
      <c r="Q12" s="9" t="s">
        <v>85</v>
      </c>
      <c r="R12" s="9" t="s">
        <v>85</v>
      </c>
      <c r="S12" s="9">
        <v>0.979592</v>
      </c>
      <c r="T12" s="9" t="s">
        <v>85</v>
      </c>
      <c r="U12" s="9" t="s">
        <v>85</v>
      </c>
      <c r="V12" s="9">
        <v>0.944606</v>
      </c>
      <c r="W12" s="9" t="s">
        <v>85</v>
      </c>
      <c r="X12" s="9" t="s">
        <v>85</v>
      </c>
      <c r="Y12" s="9">
        <v>0.944606</v>
      </c>
      <c r="Z12" s="10" t="s">
        <v>85</v>
      </c>
      <c r="AA12" s="10" t="s">
        <v>85</v>
      </c>
      <c r="AB12" s="9">
        <v>0.982507</v>
      </c>
      <c r="AC12" s="9" t="s">
        <v>85</v>
      </c>
      <c r="AD12" s="9" t="s">
        <v>85</v>
      </c>
      <c r="AE12" s="9">
        <v>0.982507</v>
      </c>
      <c r="AF12" s="9" t="s">
        <v>85</v>
      </c>
      <c r="AG12" s="9" t="s">
        <v>85</v>
      </c>
      <c r="AH12" s="9">
        <v>0.947522</v>
      </c>
      <c r="AI12" s="9" t="s">
        <v>85</v>
      </c>
      <c r="AJ12" s="9" t="s">
        <v>85</v>
      </c>
      <c r="AK12" s="9">
        <v>0.932945</v>
      </c>
      <c r="AL12" s="9" t="s">
        <v>85</v>
      </c>
      <c r="AM12" s="9" t="s">
        <v>85</v>
      </c>
      <c r="AN12" s="9">
        <v>0.979592</v>
      </c>
      <c r="AO12" s="9" t="s">
        <v>85</v>
      </c>
      <c r="AP12" s="9" t="s">
        <v>85</v>
      </c>
      <c r="AQ12" s="9">
        <v>0.982507</v>
      </c>
      <c r="AR12" s="9" t="s">
        <v>85</v>
      </c>
      <c r="AS12" s="9" t="s">
        <v>85</v>
      </c>
      <c r="AT12" s="9">
        <v>0.932945</v>
      </c>
      <c r="AU12" s="9" t="s">
        <v>85</v>
      </c>
      <c r="AV12" s="9" t="s">
        <v>85</v>
      </c>
      <c r="AW12" s="9">
        <v>0.956268</v>
      </c>
      <c r="AX12" s="9" t="s">
        <v>85</v>
      </c>
      <c r="AY12" s="9" t="s">
        <v>85</v>
      </c>
      <c r="AZ12" s="9">
        <v>0.947522</v>
      </c>
      <c r="BA12" s="10" t="s">
        <v>85</v>
      </c>
      <c r="BB12" s="10" t="s">
        <v>85</v>
      </c>
      <c r="BC12" s="9">
        <v>0.947522</v>
      </c>
      <c r="BD12" s="10" t="s">
        <v>85</v>
      </c>
      <c r="BE12" s="10" t="s">
        <v>85</v>
      </c>
      <c r="BF12" s="9" t="s">
        <v>85</v>
      </c>
      <c r="BG12" s="6"/>
      <c r="BH12" s="6" t="str">
        <f t="shared" si="1"/>
        <v>10B_One_Acc</v>
      </c>
      <c r="BI12" s="6" t="str">
        <f t="shared" si="2"/>
        <v>10B_One_Acc</v>
      </c>
      <c r="BJ12" s="6" t="str">
        <f t="shared" si="3"/>
        <v>10B_One_Acc</v>
      </c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</row>
    <row r="13" ht="15.75" customHeight="1">
      <c r="A13" s="1" t="s">
        <v>105</v>
      </c>
      <c r="B13" s="9" t="s">
        <v>85</v>
      </c>
      <c r="C13" s="9" t="s">
        <v>85</v>
      </c>
      <c r="D13" s="9">
        <v>0.547917</v>
      </c>
      <c r="E13" s="9" t="s">
        <v>85</v>
      </c>
      <c r="F13" s="9" t="s">
        <v>85</v>
      </c>
      <c r="G13" s="9">
        <v>0.532552</v>
      </c>
      <c r="H13" s="9" t="s">
        <v>85</v>
      </c>
      <c r="I13" s="9" t="s">
        <v>85</v>
      </c>
      <c r="J13" s="9">
        <v>0.532552</v>
      </c>
      <c r="K13" s="9" t="s">
        <v>85</v>
      </c>
      <c r="L13" s="9" t="s">
        <v>85</v>
      </c>
      <c r="M13" s="9">
        <v>0.532552</v>
      </c>
      <c r="N13" s="9" t="s">
        <v>85</v>
      </c>
      <c r="O13" s="9" t="s">
        <v>85</v>
      </c>
      <c r="P13" s="9">
        <v>0.535677</v>
      </c>
      <c r="Q13" s="9" t="s">
        <v>85</v>
      </c>
      <c r="R13" s="9" t="s">
        <v>85</v>
      </c>
      <c r="S13" s="9">
        <v>0.532552</v>
      </c>
      <c r="T13" s="9" t="s">
        <v>85</v>
      </c>
      <c r="U13" s="9" t="s">
        <v>85</v>
      </c>
      <c r="V13" s="9">
        <v>0.56276</v>
      </c>
      <c r="W13" s="9" t="s">
        <v>85</v>
      </c>
      <c r="X13" s="9" t="s">
        <v>85</v>
      </c>
      <c r="Y13" s="9">
        <v>0.532552</v>
      </c>
      <c r="Z13" s="10" t="s">
        <v>85</v>
      </c>
      <c r="AA13" s="10" t="s">
        <v>85</v>
      </c>
      <c r="AB13" s="9">
        <v>0.579427</v>
      </c>
      <c r="AC13" s="9" t="s">
        <v>85</v>
      </c>
      <c r="AD13" s="9" t="s">
        <v>85</v>
      </c>
      <c r="AE13" s="9">
        <v>0.532552</v>
      </c>
      <c r="AF13" s="9" t="s">
        <v>85</v>
      </c>
      <c r="AG13" s="9" t="s">
        <v>85</v>
      </c>
      <c r="AH13" s="9">
        <v>0.532552</v>
      </c>
      <c r="AI13" s="9" t="s">
        <v>85</v>
      </c>
      <c r="AJ13" s="9" t="s">
        <v>85</v>
      </c>
      <c r="AK13" s="9">
        <v>0.532552</v>
      </c>
      <c r="AL13" s="9" t="s">
        <v>85</v>
      </c>
      <c r="AM13" s="9" t="s">
        <v>85</v>
      </c>
      <c r="AN13" s="9">
        <v>0.579427</v>
      </c>
      <c r="AO13" s="9" t="s">
        <v>85</v>
      </c>
      <c r="AP13" s="9" t="s">
        <v>85</v>
      </c>
      <c r="AQ13" s="9">
        <v>0.578385</v>
      </c>
      <c r="AR13" s="9" t="s">
        <v>85</v>
      </c>
      <c r="AS13" s="9" t="s">
        <v>85</v>
      </c>
      <c r="AT13" s="9">
        <v>0.59974</v>
      </c>
      <c r="AU13" s="9" t="s">
        <v>85</v>
      </c>
      <c r="AV13" s="9" t="s">
        <v>85</v>
      </c>
      <c r="AW13" s="9">
        <v>0.532552</v>
      </c>
      <c r="AX13" s="9" t="s">
        <v>85</v>
      </c>
      <c r="AY13" s="9" t="s">
        <v>85</v>
      </c>
      <c r="AZ13" s="9">
        <v>0.588542</v>
      </c>
      <c r="BA13" s="10" t="s">
        <v>85</v>
      </c>
      <c r="BB13" s="10" t="s">
        <v>85</v>
      </c>
      <c r="BC13" s="9">
        <v>0.532552</v>
      </c>
      <c r="BD13" s="10" t="s">
        <v>85</v>
      </c>
      <c r="BE13" s="10" t="s">
        <v>85</v>
      </c>
      <c r="BF13" s="9" t="s">
        <v>85</v>
      </c>
      <c r="BG13" s="6"/>
      <c r="BH13" s="6" t="str">
        <f t="shared" si="1"/>
        <v>12V_One_Acc</v>
      </c>
      <c r="BI13" s="6" t="str">
        <f t="shared" si="2"/>
        <v>20B_One_Acc</v>
      </c>
      <c r="BJ13" s="6" t="str">
        <f t="shared" si="3"/>
        <v>10B_One_Acc</v>
      </c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</row>
    <row r="14" ht="15.75" customHeight="1">
      <c r="A14" s="1" t="s">
        <v>107</v>
      </c>
      <c r="B14" s="9" t="s">
        <v>85</v>
      </c>
      <c r="C14" s="9" t="s">
        <v>85</v>
      </c>
      <c r="D14" s="9">
        <v>0.435507</v>
      </c>
      <c r="E14" s="9" t="s">
        <v>85</v>
      </c>
      <c r="F14" s="9" t="s">
        <v>85</v>
      </c>
      <c r="G14" s="9">
        <v>0.247826</v>
      </c>
      <c r="H14" s="9" t="s">
        <v>85</v>
      </c>
      <c r="I14" s="9" t="s">
        <v>85</v>
      </c>
      <c r="J14" s="9">
        <v>0.496377</v>
      </c>
      <c r="K14" s="9" t="s">
        <v>85</v>
      </c>
      <c r="L14" s="9" t="s">
        <v>85</v>
      </c>
      <c r="M14" s="9">
        <v>0.494203</v>
      </c>
      <c r="N14" s="9" t="s">
        <v>85</v>
      </c>
      <c r="O14" s="9" t="s">
        <v>85</v>
      </c>
      <c r="P14" s="9">
        <v>0.643478</v>
      </c>
      <c r="Q14" s="9" t="s">
        <v>85</v>
      </c>
      <c r="R14" s="9" t="s">
        <v>85</v>
      </c>
      <c r="S14" s="9">
        <v>0.603623</v>
      </c>
      <c r="T14" s="9" t="s">
        <v>85</v>
      </c>
      <c r="U14" s="9" t="s">
        <v>85</v>
      </c>
      <c r="V14" s="9">
        <v>0.628261</v>
      </c>
      <c r="W14" s="9" t="s">
        <v>85</v>
      </c>
      <c r="X14" s="9" t="s">
        <v>85</v>
      </c>
      <c r="Y14" s="9">
        <v>0.602899</v>
      </c>
      <c r="Z14" s="10" t="s">
        <v>85</v>
      </c>
      <c r="AA14" s="10" t="s">
        <v>85</v>
      </c>
      <c r="AB14" s="9">
        <v>0.656522</v>
      </c>
      <c r="AC14" s="9" t="s">
        <v>85</v>
      </c>
      <c r="AD14" s="9" t="s">
        <v>85</v>
      </c>
      <c r="AE14" s="9">
        <v>0.668841</v>
      </c>
      <c r="AF14" s="9" t="s">
        <v>85</v>
      </c>
      <c r="AG14" s="9" t="s">
        <v>85</v>
      </c>
      <c r="AH14" s="9">
        <v>0.641304</v>
      </c>
      <c r="AI14" s="9" t="s">
        <v>85</v>
      </c>
      <c r="AJ14" s="9" t="s">
        <v>85</v>
      </c>
      <c r="AK14" s="9">
        <v>0.634058</v>
      </c>
      <c r="AL14" s="9" t="s">
        <v>85</v>
      </c>
      <c r="AM14" s="9" t="s">
        <v>85</v>
      </c>
      <c r="AN14" s="9">
        <v>0.63913</v>
      </c>
      <c r="AO14" s="9" t="s">
        <v>85</v>
      </c>
      <c r="AP14" s="9" t="s">
        <v>85</v>
      </c>
      <c r="AQ14" s="9">
        <v>0.646377</v>
      </c>
      <c r="AR14" s="9" t="s">
        <v>85</v>
      </c>
      <c r="AS14" s="9" t="s">
        <v>85</v>
      </c>
      <c r="AT14" s="9">
        <v>0.697826</v>
      </c>
      <c r="AU14" s="9" t="s">
        <v>85</v>
      </c>
      <c r="AV14" s="9" t="s">
        <v>85</v>
      </c>
      <c r="AW14" s="9">
        <v>0.742029</v>
      </c>
      <c r="AX14" s="9" t="s">
        <v>85</v>
      </c>
      <c r="AY14" s="9" t="s">
        <v>85</v>
      </c>
      <c r="AZ14" s="9">
        <v>0.787681</v>
      </c>
      <c r="BA14" s="10" t="s">
        <v>85</v>
      </c>
      <c r="BB14" s="10" t="s">
        <v>85</v>
      </c>
      <c r="BC14" s="9">
        <v>0.797101</v>
      </c>
      <c r="BD14" s="10" t="s">
        <v>85</v>
      </c>
      <c r="BE14" s="10" t="s">
        <v>85</v>
      </c>
      <c r="BF14" s="9" t="s">
        <v>85</v>
      </c>
      <c r="BG14" s="6"/>
      <c r="BH14" s="6" t="str">
        <f t="shared" si="1"/>
        <v>20V_One_Acc</v>
      </c>
      <c r="BI14" s="6" t="str">
        <f t="shared" si="2"/>
        <v>20B_One_Acc</v>
      </c>
      <c r="BJ14" s="6" t="str">
        <f t="shared" si="3"/>
        <v>12VB_One_Acc</v>
      </c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</row>
    <row r="15" ht="15.75" customHeight="1">
      <c r="A15" s="1" t="s">
        <v>109</v>
      </c>
      <c r="B15" s="9" t="s">
        <v>85</v>
      </c>
      <c r="C15" s="9" t="s">
        <v>85</v>
      </c>
      <c r="D15" s="9">
        <v>0.75</v>
      </c>
      <c r="E15" s="9" t="s">
        <v>85</v>
      </c>
      <c r="F15" s="9" t="s">
        <v>85</v>
      </c>
      <c r="G15" s="9">
        <v>0.464286</v>
      </c>
      <c r="H15" s="9" t="s">
        <v>85</v>
      </c>
      <c r="I15" s="9" t="s">
        <v>85</v>
      </c>
      <c r="J15" s="9">
        <v>0.821429</v>
      </c>
      <c r="K15" s="9" t="s">
        <v>85</v>
      </c>
      <c r="L15" s="9" t="s">
        <v>85</v>
      </c>
      <c r="M15" s="9">
        <v>0.75</v>
      </c>
      <c r="N15" s="9" t="s">
        <v>85</v>
      </c>
      <c r="O15" s="9" t="s">
        <v>85</v>
      </c>
      <c r="P15" s="9">
        <v>0.714286</v>
      </c>
      <c r="Q15" s="9" t="s">
        <v>85</v>
      </c>
      <c r="R15" s="9" t="s">
        <v>85</v>
      </c>
      <c r="S15" s="9">
        <v>0.75</v>
      </c>
      <c r="T15" s="9" t="s">
        <v>85</v>
      </c>
      <c r="U15" s="9" t="s">
        <v>85</v>
      </c>
      <c r="V15" s="9">
        <v>0.964286</v>
      </c>
      <c r="W15" s="9" t="s">
        <v>85</v>
      </c>
      <c r="X15" s="9" t="s">
        <v>85</v>
      </c>
      <c r="Y15" s="9">
        <v>1.0</v>
      </c>
      <c r="Z15" s="10" t="s">
        <v>85</v>
      </c>
      <c r="AA15" s="10" t="s">
        <v>85</v>
      </c>
      <c r="AB15" s="9">
        <v>0.857143</v>
      </c>
      <c r="AC15" s="9" t="s">
        <v>85</v>
      </c>
      <c r="AD15" s="9" t="s">
        <v>85</v>
      </c>
      <c r="AE15" s="9">
        <v>0.857143</v>
      </c>
      <c r="AF15" s="9" t="s">
        <v>85</v>
      </c>
      <c r="AG15" s="9" t="s">
        <v>85</v>
      </c>
      <c r="AH15" s="9">
        <v>0.857143</v>
      </c>
      <c r="AI15" s="9" t="s">
        <v>85</v>
      </c>
      <c r="AJ15" s="9" t="s">
        <v>85</v>
      </c>
      <c r="AK15" s="9">
        <v>0.857143</v>
      </c>
      <c r="AL15" s="9" t="s">
        <v>85</v>
      </c>
      <c r="AM15" s="9" t="s">
        <v>85</v>
      </c>
      <c r="AN15" s="9">
        <v>0.928571</v>
      </c>
      <c r="AO15" s="9" t="s">
        <v>85</v>
      </c>
      <c r="AP15" s="9" t="s">
        <v>85</v>
      </c>
      <c r="AQ15" s="9">
        <v>0.928571</v>
      </c>
      <c r="AR15" s="9" t="s">
        <v>85</v>
      </c>
      <c r="AS15" s="9" t="s">
        <v>85</v>
      </c>
      <c r="AT15" s="9">
        <v>0.964286</v>
      </c>
      <c r="AU15" s="9" t="s">
        <v>85</v>
      </c>
      <c r="AV15" s="9" t="s">
        <v>85</v>
      </c>
      <c r="AW15" s="9">
        <v>0.964286</v>
      </c>
      <c r="AX15" s="9" t="s">
        <v>85</v>
      </c>
      <c r="AY15" s="9" t="s">
        <v>85</v>
      </c>
      <c r="AZ15" s="9">
        <v>0.928571</v>
      </c>
      <c r="BA15" s="10" t="s">
        <v>85</v>
      </c>
      <c r="BB15" s="10" t="s">
        <v>85</v>
      </c>
      <c r="BC15" s="9">
        <v>0.964286</v>
      </c>
      <c r="BD15" s="10" t="s">
        <v>85</v>
      </c>
      <c r="BE15" s="10" t="s">
        <v>85</v>
      </c>
      <c r="BF15" s="9" t="s">
        <v>85</v>
      </c>
      <c r="BG15" s="6"/>
      <c r="BH15" s="6" t="str">
        <f t="shared" si="1"/>
        <v>8VB_One_Acc</v>
      </c>
      <c r="BI15" s="6" t="str">
        <f t="shared" si="2"/>
        <v>8V_One_Acc</v>
      </c>
      <c r="BJ15" s="6" t="str">
        <f t="shared" si="3"/>
        <v>8V_One_Acc</v>
      </c>
      <c r="BK15" s="6"/>
      <c r="BL15" s="1" t="s">
        <v>214</v>
      </c>
      <c r="BM15" s="6" t="s">
        <v>249</v>
      </c>
      <c r="BN15" s="6"/>
      <c r="BO15" s="6"/>
      <c r="BP15" s="6"/>
      <c r="BQ15" s="6"/>
      <c r="BR15" s="6"/>
      <c r="BS15" s="6"/>
      <c r="BU15" s="6"/>
      <c r="BV15" s="6"/>
      <c r="BW15" s="6"/>
      <c r="BX15" s="6"/>
      <c r="BY15" s="6"/>
      <c r="BZ15" s="6"/>
      <c r="CA15" s="6"/>
    </row>
    <row r="16" ht="15.75" customHeight="1">
      <c r="A16" s="1" t="s">
        <v>110</v>
      </c>
      <c r="B16" s="9" t="s">
        <v>85</v>
      </c>
      <c r="C16" s="9" t="s">
        <v>85</v>
      </c>
      <c r="D16" s="9">
        <v>0.812</v>
      </c>
      <c r="E16" s="9" t="s">
        <v>85</v>
      </c>
      <c r="F16" s="9" t="s">
        <v>85</v>
      </c>
      <c r="G16" s="9">
        <v>0.5</v>
      </c>
      <c r="H16" s="9" t="s">
        <v>85</v>
      </c>
      <c r="I16" s="9" t="s">
        <v>85</v>
      </c>
      <c r="J16" s="9">
        <v>0.684</v>
      </c>
      <c r="K16" s="9" t="s">
        <v>85</v>
      </c>
      <c r="L16" s="9" t="s">
        <v>85</v>
      </c>
      <c r="M16" s="9">
        <v>0.672</v>
      </c>
      <c r="N16" s="9" t="s">
        <v>85</v>
      </c>
      <c r="O16" s="9" t="s">
        <v>85</v>
      </c>
      <c r="P16" s="9">
        <v>0.836</v>
      </c>
      <c r="Q16" s="9" t="s">
        <v>85</v>
      </c>
      <c r="R16" s="9" t="s">
        <v>85</v>
      </c>
      <c r="S16" s="9">
        <v>0.824</v>
      </c>
      <c r="T16" s="9" t="s">
        <v>85</v>
      </c>
      <c r="U16" s="9" t="s">
        <v>85</v>
      </c>
      <c r="V16" s="9">
        <v>0.712</v>
      </c>
      <c r="W16" s="9" t="s">
        <v>85</v>
      </c>
      <c r="X16" s="9" t="s">
        <v>85</v>
      </c>
      <c r="Y16" s="9">
        <v>0.692</v>
      </c>
      <c r="Z16" s="10" t="s">
        <v>85</v>
      </c>
      <c r="AA16" s="10" t="s">
        <v>85</v>
      </c>
      <c r="AB16" s="9">
        <v>0.824</v>
      </c>
      <c r="AC16" s="9" t="s">
        <v>85</v>
      </c>
      <c r="AD16" s="9" t="s">
        <v>85</v>
      </c>
      <c r="AE16" s="9">
        <v>0.828</v>
      </c>
      <c r="AF16" s="9" t="s">
        <v>85</v>
      </c>
      <c r="AG16" s="9" t="s">
        <v>85</v>
      </c>
      <c r="AH16" s="9">
        <v>0.616</v>
      </c>
      <c r="AI16" s="9" t="s">
        <v>85</v>
      </c>
      <c r="AJ16" s="9" t="s">
        <v>85</v>
      </c>
      <c r="AK16" s="9">
        <v>0.676</v>
      </c>
      <c r="AL16" s="9" t="s">
        <v>85</v>
      </c>
      <c r="AM16" s="9" t="s">
        <v>85</v>
      </c>
      <c r="AN16" s="9">
        <v>0.8</v>
      </c>
      <c r="AO16" s="9" t="s">
        <v>85</v>
      </c>
      <c r="AP16" s="9" t="s">
        <v>85</v>
      </c>
      <c r="AQ16" s="9">
        <v>0.812</v>
      </c>
      <c r="AR16" s="9" t="s">
        <v>85</v>
      </c>
      <c r="AS16" s="9" t="s">
        <v>85</v>
      </c>
      <c r="AT16" s="9">
        <v>0.648</v>
      </c>
      <c r="AU16" s="9" t="s">
        <v>85</v>
      </c>
      <c r="AV16" s="9" t="s">
        <v>85</v>
      </c>
      <c r="AW16" s="9">
        <v>0.644</v>
      </c>
      <c r="AX16" s="9" t="s">
        <v>85</v>
      </c>
      <c r="AY16" s="9" t="s">
        <v>85</v>
      </c>
      <c r="AZ16" s="9">
        <v>0.784</v>
      </c>
      <c r="BA16" s="10" t="s">
        <v>85</v>
      </c>
      <c r="BB16" s="10" t="s">
        <v>85</v>
      </c>
      <c r="BC16" s="9">
        <v>0.684</v>
      </c>
      <c r="BD16" s="10" t="s">
        <v>85</v>
      </c>
      <c r="BE16" s="10" t="s">
        <v>85</v>
      </c>
      <c r="BF16" s="9" t="s">
        <v>85</v>
      </c>
      <c r="BG16" s="6"/>
      <c r="BH16" s="6" t="str">
        <f t="shared" si="1"/>
        <v>8B_One_Acc</v>
      </c>
      <c r="BI16" s="6" t="str">
        <f t="shared" si="2"/>
        <v>10BN_One_Acc</v>
      </c>
      <c r="BJ16" s="6" t="str">
        <f t="shared" si="3"/>
        <v>8BN_One_Acc</v>
      </c>
      <c r="BK16" s="6"/>
      <c r="BM16" s="6" t="s">
        <v>255</v>
      </c>
      <c r="BN16" s="6" t="s">
        <v>256</v>
      </c>
      <c r="BO16" s="6" t="s">
        <v>257</v>
      </c>
      <c r="BP16" s="6" t="s">
        <v>258</v>
      </c>
      <c r="BQ16" s="6" t="s">
        <v>259</v>
      </c>
      <c r="BR16" s="6"/>
      <c r="BS16" s="6"/>
      <c r="BU16" s="6"/>
      <c r="BV16" s="6"/>
      <c r="BW16" s="6"/>
      <c r="BX16" s="6"/>
      <c r="BY16" s="6"/>
      <c r="BZ16" s="6"/>
      <c r="CA16" s="6"/>
    </row>
    <row r="17" ht="15.75" customHeight="1">
      <c r="A17" s="1" t="s">
        <v>111</v>
      </c>
      <c r="B17" s="9" t="s">
        <v>85</v>
      </c>
      <c r="C17" s="9" t="s">
        <v>85</v>
      </c>
      <c r="D17" s="9">
        <v>0.445952</v>
      </c>
      <c r="E17" s="9" t="s">
        <v>85</v>
      </c>
      <c r="F17" s="9" t="s">
        <v>85</v>
      </c>
      <c r="G17" s="9">
        <v>0.041667</v>
      </c>
      <c r="H17" s="9" t="s">
        <v>85</v>
      </c>
      <c r="I17" s="9" t="s">
        <v>85</v>
      </c>
      <c r="J17" s="9">
        <v>0.253274</v>
      </c>
      <c r="K17" s="9" t="s">
        <v>85</v>
      </c>
      <c r="L17" s="9" t="s">
        <v>85</v>
      </c>
      <c r="M17" s="9">
        <v>0.37631</v>
      </c>
      <c r="N17" s="9" t="s">
        <v>85</v>
      </c>
      <c r="O17" s="9" t="s">
        <v>85</v>
      </c>
      <c r="P17" s="9">
        <v>0.352976</v>
      </c>
      <c r="Q17" s="9" t="s">
        <v>85</v>
      </c>
      <c r="R17" s="9" t="s">
        <v>85</v>
      </c>
      <c r="S17" s="9">
        <v>0.471131</v>
      </c>
      <c r="T17" s="9" t="s">
        <v>85</v>
      </c>
      <c r="U17" s="9" t="s">
        <v>85</v>
      </c>
      <c r="V17" s="9">
        <v>0.489762</v>
      </c>
      <c r="W17" s="9" t="s">
        <v>85</v>
      </c>
      <c r="X17" s="9" t="s">
        <v>85</v>
      </c>
      <c r="Y17" s="9">
        <v>0.255119</v>
      </c>
      <c r="Z17" s="10" t="s">
        <v>85</v>
      </c>
      <c r="AA17" s="10" t="s">
        <v>85</v>
      </c>
      <c r="AB17" s="9">
        <v>0.475595</v>
      </c>
      <c r="AC17" s="9" t="s">
        <v>85</v>
      </c>
      <c r="AD17" s="9" t="s">
        <v>85</v>
      </c>
      <c r="AE17" s="9">
        <v>0.224286</v>
      </c>
      <c r="AF17" s="9" t="s">
        <v>85</v>
      </c>
      <c r="AG17" s="9" t="s">
        <v>85</v>
      </c>
      <c r="AH17" s="9">
        <v>0.407679</v>
      </c>
      <c r="AI17" s="9" t="s">
        <v>85</v>
      </c>
      <c r="AJ17" s="9" t="s">
        <v>85</v>
      </c>
      <c r="AK17" s="9">
        <v>0.2325</v>
      </c>
      <c r="AL17" s="9" t="s">
        <v>85</v>
      </c>
      <c r="AM17" s="9" t="s">
        <v>85</v>
      </c>
      <c r="AN17" s="9">
        <v>0.560119</v>
      </c>
      <c r="AO17" s="9" t="s">
        <v>85</v>
      </c>
      <c r="AP17" s="9" t="s">
        <v>85</v>
      </c>
      <c r="AQ17" s="9">
        <v>0.472381</v>
      </c>
      <c r="AR17" s="9" t="s">
        <v>85</v>
      </c>
      <c r="AS17" s="9" t="s">
        <v>85</v>
      </c>
      <c r="AT17" s="9">
        <v>0.593988</v>
      </c>
      <c r="AU17" s="9" t="s">
        <v>85</v>
      </c>
      <c r="AV17" s="9" t="s">
        <v>85</v>
      </c>
      <c r="AW17" s="9">
        <v>0.354048</v>
      </c>
      <c r="AX17" s="9" t="s">
        <v>85</v>
      </c>
      <c r="AY17" s="9" t="s">
        <v>85</v>
      </c>
      <c r="AZ17" s="9">
        <v>0.49875</v>
      </c>
      <c r="BA17" s="10" t="s">
        <v>85</v>
      </c>
      <c r="BB17" s="10" t="s">
        <v>85</v>
      </c>
      <c r="BC17" s="9">
        <v>0.254405</v>
      </c>
      <c r="BD17" s="10" t="s">
        <v>85</v>
      </c>
      <c r="BE17" s="10" t="s">
        <v>85</v>
      </c>
      <c r="BF17" s="9" t="s">
        <v>85</v>
      </c>
      <c r="BG17" s="6"/>
      <c r="BH17" s="6" t="str">
        <f t="shared" si="1"/>
        <v>12V_One_Acc</v>
      </c>
      <c r="BI17" s="6" t="str">
        <f t="shared" si="2"/>
        <v>12B_One_Acc</v>
      </c>
      <c r="BJ17" s="6" t="str">
        <f t="shared" si="3"/>
        <v>20B_One_Acc</v>
      </c>
      <c r="BK17" s="6"/>
      <c r="BL17" s="6"/>
      <c r="BM17" s="6">
        <f>COUNTIF(BI3:BI100,"*5*")</f>
        <v>28</v>
      </c>
      <c r="BN17" s="6">
        <f>COUNTIF(BI3:BI100,"*8*")</f>
        <v>24</v>
      </c>
      <c r="BO17" s="6">
        <f>COUNTIF(BI3:BI100,"*10*")</f>
        <v>17</v>
      </c>
      <c r="BP17" s="6">
        <f>COUNTIF(BI3:BI100,"*12*")</f>
        <v>19</v>
      </c>
      <c r="BQ17" s="6">
        <f>COUNTIF(BI3:BI100,"*20*")</f>
        <v>10</v>
      </c>
      <c r="BR17" s="6"/>
      <c r="BS17" s="6"/>
      <c r="BT17" s="6"/>
      <c r="BU17" s="6"/>
      <c r="BV17" s="6"/>
      <c r="BW17" s="6"/>
      <c r="BX17" s="6"/>
      <c r="BY17" s="6"/>
      <c r="BZ17" s="6"/>
      <c r="CA17" s="6"/>
    </row>
    <row r="18" ht="15.75" customHeight="1">
      <c r="A18" s="1" t="s">
        <v>112</v>
      </c>
      <c r="B18" s="9" t="s">
        <v>85</v>
      </c>
      <c r="C18" s="9" t="s">
        <v>85</v>
      </c>
      <c r="D18" s="9">
        <v>0.905229</v>
      </c>
      <c r="E18" s="9" t="s">
        <v>85</v>
      </c>
      <c r="F18" s="9" t="s">
        <v>85</v>
      </c>
      <c r="G18" s="9">
        <v>0.300654</v>
      </c>
      <c r="H18" s="9" t="s">
        <v>85</v>
      </c>
      <c r="I18" s="9" t="s">
        <v>85</v>
      </c>
      <c r="J18" s="9">
        <v>0.892157</v>
      </c>
      <c r="K18" s="9" t="s">
        <v>85</v>
      </c>
      <c r="L18" s="9" t="s">
        <v>85</v>
      </c>
      <c r="M18" s="9">
        <v>0.892157</v>
      </c>
      <c r="N18" s="9" t="s">
        <v>85</v>
      </c>
      <c r="O18" s="9" t="s">
        <v>85</v>
      </c>
      <c r="P18" s="9">
        <v>0.892157</v>
      </c>
      <c r="Q18" s="9" t="s">
        <v>85</v>
      </c>
      <c r="R18" s="9" t="s">
        <v>85</v>
      </c>
      <c r="S18" s="9">
        <v>0.905229</v>
      </c>
      <c r="T18" s="9" t="s">
        <v>85</v>
      </c>
      <c r="U18" s="9" t="s">
        <v>85</v>
      </c>
      <c r="V18" s="9">
        <v>0.892157</v>
      </c>
      <c r="W18" s="9" t="s">
        <v>85</v>
      </c>
      <c r="X18" s="9" t="s">
        <v>85</v>
      </c>
      <c r="Y18" s="9">
        <v>0.892157</v>
      </c>
      <c r="Z18" s="10" t="s">
        <v>85</v>
      </c>
      <c r="AA18" s="10" t="s">
        <v>85</v>
      </c>
      <c r="AB18" s="9">
        <v>0.875817</v>
      </c>
      <c r="AC18" s="9" t="s">
        <v>85</v>
      </c>
      <c r="AD18" s="9" t="s">
        <v>85</v>
      </c>
      <c r="AE18" s="9">
        <v>0.885621</v>
      </c>
      <c r="AF18" s="9" t="s">
        <v>85</v>
      </c>
      <c r="AG18" s="9" t="s">
        <v>85</v>
      </c>
      <c r="AH18" s="9">
        <v>0.915033</v>
      </c>
      <c r="AI18" s="9" t="s">
        <v>85</v>
      </c>
      <c r="AJ18" s="9" t="s">
        <v>85</v>
      </c>
      <c r="AK18" s="9">
        <v>0.892157</v>
      </c>
      <c r="AL18" s="9" t="s">
        <v>85</v>
      </c>
      <c r="AM18" s="9" t="s">
        <v>85</v>
      </c>
      <c r="AN18" s="9">
        <v>0.888889</v>
      </c>
      <c r="AO18" s="9" t="s">
        <v>85</v>
      </c>
      <c r="AP18" s="9" t="s">
        <v>85</v>
      </c>
      <c r="AQ18" s="9">
        <v>0.901961</v>
      </c>
      <c r="AR18" s="9" t="s">
        <v>85</v>
      </c>
      <c r="AS18" s="9" t="s">
        <v>85</v>
      </c>
      <c r="AT18" s="9">
        <v>0.888889</v>
      </c>
      <c r="AU18" s="9" t="s">
        <v>85</v>
      </c>
      <c r="AV18" s="9" t="s">
        <v>85</v>
      </c>
      <c r="AW18" s="9">
        <v>0.888889</v>
      </c>
      <c r="AX18" s="9" t="s">
        <v>85</v>
      </c>
      <c r="AY18" s="9" t="s">
        <v>85</v>
      </c>
      <c r="AZ18" s="9">
        <v>0.898693</v>
      </c>
      <c r="BA18" s="10" t="s">
        <v>85</v>
      </c>
      <c r="BB18" s="10" t="s">
        <v>85</v>
      </c>
      <c r="BC18" s="9">
        <v>0.895425</v>
      </c>
      <c r="BD18" s="10" t="s">
        <v>85</v>
      </c>
      <c r="BE18" s="10" t="s">
        <v>85</v>
      </c>
      <c r="BF18" s="9" t="s">
        <v>85</v>
      </c>
      <c r="BG18" s="6"/>
      <c r="BH18" s="6" t="str">
        <f t="shared" si="1"/>
        <v>10V_One_Acc</v>
      </c>
      <c r="BI18" s="6" t="str">
        <f t="shared" si="2"/>
        <v>5B_One_Acc</v>
      </c>
      <c r="BJ18" s="6" t="str">
        <f t="shared" si="3"/>
        <v>5B_One_Acc</v>
      </c>
      <c r="BK18" s="6"/>
      <c r="BL18" s="6" t="s">
        <v>226</v>
      </c>
      <c r="BM18" s="18">
        <f t="shared" ref="BM18:BQ18" si="6">MINUS(BM17,SUM(BM19,BM20))</f>
        <v>14</v>
      </c>
      <c r="BN18" s="18">
        <f t="shared" si="6"/>
        <v>9</v>
      </c>
      <c r="BO18" s="18">
        <f t="shared" si="6"/>
        <v>7</v>
      </c>
      <c r="BP18" s="18">
        <f t="shared" si="6"/>
        <v>11</v>
      </c>
      <c r="BQ18" s="18">
        <f t="shared" si="6"/>
        <v>5</v>
      </c>
      <c r="BR18" s="6">
        <f t="shared" ref="BR18:BR20" si="7">SUM(BM18:BQ18)</f>
        <v>46</v>
      </c>
      <c r="BS18" s="6"/>
      <c r="BT18" s="6"/>
      <c r="BU18" s="6"/>
      <c r="BV18" s="6"/>
      <c r="BW18" s="6"/>
      <c r="BX18" s="6"/>
      <c r="BY18" s="6"/>
      <c r="BZ18" s="6"/>
      <c r="CA18" s="6"/>
    </row>
    <row r="19" ht="15.75" customHeight="1">
      <c r="A19" s="1" t="s">
        <v>113</v>
      </c>
      <c r="B19" s="9" t="s">
        <v>85</v>
      </c>
      <c r="C19" s="9" t="s">
        <v>85</v>
      </c>
      <c r="D19" s="9">
        <v>0.625899</v>
      </c>
      <c r="E19" s="9" t="s">
        <v>85</v>
      </c>
      <c r="F19" s="9" t="s">
        <v>85</v>
      </c>
      <c r="G19" s="9">
        <v>0.467626</v>
      </c>
      <c r="H19" s="9" t="s">
        <v>85</v>
      </c>
      <c r="I19" s="9" t="s">
        <v>85</v>
      </c>
      <c r="J19" s="9">
        <v>0.733813</v>
      </c>
      <c r="K19" s="9" t="s">
        <v>85</v>
      </c>
      <c r="L19" s="9" t="s">
        <v>85</v>
      </c>
      <c r="M19" s="9">
        <v>0.654676</v>
      </c>
      <c r="N19" s="9" t="s">
        <v>85</v>
      </c>
      <c r="O19" s="9" t="s">
        <v>85</v>
      </c>
      <c r="P19" s="9">
        <v>0.640288</v>
      </c>
      <c r="Q19" s="9" t="s">
        <v>85</v>
      </c>
      <c r="R19" s="9" t="s">
        <v>85</v>
      </c>
      <c r="S19" s="9">
        <v>0.705036</v>
      </c>
      <c r="T19" s="9" t="s">
        <v>85</v>
      </c>
      <c r="U19" s="9" t="s">
        <v>85</v>
      </c>
      <c r="V19" s="9">
        <v>0.726619</v>
      </c>
      <c r="W19" s="9" t="s">
        <v>85</v>
      </c>
      <c r="X19" s="9" t="s">
        <v>85</v>
      </c>
      <c r="Y19" s="9">
        <v>0.705036</v>
      </c>
      <c r="Z19" s="10" t="s">
        <v>85</v>
      </c>
      <c r="AA19" s="10" t="s">
        <v>85</v>
      </c>
      <c r="AB19" s="9">
        <v>0.676259</v>
      </c>
      <c r="AC19" s="9" t="s">
        <v>85</v>
      </c>
      <c r="AD19" s="9" t="s">
        <v>85</v>
      </c>
      <c r="AE19" s="9">
        <v>0.669065</v>
      </c>
      <c r="AF19" s="9" t="s">
        <v>85</v>
      </c>
      <c r="AG19" s="9" t="s">
        <v>85</v>
      </c>
      <c r="AH19" s="9">
        <v>0.669065</v>
      </c>
      <c r="AI19" s="9" t="s">
        <v>85</v>
      </c>
      <c r="AJ19" s="9" t="s">
        <v>85</v>
      </c>
      <c r="AK19" s="9">
        <v>0.719424</v>
      </c>
      <c r="AL19" s="9" t="s">
        <v>85</v>
      </c>
      <c r="AM19" s="9" t="s">
        <v>85</v>
      </c>
      <c r="AN19" s="9">
        <v>0.690647</v>
      </c>
      <c r="AO19" s="9" t="s">
        <v>85</v>
      </c>
      <c r="AP19" s="9" t="s">
        <v>85</v>
      </c>
      <c r="AQ19" s="9">
        <v>0.66187</v>
      </c>
      <c r="AR19" s="9" t="s">
        <v>85</v>
      </c>
      <c r="AS19" s="9" t="s">
        <v>85</v>
      </c>
      <c r="AT19" s="9">
        <v>0.733813</v>
      </c>
      <c r="AU19" s="9" t="s">
        <v>85</v>
      </c>
      <c r="AV19" s="9" t="s">
        <v>85</v>
      </c>
      <c r="AW19" s="9">
        <v>0.748201</v>
      </c>
      <c r="AX19" s="9" t="s">
        <v>85</v>
      </c>
      <c r="AY19" s="9" t="s">
        <v>85</v>
      </c>
      <c r="AZ19" s="9">
        <v>0.71223</v>
      </c>
      <c r="BA19" s="10" t="s">
        <v>85</v>
      </c>
      <c r="BB19" s="10" t="s">
        <v>85</v>
      </c>
      <c r="BC19" s="9">
        <v>0.654676</v>
      </c>
      <c r="BD19" s="10" t="s">
        <v>85</v>
      </c>
      <c r="BE19" s="10" t="s">
        <v>85</v>
      </c>
      <c r="BF19" s="9" t="s">
        <v>85</v>
      </c>
      <c r="BG19" s="6"/>
      <c r="BH19" s="6" t="str">
        <f t="shared" si="1"/>
        <v>12VB_One_Acc</v>
      </c>
      <c r="BI19" s="6" t="str">
        <f t="shared" si="2"/>
        <v>5V_One_Acc</v>
      </c>
      <c r="BJ19" s="6" t="str">
        <f t="shared" si="3"/>
        <v>5V_One_Acc</v>
      </c>
      <c r="BK19" s="6"/>
      <c r="BL19" s="6" t="s">
        <v>227</v>
      </c>
      <c r="BM19" s="18">
        <f>COUNTIFS(BI3:BI100,"*V*",BI3:BI100,"*5*")</f>
        <v>14</v>
      </c>
      <c r="BN19" s="19">
        <f>COUNTIFS(BI3:BI100,"*V*",BI3:BI100,"*8*")</f>
        <v>15</v>
      </c>
      <c r="BO19" s="18">
        <f>COUNTIFS(BI3:BI100,"*V*",BI3:BI100,"*10*")</f>
        <v>10</v>
      </c>
      <c r="BP19" s="18">
        <f>COUNTIFS(BI3:BI100,"*V*",BI3:BI100,"*12*")</f>
        <v>8</v>
      </c>
      <c r="BQ19" s="18">
        <f>COUNTIFS(BI3:BI100,"*V*",BI3:BI100,"*20*")</f>
        <v>5</v>
      </c>
      <c r="BR19" s="6">
        <f t="shared" si="7"/>
        <v>52</v>
      </c>
      <c r="BS19" s="6"/>
      <c r="BT19" s="6"/>
      <c r="BU19" s="6"/>
      <c r="BW19" s="6"/>
      <c r="BX19" s="6"/>
      <c r="BY19" s="6"/>
      <c r="BZ19" s="6"/>
      <c r="CA19" s="6"/>
    </row>
    <row r="20" ht="15.75" customHeight="1">
      <c r="A20" s="1" t="s">
        <v>114</v>
      </c>
      <c r="B20" s="9" t="s">
        <v>85</v>
      </c>
      <c r="C20" s="9" t="s">
        <v>85</v>
      </c>
      <c r="D20" s="9">
        <v>0.724638</v>
      </c>
      <c r="E20" s="9" t="s">
        <v>85</v>
      </c>
      <c r="F20" s="9" t="s">
        <v>85</v>
      </c>
      <c r="G20" s="9">
        <v>0.583333</v>
      </c>
      <c r="H20" s="9" t="s">
        <v>85</v>
      </c>
      <c r="I20" s="9" t="s">
        <v>85</v>
      </c>
      <c r="J20" s="9">
        <v>0.768116</v>
      </c>
      <c r="K20" s="9" t="s">
        <v>85</v>
      </c>
      <c r="L20" s="9" t="s">
        <v>85</v>
      </c>
      <c r="M20" s="9">
        <v>0.764493</v>
      </c>
      <c r="N20" s="9" t="s">
        <v>85</v>
      </c>
      <c r="O20" s="9" t="s">
        <v>85</v>
      </c>
      <c r="P20" s="9">
        <v>0.713768</v>
      </c>
      <c r="Q20" s="9" t="s">
        <v>85</v>
      </c>
      <c r="R20" s="9" t="s">
        <v>85</v>
      </c>
      <c r="S20" s="9">
        <v>0.695652</v>
      </c>
      <c r="T20" s="9" t="s">
        <v>85</v>
      </c>
      <c r="U20" s="9" t="s">
        <v>85</v>
      </c>
      <c r="V20" s="9">
        <v>0.76087</v>
      </c>
      <c r="W20" s="9" t="s">
        <v>85</v>
      </c>
      <c r="X20" s="9" t="s">
        <v>85</v>
      </c>
      <c r="Y20" s="9">
        <v>0.757246</v>
      </c>
      <c r="Z20" s="10" t="s">
        <v>85</v>
      </c>
      <c r="AA20" s="10" t="s">
        <v>85</v>
      </c>
      <c r="AB20" s="9">
        <v>0.75</v>
      </c>
      <c r="AC20" s="9" t="s">
        <v>85</v>
      </c>
      <c r="AD20" s="9" t="s">
        <v>85</v>
      </c>
      <c r="AE20" s="9">
        <v>0.742754</v>
      </c>
      <c r="AF20" s="9" t="s">
        <v>85</v>
      </c>
      <c r="AG20" s="9" t="s">
        <v>85</v>
      </c>
      <c r="AH20" s="9">
        <v>0.75</v>
      </c>
      <c r="AI20" s="9" t="s">
        <v>85</v>
      </c>
      <c r="AJ20" s="9" t="s">
        <v>85</v>
      </c>
      <c r="AK20" s="9">
        <v>0.75</v>
      </c>
      <c r="AL20" s="9" t="s">
        <v>85</v>
      </c>
      <c r="AM20" s="9" t="s">
        <v>85</v>
      </c>
      <c r="AN20" s="9">
        <v>0.764493</v>
      </c>
      <c r="AO20" s="9" t="s">
        <v>85</v>
      </c>
      <c r="AP20" s="9" t="s">
        <v>85</v>
      </c>
      <c r="AQ20" s="9">
        <v>0.753623</v>
      </c>
      <c r="AR20" s="9" t="s">
        <v>85</v>
      </c>
      <c r="AS20" s="9" t="s">
        <v>85</v>
      </c>
      <c r="AT20" s="9">
        <v>0.771739</v>
      </c>
      <c r="AU20" s="9" t="s">
        <v>85</v>
      </c>
      <c r="AV20" s="9" t="s">
        <v>85</v>
      </c>
      <c r="AW20" s="9">
        <v>0.753623</v>
      </c>
      <c r="AX20" s="9" t="s">
        <v>85</v>
      </c>
      <c r="AY20" s="9" t="s">
        <v>85</v>
      </c>
      <c r="AZ20" s="9">
        <v>0.753623</v>
      </c>
      <c r="BA20" s="10" t="s">
        <v>85</v>
      </c>
      <c r="BB20" s="10" t="s">
        <v>85</v>
      </c>
      <c r="BC20" s="9">
        <v>0.735507</v>
      </c>
      <c r="BD20" s="10" t="s">
        <v>85</v>
      </c>
      <c r="BE20" s="10" t="s">
        <v>85</v>
      </c>
      <c r="BF20" s="9" t="s">
        <v>85</v>
      </c>
      <c r="BG20" s="6"/>
      <c r="BH20" s="6" t="str">
        <f t="shared" si="1"/>
        <v>12V_One_Acc</v>
      </c>
      <c r="BI20" s="6" t="str">
        <f t="shared" si="2"/>
        <v>5V_One_Acc</v>
      </c>
      <c r="BJ20" s="6" t="str">
        <f t="shared" si="3"/>
        <v>5VB_One_Acc</v>
      </c>
      <c r="BK20" s="6"/>
      <c r="BL20" s="6" t="s">
        <v>20</v>
      </c>
      <c r="BM20" s="18">
        <f>COUNTIFS(BI3:BI100,"*De*",BI3:BI100,"*5*")</f>
        <v>0</v>
      </c>
      <c r="BN20" s="19">
        <f>COUNTIFS(BI3:BI100,"*De*",BI3:BI100,"*8*")</f>
        <v>0</v>
      </c>
      <c r="BO20" s="18">
        <f>COUNTIFS(BI3:BI100,"*De*",BI3:BI100,"*10*")</f>
        <v>0</v>
      </c>
      <c r="BP20" s="18">
        <f>COUNTIFS(BI3:BI100,"*De*",BI3:BI100,"*12*")</f>
        <v>0</v>
      </c>
      <c r="BQ20" s="18">
        <f>COUNTIFS(BI3:BI100,"*De*",BI3:BI100,"*20*")</f>
        <v>0</v>
      </c>
      <c r="BR20" s="6">
        <f t="shared" si="7"/>
        <v>0</v>
      </c>
      <c r="BS20" s="6"/>
      <c r="BT20" s="6"/>
      <c r="BU20" s="6"/>
      <c r="BW20" s="6"/>
      <c r="BX20" s="6"/>
      <c r="BY20" s="6"/>
      <c r="BZ20" s="6"/>
      <c r="CA20" s="6"/>
    </row>
    <row r="21" ht="15.75" customHeight="1">
      <c r="A21" s="1" t="s">
        <v>115</v>
      </c>
      <c r="B21" s="9" t="s">
        <v>85</v>
      </c>
      <c r="C21" s="9" t="s">
        <v>85</v>
      </c>
      <c r="D21" s="9">
        <v>0.582734</v>
      </c>
      <c r="E21" s="9" t="s">
        <v>85</v>
      </c>
      <c r="F21" s="9" t="s">
        <v>85</v>
      </c>
      <c r="G21" s="9">
        <v>0.302158</v>
      </c>
      <c r="H21" s="9" t="s">
        <v>85</v>
      </c>
      <c r="I21" s="9" t="s">
        <v>85</v>
      </c>
      <c r="J21" s="9">
        <v>0.669065</v>
      </c>
      <c r="K21" s="9" t="s">
        <v>85</v>
      </c>
      <c r="L21" s="9" t="s">
        <v>85</v>
      </c>
      <c r="M21" s="9">
        <v>0.676259</v>
      </c>
      <c r="N21" s="9" t="s">
        <v>85</v>
      </c>
      <c r="O21" s="9" t="s">
        <v>85</v>
      </c>
      <c r="P21" s="9">
        <v>0.640288</v>
      </c>
      <c r="Q21" s="9" t="s">
        <v>85</v>
      </c>
      <c r="R21" s="9" t="s">
        <v>85</v>
      </c>
      <c r="S21" s="9">
        <v>0.597122</v>
      </c>
      <c r="T21" s="9" t="s">
        <v>85</v>
      </c>
      <c r="U21" s="9" t="s">
        <v>85</v>
      </c>
      <c r="V21" s="9">
        <v>0.669065</v>
      </c>
      <c r="W21" s="9" t="s">
        <v>85</v>
      </c>
      <c r="X21" s="9" t="s">
        <v>85</v>
      </c>
      <c r="Y21" s="9">
        <v>0.669065</v>
      </c>
      <c r="Z21" s="10" t="s">
        <v>85</v>
      </c>
      <c r="AA21" s="10" t="s">
        <v>85</v>
      </c>
      <c r="AB21" s="9">
        <v>0.654676</v>
      </c>
      <c r="AC21" s="9" t="s">
        <v>85</v>
      </c>
      <c r="AD21" s="9" t="s">
        <v>85</v>
      </c>
      <c r="AE21" s="9">
        <v>0.633094</v>
      </c>
      <c r="AF21" s="9" t="s">
        <v>85</v>
      </c>
      <c r="AG21" s="9" t="s">
        <v>85</v>
      </c>
      <c r="AH21" s="9">
        <v>0.654676</v>
      </c>
      <c r="AI21" s="9" t="s">
        <v>85</v>
      </c>
      <c r="AJ21" s="9" t="s">
        <v>85</v>
      </c>
      <c r="AK21" s="9">
        <v>0.582734</v>
      </c>
      <c r="AL21" s="9" t="s">
        <v>85</v>
      </c>
      <c r="AM21" s="9" t="s">
        <v>85</v>
      </c>
      <c r="AN21" s="9">
        <v>0.690647</v>
      </c>
      <c r="AO21" s="9" t="s">
        <v>85</v>
      </c>
      <c r="AP21" s="9" t="s">
        <v>85</v>
      </c>
      <c r="AQ21" s="9">
        <v>0.654676</v>
      </c>
      <c r="AR21" s="9" t="s">
        <v>85</v>
      </c>
      <c r="AS21" s="9" t="s">
        <v>85</v>
      </c>
      <c r="AT21" s="9">
        <v>0.676259</v>
      </c>
      <c r="AU21" s="9" t="s">
        <v>85</v>
      </c>
      <c r="AV21" s="9" t="s">
        <v>85</v>
      </c>
      <c r="AW21" s="9">
        <v>0.654676</v>
      </c>
      <c r="AX21" s="9" t="s">
        <v>85</v>
      </c>
      <c r="AY21" s="9" t="s">
        <v>85</v>
      </c>
      <c r="AZ21" s="9">
        <v>0.625899</v>
      </c>
      <c r="BA21" s="10" t="s">
        <v>85</v>
      </c>
      <c r="BB21" s="10" t="s">
        <v>85</v>
      </c>
      <c r="BC21" s="9">
        <v>0.625899</v>
      </c>
      <c r="BD21" s="10" t="s">
        <v>85</v>
      </c>
      <c r="BE21" s="10" t="s">
        <v>85</v>
      </c>
      <c r="BF21" s="9" t="s">
        <v>85</v>
      </c>
      <c r="BG21" s="6"/>
      <c r="BH21" s="6" t="str">
        <f t="shared" si="1"/>
        <v>12B_One_Acc</v>
      </c>
      <c r="BI21" s="6" t="str">
        <f t="shared" si="2"/>
        <v>5VB_One_Acc</v>
      </c>
      <c r="BJ21" s="6" t="str">
        <f t="shared" si="3"/>
        <v>5VB_One_Acc</v>
      </c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</row>
    <row r="22" ht="15.75" customHeight="1">
      <c r="A22" s="1" t="s">
        <v>116</v>
      </c>
      <c r="B22" s="9" t="s">
        <v>85</v>
      </c>
      <c r="C22" s="9" t="s">
        <v>85</v>
      </c>
      <c r="D22" s="9">
        <v>0.741007</v>
      </c>
      <c r="E22" s="9" t="s">
        <v>85</v>
      </c>
      <c r="F22" s="9" t="s">
        <v>85</v>
      </c>
      <c r="G22" s="9">
        <v>0.748201</v>
      </c>
      <c r="H22" s="9" t="s">
        <v>85</v>
      </c>
      <c r="I22" s="9" t="s">
        <v>85</v>
      </c>
      <c r="J22" s="9">
        <v>0.748201</v>
      </c>
      <c r="K22" s="9" t="s">
        <v>85</v>
      </c>
      <c r="L22" s="9" t="s">
        <v>85</v>
      </c>
      <c r="M22" s="9">
        <v>0.748201</v>
      </c>
      <c r="N22" s="9" t="s">
        <v>85</v>
      </c>
      <c r="O22" s="9" t="s">
        <v>85</v>
      </c>
      <c r="P22" s="9">
        <v>0.748201</v>
      </c>
      <c r="Q22" s="9" t="s">
        <v>85</v>
      </c>
      <c r="R22" s="9" t="s">
        <v>85</v>
      </c>
      <c r="S22" s="9">
        <v>0.748201</v>
      </c>
      <c r="T22" s="9" t="s">
        <v>85</v>
      </c>
      <c r="U22" s="9" t="s">
        <v>85</v>
      </c>
      <c r="V22" s="9">
        <v>0.748201</v>
      </c>
      <c r="W22" s="9" t="s">
        <v>85</v>
      </c>
      <c r="X22" s="9" t="s">
        <v>85</v>
      </c>
      <c r="Y22" s="9">
        <v>0.748201</v>
      </c>
      <c r="Z22" s="10" t="s">
        <v>85</v>
      </c>
      <c r="AA22" s="10" t="s">
        <v>85</v>
      </c>
      <c r="AB22" s="9">
        <v>0.741007</v>
      </c>
      <c r="AC22" s="9" t="s">
        <v>85</v>
      </c>
      <c r="AD22" s="9" t="s">
        <v>85</v>
      </c>
      <c r="AE22" s="9">
        <v>0.748201</v>
      </c>
      <c r="AF22" s="9" t="s">
        <v>85</v>
      </c>
      <c r="AG22" s="9" t="s">
        <v>85</v>
      </c>
      <c r="AH22" s="9">
        <v>0.748201</v>
      </c>
      <c r="AI22" s="9" t="s">
        <v>85</v>
      </c>
      <c r="AJ22" s="9" t="s">
        <v>85</v>
      </c>
      <c r="AK22" s="9">
        <v>0.748201</v>
      </c>
      <c r="AL22" s="9" t="s">
        <v>85</v>
      </c>
      <c r="AM22" s="9" t="s">
        <v>85</v>
      </c>
      <c r="AN22" s="9">
        <v>0.705036</v>
      </c>
      <c r="AO22" s="9" t="s">
        <v>85</v>
      </c>
      <c r="AP22" s="9" t="s">
        <v>85</v>
      </c>
      <c r="AQ22" s="9">
        <v>0.748201</v>
      </c>
      <c r="AR22" s="9" t="s">
        <v>85</v>
      </c>
      <c r="AS22" s="9" t="s">
        <v>85</v>
      </c>
      <c r="AT22" s="9">
        <v>0.748201</v>
      </c>
      <c r="AU22" s="9" t="s">
        <v>85</v>
      </c>
      <c r="AV22" s="9" t="s">
        <v>85</v>
      </c>
      <c r="AW22" s="9">
        <v>0.748201</v>
      </c>
      <c r="AX22" s="9" t="s">
        <v>85</v>
      </c>
      <c r="AY22" s="9" t="s">
        <v>85</v>
      </c>
      <c r="AZ22" s="9">
        <v>0.748201</v>
      </c>
      <c r="BA22" s="10" t="s">
        <v>85</v>
      </c>
      <c r="BB22" s="10" t="s">
        <v>85</v>
      </c>
      <c r="BC22" s="9">
        <v>0.748201</v>
      </c>
      <c r="BD22" s="10" t="s">
        <v>85</v>
      </c>
      <c r="BE22" s="10" t="s">
        <v>85</v>
      </c>
      <c r="BF22" s="9" t="s">
        <v>85</v>
      </c>
      <c r="BG22" s="6"/>
      <c r="BH22" s="6" t="str">
        <f t="shared" si="1"/>
        <v>5BN_One_Acc</v>
      </c>
      <c r="BI22" s="6" t="str">
        <f t="shared" si="2"/>
        <v>5BN_One_Acc</v>
      </c>
      <c r="BJ22" s="6" t="str">
        <f t="shared" si="3"/>
        <v>5BN_One_Acc</v>
      </c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</row>
    <row r="23" ht="15.75" customHeight="1">
      <c r="A23" s="1" t="s">
        <v>117</v>
      </c>
      <c r="B23" s="9" t="s">
        <v>85</v>
      </c>
      <c r="C23" s="9" t="s">
        <v>85</v>
      </c>
      <c r="D23" s="9">
        <v>0.64</v>
      </c>
      <c r="E23" s="9" t="s">
        <v>85</v>
      </c>
      <c r="F23" s="9" t="s">
        <v>85</v>
      </c>
      <c r="G23" s="9">
        <v>0.64</v>
      </c>
      <c r="H23" s="9" t="s">
        <v>85</v>
      </c>
      <c r="I23" s="9" t="s">
        <v>85</v>
      </c>
      <c r="J23" s="9">
        <v>0.64</v>
      </c>
      <c r="K23" s="9" t="s">
        <v>85</v>
      </c>
      <c r="L23" s="9" t="s">
        <v>85</v>
      </c>
      <c r="M23" s="9">
        <v>0.64</v>
      </c>
      <c r="N23" s="9" t="s">
        <v>85</v>
      </c>
      <c r="O23" s="9" t="s">
        <v>85</v>
      </c>
      <c r="P23" s="9">
        <v>0.64</v>
      </c>
      <c r="Q23" s="9" t="s">
        <v>85</v>
      </c>
      <c r="R23" s="9" t="s">
        <v>85</v>
      </c>
      <c r="S23" s="9">
        <v>0.64</v>
      </c>
      <c r="T23" s="9" t="s">
        <v>85</v>
      </c>
      <c r="U23" s="9" t="s">
        <v>85</v>
      </c>
      <c r="V23" s="9">
        <v>0.64</v>
      </c>
      <c r="W23" s="9" t="s">
        <v>85</v>
      </c>
      <c r="X23" s="9" t="s">
        <v>85</v>
      </c>
      <c r="Y23" s="9">
        <v>0.64</v>
      </c>
      <c r="Z23" s="10" t="s">
        <v>85</v>
      </c>
      <c r="AA23" s="10" t="s">
        <v>85</v>
      </c>
      <c r="AB23" s="9">
        <v>0.64</v>
      </c>
      <c r="AC23" s="9" t="s">
        <v>85</v>
      </c>
      <c r="AD23" s="9" t="s">
        <v>85</v>
      </c>
      <c r="AE23" s="9">
        <v>0.64</v>
      </c>
      <c r="AF23" s="9" t="s">
        <v>85</v>
      </c>
      <c r="AG23" s="9" t="s">
        <v>85</v>
      </c>
      <c r="AH23" s="9">
        <v>0.64</v>
      </c>
      <c r="AI23" s="9" t="s">
        <v>85</v>
      </c>
      <c r="AJ23" s="9" t="s">
        <v>85</v>
      </c>
      <c r="AK23" s="9">
        <v>0.64</v>
      </c>
      <c r="AL23" s="9" t="s">
        <v>85</v>
      </c>
      <c r="AM23" s="9" t="s">
        <v>85</v>
      </c>
      <c r="AN23" s="9">
        <v>0.64</v>
      </c>
      <c r="AO23" s="9" t="s">
        <v>85</v>
      </c>
      <c r="AP23" s="9" t="s">
        <v>85</v>
      </c>
      <c r="AQ23" s="9">
        <v>0.64</v>
      </c>
      <c r="AR23" s="9" t="s">
        <v>85</v>
      </c>
      <c r="AS23" s="9" t="s">
        <v>85</v>
      </c>
      <c r="AT23" s="9">
        <v>0.64</v>
      </c>
      <c r="AU23" s="9" t="s">
        <v>85</v>
      </c>
      <c r="AV23" s="9" t="s">
        <v>85</v>
      </c>
      <c r="AW23" s="9">
        <v>0.64</v>
      </c>
      <c r="AX23" s="9" t="s">
        <v>85</v>
      </c>
      <c r="AY23" s="9" t="s">
        <v>85</v>
      </c>
      <c r="AZ23" s="9">
        <v>0.64</v>
      </c>
      <c r="BA23" s="10" t="s">
        <v>85</v>
      </c>
      <c r="BB23" s="10" t="s">
        <v>85</v>
      </c>
      <c r="BC23" s="9">
        <v>0.64</v>
      </c>
      <c r="BD23" s="10" t="s">
        <v>85</v>
      </c>
      <c r="BE23" s="10" t="s">
        <v>85</v>
      </c>
      <c r="BF23" s="9" t="s">
        <v>85</v>
      </c>
      <c r="BG23" s="6"/>
      <c r="BH23" s="6" t="str">
        <f t="shared" si="1"/>
        <v>5B_One_Acc</v>
      </c>
      <c r="BI23" s="6" t="str">
        <f t="shared" si="2"/>
        <v>5B_One_Acc</v>
      </c>
      <c r="BJ23" s="6" t="str">
        <f t="shared" si="3"/>
        <v>5B_One_Acc</v>
      </c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</row>
    <row r="24" ht="15.75" customHeight="1">
      <c r="A24" s="1" t="s">
        <v>118</v>
      </c>
      <c r="B24" s="9" t="s">
        <v>85</v>
      </c>
      <c r="C24" s="9" t="s">
        <v>85</v>
      </c>
      <c r="D24" s="9">
        <v>0.922444</v>
      </c>
      <c r="E24" s="9" t="s">
        <v>85</v>
      </c>
      <c r="F24" s="9" t="s">
        <v>85</v>
      </c>
      <c r="G24" s="9">
        <v>0.583778</v>
      </c>
      <c r="H24" s="9" t="s">
        <v>85</v>
      </c>
      <c r="I24" s="9" t="s">
        <v>85</v>
      </c>
      <c r="J24" s="9">
        <v>0.918444</v>
      </c>
      <c r="K24" s="9" t="s">
        <v>85</v>
      </c>
      <c r="L24" s="9" t="s">
        <v>85</v>
      </c>
      <c r="M24" s="9">
        <v>0.919556</v>
      </c>
      <c r="N24" s="9" t="s">
        <v>85</v>
      </c>
      <c r="O24" s="9" t="s">
        <v>85</v>
      </c>
      <c r="P24" s="9">
        <v>0.922</v>
      </c>
      <c r="Q24" s="9" t="s">
        <v>85</v>
      </c>
      <c r="R24" s="9" t="s">
        <v>85</v>
      </c>
      <c r="S24" s="9">
        <v>0.922</v>
      </c>
      <c r="T24" s="9" t="s">
        <v>85</v>
      </c>
      <c r="U24" s="9" t="s">
        <v>85</v>
      </c>
      <c r="V24" s="9">
        <v>0.921778</v>
      </c>
      <c r="W24" s="9" t="s">
        <v>85</v>
      </c>
      <c r="X24" s="9" t="s">
        <v>85</v>
      </c>
      <c r="Y24" s="9">
        <v>0.925778</v>
      </c>
      <c r="Z24" s="10" t="s">
        <v>85</v>
      </c>
      <c r="AA24" s="10" t="s">
        <v>85</v>
      </c>
      <c r="AB24" s="9">
        <v>0.928444</v>
      </c>
      <c r="AC24" s="9" t="s">
        <v>85</v>
      </c>
      <c r="AD24" s="9" t="s">
        <v>85</v>
      </c>
      <c r="AE24" s="9">
        <v>0.924889</v>
      </c>
      <c r="AF24" s="9" t="s">
        <v>85</v>
      </c>
      <c r="AG24" s="9" t="s">
        <v>85</v>
      </c>
      <c r="AH24" s="9">
        <v>0.924</v>
      </c>
      <c r="AI24" s="9" t="s">
        <v>85</v>
      </c>
      <c r="AJ24" s="9" t="s">
        <v>85</v>
      </c>
      <c r="AK24" s="9">
        <v>0.924222</v>
      </c>
      <c r="AL24" s="9" t="s">
        <v>85</v>
      </c>
      <c r="AM24" s="9" t="s">
        <v>85</v>
      </c>
      <c r="AN24" s="9">
        <v>0.928222</v>
      </c>
      <c r="AO24" s="9" t="s">
        <v>85</v>
      </c>
      <c r="AP24" s="9" t="s">
        <v>85</v>
      </c>
      <c r="AQ24" s="9">
        <v>0.925333</v>
      </c>
      <c r="AR24" s="9" t="s">
        <v>85</v>
      </c>
      <c r="AS24" s="9" t="s">
        <v>85</v>
      </c>
      <c r="AT24" s="9">
        <v>0.924667</v>
      </c>
      <c r="AU24" s="9" t="s">
        <v>85</v>
      </c>
      <c r="AV24" s="9" t="s">
        <v>85</v>
      </c>
      <c r="AW24" s="9">
        <v>0.931111</v>
      </c>
      <c r="AX24" s="9" t="s">
        <v>85</v>
      </c>
      <c r="AY24" s="9" t="s">
        <v>85</v>
      </c>
      <c r="AZ24" s="9">
        <v>0.921556</v>
      </c>
      <c r="BA24" s="10" t="s">
        <v>85</v>
      </c>
      <c r="BB24" s="10" t="s">
        <v>85</v>
      </c>
      <c r="BC24" s="9">
        <v>0.926667</v>
      </c>
      <c r="BD24" s="10" t="s">
        <v>85</v>
      </c>
      <c r="BE24" s="10" t="s">
        <v>85</v>
      </c>
      <c r="BF24" s="9" t="s">
        <v>85</v>
      </c>
      <c r="BG24" s="6"/>
      <c r="BH24" s="6" t="str">
        <f t="shared" si="1"/>
        <v>12VB_One_Acc</v>
      </c>
      <c r="BI24" s="6" t="str">
        <f t="shared" si="2"/>
        <v>10B_One_Acc</v>
      </c>
      <c r="BJ24" s="6" t="str">
        <f t="shared" si="3"/>
        <v>12B_One_Acc</v>
      </c>
      <c r="BK24" s="6"/>
      <c r="BL24" s="1" t="s">
        <v>215</v>
      </c>
      <c r="BM24" s="6" t="s">
        <v>249</v>
      </c>
      <c r="BN24" s="6"/>
      <c r="BO24" s="6"/>
      <c r="BP24" s="6"/>
      <c r="BQ24" s="6"/>
      <c r="BR24" s="6"/>
      <c r="BS24" s="6"/>
      <c r="BU24" s="6"/>
      <c r="BV24" s="6"/>
      <c r="BW24" s="6"/>
      <c r="BX24" s="6"/>
      <c r="BY24" s="6"/>
      <c r="BZ24" s="6"/>
      <c r="CA24" s="6"/>
    </row>
    <row r="25" ht="15.75" customHeight="1">
      <c r="A25" s="1" t="s">
        <v>119</v>
      </c>
      <c r="B25" s="9" t="s">
        <v>85</v>
      </c>
      <c r="C25" s="9" t="s">
        <v>85</v>
      </c>
      <c r="D25" s="9">
        <v>0.796748</v>
      </c>
      <c r="E25" s="9" t="s">
        <v>85</v>
      </c>
      <c r="F25" s="9" t="s">
        <v>85</v>
      </c>
      <c r="G25" s="9">
        <v>0.497096</v>
      </c>
      <c r="H25" s="9" t="s">
        <v>85</v>
      </c>
      <c r="I25" s="9" t="s">
        <v>85</v>
      </c>
      <c r="J25" s="9">
        <v>0.885017</v>
      </c>
      <c r="K25" s="9" t="s">
        <v>85</v>
      </c>
      <c r="L25" s="9" t="s">
        <v>85</v>
      </c>
      <c r="M25" s="9">
        <v>0.912892</v>
      </c>
      <c r="N25" s="9" t="s">
        <v>85</v>
      </c>
      <c r="O25" s="9" t="s">
        <v>85</v>
      </c>
      <c r="P25" s="9">
        <v>0.789779</v>
      </c>
      <c r="Q25" s="9" t="s">
        <v>85</v>
      </c>
      <c r="R25" s="9" t="s">
        <v>85</v>
      </c>
      <c r="S25" s="9">
        <v>0.81417</v>
      </c>
      <c r="T25" s="9" t="s">
        <v>85</v>
      </c>
      <c r="U25" s="9" t="s">
        <v>85</v>
      </c>
      <c r="V25" s="9">
        <v>0.872242</v>
      </c>
      <c r="W25" s="9" t="s">
        <v>85</v>
      </c>
      <c r="X25" s="9" t="s">
        <v>85</v>
      </c>
      <c r="Y25" s="9">
        <v>0.875726</v>
      </c>
      <c r="Z25" s="10" t="s">
        <v>85</v>
      </c>
      <c r="AA25" s="10" t="s">
        <v>85</v>
      </c>
      <c r="AB25" s="9">
        <v>0.851336</v>
      </c>
      <c r="AC25" s="9" t="s">
        <v>85</v>
      </c>
      <c r="AD25" s="9" t="s">
        <v>85</v>
      </c>
      <c r="AE25" s="9">
        <v>0.84669</v>
      </c>
      <c r="AF25" s="9" t="s">
        <v>85</v>
      </c>
      <c r="AG25" s="9" t="s">
        <v>85</v>
      </c>
      <c r="AH25" s="9">
        <v>0.836237</v>
      </c>
      <c r="AI25" s="9" t="s">
        <v>85</v>
      </c>
      <c r="AJ25" s="9" t="s">
        <v>85</v>
      </c>
      <c r="AK25" s="9">
        <v>0.801394</v>
      </c>
      <c r="AL25" s="9" t="s">
        <v>85</v>
      </c>
      <c r="AM25" s="9" t="s">
        <v>85</v>
      </c>
      <c r="AN25" s="9">
        <v>0.826945</v>
      </c>
      <c r="AO25" s="9" t="s">
        <v>85</v>
      </c>
      <c r="AP25" s="9" t="s">
        <v>85</v>
      </c>
      <c r="AQ25" s="9">
        <v>0.811847</v>
      </c>
      <c r="AR25" s="9" t="s">
        <v>85</v>
      </c>
      <c r="AS25" s="9" t="s">
        <v>85</v>
      </c>
      <c r="AT25" s="9">
        <v>0.831591</v>
      </c>
      <c r="AU25" s="9" t="s">
        <v>85</v>
      </c>
      <c r="AV25" s="9" t="s">
        <v>85</v>
      </c>
      <c r="AW25" s="9">
        <v>0.824623</v>
      </c>
      <c r="AX25" s="9" t="s">
        <v>85</v>
      </c>
      <c r="AY25" s="9" t="s">
        <v>85</v>
      </c>
      <c r="AZ25" s="9">
        <v>0.8223</v>
      </c>
      <c r="BA25" s="10" t="s">
        <v>85</v>
      </c>
      <c r="BB25" s="10" t="s">
        <v>85</v>
      </c>
      <c r="BC25" s="9">
        <v>0.658537</v>
      </c>
      <c r="BD25" s="10" t="s">
        <v>85</v>
      </c>
      <c r="BE25" s="10" t="s">
        <v>85</v>
      </c>
      <c r="BF25" s="9" t="s">
        <v>85</v>
      </c>
      <c r="BG25" s="6"/>
      <c r="BH25" s="6" t="str">
        <f t="shared" si="1"/>
        <v>5VB_One_Acc</v>
      </c>
      <c r="BI25" s="6" t="str">
        <f t="shared" si="2"/>
        <v>5V_One_Acc</v>
      </c>
      <c r="BJ25" s="6" t="str">
        <f t="shared" si="3"/>
        <v>8VB_One_Acc</v>
      </c>
      <c r="BK25" s="6"/>
      <c r="BM25" s="6" t="s">
        <v>255</v>
      </c>
      <c r="BN25" s="6" t="s">
        <v>256</v>
      </c>
      <c r="BO25" s="6" t="s">
        <v>257</v>
      </c>
      <c r="BP25" s="6" t="s">
        <v>258</v>
      </c>
      <c r="BQ25" s="6" t="s">
        <v>259</v>
      </c>
      <c r="BR25" s="6"/>
      <c r="BS25" s="6"/>
      <c r="BU25" s="6"/>
      <c r="BV25" s="6"/>
      <c r="BW25" s="6"/>
      <c r="BX25" s="6"/>
      <c r="BY25" s="6"/>
      <c r="BZ25" s="6"/>
      <c r="CA25" s="6"/>
    </row>
    <row r="26" ht="15.75" customHeight="1">
      <c r="A26" s="1" t="s">
        <v>120</v>
      </c>
      <c r="B26" s="9" t="s">
        <v>85</v>
      </c>
      <c r="C26" s="9" t="s">
        <v>85</v>
      </c>
      <c r="D26" s="9">
        <v>0.632343</v>
      </c>
      <c r="E26" s="9" t="s">
        <v>85</v>
      </c>
      <c r="F26" s="9" t="s">
        <v>85</v>
      </c>
      <c r="G26" s="9">
        <v>0.242381</v>
      </c>
      <c r="H26" s="9" t="s">
        <v>85</v>
      </c>
      <c r="I26" s="9" t="s">
        <v>85</v>
      </c>
      <c r="J26" s="9">
        <v>0.607574</v>
      </c>
      <c r="K26" s="9" t="s">
        <v>85</v>
      </c>
      <c r="L26" s="9" t="s">
        <v>85</v>
      </c>
      <c r="M26" s="9">
        <v>0.650499</v>
      </c>
      <c r="N26" s="9" t="s">
        <v>85</v>
      </c>
      <c r="O26" s="9" t="s">
        <v>85</v>
      </c>
      <c r="P26" s="9">
        <v>0.677474</v>
      </c>
      <c r="Q26" s="9" t="s">
        <v>85</v>
      </c>
      <c r="R26" s="9" t="s">
        <v>85</v>
      </c>
      <c r="S26" s="9">
        <v>0.670341</v>
      </c>
      <c r="T26" s="9" t="s">
        <v>85</v>
      </c>
      <c r="U26" s="9" t="s">
        <v>85</v>
      </c>
      <c r="V26" s="9">
        <v>0.643237</v>
      </c>
      <c r="W26" s="9" t="s">
        <v>85</v>
      </c>
      <c r="X26" s="9" t="s">
        <v>85</v>
      </c>
      <c r="Y26" s="9">
        <v>0.606017</v>
      </c>
      <c r="Z26" s="10" t="s">
        <v>85</v>
      </c>
      <c r="AA26" s="10" t="s">
        <v>85</v>
      </c>
      <c r="AB26" s="9">
        <v>0.627415</v>
      </c>
      <c r="AC26" s="9" t="s">
        <v>85</v>
      </c>
      <c r="AD26" s="9" t="s">
        <v>85</v>
      </c>
      <c r="AE26" s="9">
        <v>0.66671</v>
      </c>
      <c r="AF26" s="9" t="s">
        <v>85</v>
      </c>
      <c r="AG26" s="9" t="s">
        <v>85</v>
      </c>
      <c r="AH26" s="9">
        <v>0.652445</v>
      </c>
      <c r="AI26" s="9" t="s">
        <v>85</v>
      </c>
      <c r="AJ26" s="9" t="s">
        <v>85</v>
      </c>
      <c r="AK26" s="9">
        <v>0.634937</v>
      </c>
      <c r="AL26" s="9" t="s">
        <v>85</v>
      </c>
      <c r="AM26" s="9" t="s">
        <v>85</v>
      </c>
      <c r="AN26" s="9">
        <v>0.67488</v>
      </c>
      <c r="AO26" s="9" t="s">
        <v>85</v>
      </c>
      <c r="AP26" s="9" t="s">
        <v>85</v>
      </c>
      <c r="AQ26" s="9">
        <v>0.638568</v>
      </c>
      <c r="AR26" s="9" t="s">
        <v>85</v>
      </c>
      <c r="AS26" s="9" t="s">
        <v>85</v>
      </c>
      <c r="AT26" s="9">
        <v>0.626248</v>
      </c>
      <c r="AU26" s="9" t="s">
        <v>85</v>
      </c>
      <c r="AV26" s="9" t="s">
        <v>85</v>
      </c>
      <c r="AW26" s="9">
        <v>0.658151</v>
      </c>
      <c r="AX26" s="9" t="s">
        <v>85</v>
      </c>
      <c r="AY26" s="9" t="s">
        <v>85</v>
      </c>
      <c r="AZ26" s="9">
        <v>0.609519</v>
      </c>
      <c r="BA26" s="10" t="s">
        <v>85</v>
      </c>
      <c r="BB26" s="10" t="s">
        <v>85</v>
      </c>
      <c r="BC26" s="9">
        <v>0.600571</v>
      </c>
      <c r="BD26" s="10" t="s">
        <v>85</v>
      </c>
      <c r="BE26" s="10" t="s">
        <v>85</v>
      </c>
      <c r="BF26" s="9" t="s">
        <v>85</v>
      </c>
      <c r="BG26" s="6"/>
      <c r="BH26" s="6" t="str">
        <f t="shared" si="1"/>
        <v>8B_One_Acc</v>
      </c>
      <c r="BI26" s="6" t="str">
        <f t="shared" si="2"/>
        <v>12B_One_Acc</v>
      </c>
      <c r="BJ26" s="6" t="str">
        <f t="shared" si="3"/>
        <v>8BN_One_Acc</v>
      </c>
      <c r="BK26" s="6"/>
      <c r="BL26" s="6"/>
      <c r="BM26" s="6">
        <f>COUNTIF(BJ3:BJ100,"*5*")</f>
        <v>27</v>
      </c>
      <c r="BN26" s="6">
        <f>COUNTIF(BJ3:BJ100,"*8*")</f>
        <v>23</v>
      </c>
      <c r="BO26" s="6">
        <f>COUNTIF(BJ3:BJ100,"*10*")</f>
        <v>23</v>
      </c>
      <c r="BP26" s="6">
        <f>COUNTIF(BJ3:BJ100,"*12*")</f>
        <v>20</v>
      </c>
      <c r="BQ26" s="6">
        <f>COUNTIF(BJ3:BJ100,"*20*")</f>
        <v>5</v>
      </c>
      <c r="BR26" s="6"/>
      <c r="BS26" s="6"/>
      <c r="BT26" s="6"/>
      <c r="BU26" s="6"/>
      <c r="BV26" s="6"/>
      <c r="BW26" s="6"/>
      <c r="BX26" s="6"/>
      <c r="BY26" s="6"/>
      <c r="BZ26" s="6"/>
      <c r="CA26" s="6"/>
    </row>
    <row r="27" ht="15.75" customHeight="1">
      <c r="A27" s="1" t="s">
        <v>121</v>
      </c>
      <c r="B27" s="9" t="s">
        <v>85</v>
      </c>
      <c r="C27" s="9" t="s">
        <v>85</v>
      </c>
      <c r="D27" s="9">
        <v>0.248</v>
      </c>
      <c r="E27" s="9" t="s">
        <v>85</v>
      </c>
      <c r="F27" s="9" t="s">
        <v>85</v>
      </c>
      <c r="G27" s="9">
        <v>0.252</v>
      </c>
      <c r="H27" s="9" t="s">
        <v>85</v>
      </c>
      <c r="I27" s="9" t="s">
        <v>85</v>
      </c>
      <c r="J27" s="9">
        <v>0.248</v>
      </c>
      <c r="K27" s="9" t="s">
        <v>85</v>
      </c>
      <c r="L27" s="9" t="s">
        <v>85</v>
      </c>
      <c r="M27" s="9">
        <v>0.276</v>
      </c>
      <c r="N27" s="9" t="s">
        <v>85</v>
      </c>
      <c r="O27" s="9" t="s">
        <v>85</v>
      </c>
      <c r="P27" s="9">
        <v>0.252</v>
      </c>
      <c r="Q27" s="9" t="s">
        <v>85</v>
      </c>
      <c r="R27" s="9" t="s">
        <v>85</v>
      </c>
      <c r="S27" s="9">
        <v>0.248</v>
      </c>
      <c r="T27" s="9" t="s">
        <v>85</v>
      </c>
      <c r="U27" s="9" t="s">
        <v>85</v>
      </c>
      <c r="V27" s="9">
        <v>0.248</v>
      </c>
      <c r="W27" s="9" t="s">
        <v>85</v>
      </c>
      <c r="X27" s="9" t="s">
        <v>85</v>
      </c>
      <c r="Y27" s="9">
        <v>0.248</v>
      </c>
      <c r="Z27" s="10" t="s">
        <v>85</v>
      </c>
      <c r="AA27" s="10" t="s">
        <v>85</v>
      </c>
      <c r="AB27" s="9">
        <v>0.248</v>
      </c>
      <c r="AC27" s="9" t="s">
        <v>85</v>
      </c>
      <c r="AD27" s="9" t="s">
        <v>85</v>
      </c>
      <c r="AE27" s="9">
        <v>0.252</v>
      </c>
      <c r="AF27" s="9" t="s">
        <v>85</v>
      </c>
      <c r="AG27" s="9" t="s">
        <v>85</v>
      </c>
      <c r="AH27" s="9">
        <v>0.38</v>
      </c>
      <c r="AI27" s="9" t="s">
        <v>85</v>
      </c>
      <c r="AJ27" s="9" t="s">
        <v>85</v>
      </c>
      <c r="AK27" s="9">
        <v>0.402</v>
      </c>
      <c r="AL27" s="9" t="s">
        <v>85</v>
      </c>
      <c r="AM27" s="9" t="s">
        <v>85</v>
      </c>
      <c r="AN27" s="9">
        <v>0.258</v>
      </c>
      <c r="AO27" s="9" t="s">
        <v>85</v>
      </c>
      <c r="AP27" s="9" t="s">
        <v>85</v>
      </c>
      <c r="AQ27" s="9">
        <v>0.286</v>
      </c>
      <c r="AR27" s="9" t="s">
        <v>85</v>
      </c>
      <c r="AS27" s="9" t="s">
        <v>85</v>
      </c>
      <c r="AT27" s="9">
        <v>0.288</v>
      </c>
      <c r="AU27" s="9" t="s">
        <v>85</v>
      </c>
      <c r="AV27" s="9" t="s">
        <v>85</v>
      </c>
      <c r="AW27" s="9">
        <v>0.248</v>
      </c>
      <c r="AX27" s="9" t="s">
        <v>85</v>
      </c>
      <c r="AY27" s="9" t="s">
        <v>85</v>
      </c>
      <c r="AZ27" s="9">
        <v>0.278</v>
      </c>
      <c r="BA27" s="10" t="s">
        <v>85</v>
      </c>
      <c r="BB27" s="10" t="s">
        <v>85</v>
      </c>
      <c r="BC27" s="9">
        <v>0.252</v>
      </c>
      <c r="BD27" s="10" t="s">
        <v>85</v>
      </c>
      <c r="BE27" s="10" t="s">
        <v>85</v>
      </c>
      <c r="BF27" s="9" t="s">
        <v>85</v>
      </c>
      <c r="BG27" s="6"/>
      <c r="BH27" s="6" t="str">
        <f t="shared" si="1"/>
        <v>10VB_One_Acc</v>
      </c>
      <c r="BI27" s="6" t="str">
        <f t="shared" si="2"/>
        <v>10V_One_Acc</v>
      </c>
      <c r="BJ27" s="6" t="str">
        <f t="shared" si="3"/>
        <v>12V_One_Acc</v>
      </c>
      <c r="BK27" s="6"/>
      <c r="BL27" s="6" t="s">
        <v>226</v>
      </c>
      <c r="BM27" s="18">
        <f t="shared" ref="BM27:BQ27" si="8">MINUS(BM26,SUM(BM28,BM29))</f>
        <v>11</v>
      </c>
      <c r="BN27" s="18">
        <f t="shared" si="8"/>
        <v>14</v>
      </c>
      <c r="BO27" s="18">
        <f t="shared" si="8"/>
        <v>11</v>
      </c>
      <c r="BP27" s="18">
        <f t="shared" si="8"/>
        <v>12</v>
      </c>
      <c r="BQ27" s="18">
        <f t="shared" si="8"/>
        <v>2</v>
      </c>
      <c r="BR27" s="6">
        <f t="shared" ref="BR27:BR29" si="9">SUM(BM27:BQ27)</f>
        <v>50</v>
      </c>
      <c r="BS27" s="6"/>
      <c r="BT27" s="6"/>
      <c r="BU27" s="6"/>
      <c r="BV27" s="6"/>
      <c r="BW27" s="6"/>
      <c r="BX27" s="6"/>
      <c r="BY27" s="6"/>
      <c r="BZ27" s="6"/>
      <c r="CA27" s="6"/>
    </row>
    <row r="28" ht="15.75" customHeight="1">
      <c r="A28" s="1" t="s">
        <v>122</v>
      </c>
      <c r="B28" s="9" t="s">
        <v>85</v>
      </c>
      <c r="C28" s="9" t="s">
        <v>85</v>
      </c>
      <c r="D28" s="9">
        <v>0.466864</v>
      </c>
      <c r="E28" s="9" t="s">
        <v>85</v>
      </c>
      <c r="F28" s="9" t="s">
        <v>85</v>
      </c>
      <c r="G28" s="9">
        <v>0.064497</v>
      </c>
      <c r="H28" s="9" t="s">
        <v>85</v>
      </c>
      <c r="I28" s="9" t="s">
        <v>85</v>
      </c>
      <c r="J28" s="9">
        <v>0.602959</v>
      </c>
      <c r="K28" s="9" t="s">
        <v>85</v>
      </c>
      <c r="L28" s="9" t="s">
        <v>85</v>
      </c>
      <c r="M28" s="9">
        <v>0.624852</v>
      </c>
      <c r="N28" s="9" t="s">
        <v>85</v>
      </c>
      <c r="O28" s="9" t="s">
        <v>85</v>
      </c>
      <c r="P28" s="9">
        <v>0.632544</v>
      </c>
      <c r="Q28" s="9" t="s">
        <v>85</v>
      </c>
      <c r="R28" s="9" t="s">
        <v>85</v>
      </c>
      <c r="S28" s="9">
        <v>0.63787</v>
      </c>
      <c r="T28" s="9" t="s">
        <v>85</v>
      </c>
      <c r="U28" s="9" t="s">
        <v>85</v>
      </c>
      <c r="V28" s="9">
        <v>0.704142</v>
      </c>
      <c r="W28" s="9" t="s">
        <v>85</v>
      </c>
      <c r="X28" s="9" t="s">
        <v>85</v>
      </c>
      <c r="Y28" s="9">
        <v>0.516568</v>
      </c>
      <c r="Z28" s="10" t="s">
        <v>85</v>
      </c>
      <c r="AA28" s="10" t="s">
        <v>85</v>
      </c>
      <c r="AB28" s="9">
        <v>0.552663</v>
      </c>
      <c r="AC28" s="9" t="s">
        <v>85</v>
      </c>
      <c r="AD28" s="9" t="s">
        <v>85</v>
      </c>
      <c r="AE28" s="9">
        <v>0.676331</v>
      </c>
      <c r="AF28" s="9" t="s">
        <v>85</v>
      </c>
      <c r="AG28" s="9" t="s">
        <v>85</v>
      </c>
      <c r="AH28" s="9">
        <v>0.436686</v>
      </c>
      <c r="AI28" s="9" t="s">
        <v>85</v>
      </c>
      <c r="AJ28" s="9" t="s">
        <v>85</v>
      </c>
      <c r="AK28" s="9">
        <v>0.671006</v>
      </c>
      <c r="AL28" s="9" t="s">
        <v>85</v>
      </c>
      <c r="AM28" s="9" t="s">
        <v>85</v>
      </c>
      <c r="AN28" s="9">
        <v>0.36213</v>
      </c>
      <c r="AO28" s="9" t="s">
        <v>85</v>
      </c>
      <c r="AP28" s="9" t="s">
        <v>85</v>
      </c>
      <c r="AQ28" s="9">
        <v>0.613018</v>
      </c>
      <c r="AR28" s="9" t="s">
        <v>85</v>
      </c>
      <c r="AS28" s="9" t="s">
        <v>85</v>
      </c>
      <c r="AT28" s="9">
        <v>0.646746</v>
      </c>
      <c r="AU28" s="9" t="s">
        <v>85</v>
      </c>
      <c r="AV28" s="9" t="s">
        <v>85</v>
      </c>
      <c r="AW28" s="9">
        <v>0.539645</v>
      </c>
      <c r="AX28" s="9" t="s">
        <v>85</v>
      </c>
      <c r="AY28" s="9" t="s">
        <v>85</v>
      </c>
      <c r="AZ28" s="9">
        <v>0.605325</v>
      </c>
      <c r="BA28" s="10" t="s">
        <v>85</v>
      </c>
      <c r="BB28" s="10" t="s">
        <v>85</v>
      </c>
      <c r="BC28" s="9">
        <v>0.390533</v>
      </c>
      <c r="BD28" s="10" t="s">
        <v>85</v>
      </c>
      <c r="BE28" s="10" t="s">
        <v>85</v>
      </c>
      <c r="BF28" s="9" t="s">
        <v>85</v>
      </c>
      <c r="BG28" s="6"/>
      <c r="BH28" s="6" t="str">
        <f t="shared" si="1"/>
        <v>8V_One_Acc</v>
      </c>
      <c r="BI28" s="6" t="str">
        <f t="shared" si="2"/>
        <v>10BN_One_Acc</v>
      </c>
      <c r="BJ28" s="6" t="str">
        <f t="shared" si="3"/>
        <v>10VB_One_Acc</v>
      </c>
      <c r="BK28" s="6"/>
      <c r="BL28" s="6" t="s">
        <v>227</v>
      </c>
      <c r="BM28" s="18">
        <f>COUNTIFS(BJ3:BJ100,"*V*",BJ3:BJ100,"*5*")</f>
        <v>16</v>
      </c>
      <c r="BN28" s="19">
        <f>COUNTIFS(BJ3:BJ100,"*V*",BJ3:BJ100,"*8*")</f>
        <v>9</v>
      </c>
      <c r="BO28" s="18">
        <f>COUNTIFS(BJ3:BJ100,"*V*",BJ3:BJ100,"*10*")</f>
        <v>12</v>
      </c>
      <c r="BP28" s="18">
        <f>COUNTIFS(BJ3:BJ100,"*V*",BJ3:BJ100,"*12*")</f>
        <v>8</v>
      </c>
      <c r="BQ28" s="18">
        <f>COUNTIFS(BJ3:BJ100,"*V*",BJ3:BJ100,"*20*")</f>
        <v>3</v>
      </c>
      <c r="BR28" s="6">
        <f t="shared" si="9"/>
        <v>48</v>
      </c>
      <c r="BS28" s="6"/>
      <c r="BT28" s="6"/>
      <c r="BU28" s="6"/>
      <c r="BW28" s="6"/>
      <c r="BX28" s="6"/>
      <c r="BY28" s="6"/>
      <c r="BZ28" s="6"/>
      <c r="CA28" s="6"/>
    </row>
    <row r="29" ht="15.75" customHeight="1">
      <c r="A29" s="1" t="s">
        <v>123</v>
      </c>
      <c r="B29" s="9" t="s">
        <v>85</v>
      </c>
      <c r="C29" s="9" t="s">
        <v>85</v>
      </c>
      <c r="D29" s="9">
        <v>0.465909</v>
      </c>
      <c r="E29" s="9" t="s">
        <v>85</v>
      </c>
      <c r="F29" s="9" t="s">
        <v>85</v>
      </c>
      <c r="G29" s="9">
        <v>0.159091</v>
      </c>
      <c r="H29" s="9" t="s">
        <v>85</v>
      </c>
      <c r="I29" s="9" t="s">
        <v>85</v>
      </c>
      <c r="J29" s="9">
        <v>0.647727</v>
      </c>
      <c r="K29" s="9" t="s">
        <v>85</v>
      </c>
      <c r="L29" s="9" t="s">
        <v>85</v>
      </c>
      <c r="M29" s="9">
        <v>0.738636</v>
      </c>
      <c r="N29" s="9" t="s">
        <v>85</v>
      </c>
      <c r="O29" s="9" t="s">
        <v>85</v>
      </c>
      <c r="P29" s="9">
        <v>0.613636</v>
      </c>
      <c r="Q29" s="9" t="s">
        <v>85</v>
      </c>
      <c r="R29" s="9" t="s">
        <v>85</v>
      </c>
      <c r="S29" s="9">
        <v>0.556818</v>
      </c>
      <c r="T29" s="9" t="s">
        <v>85</v>
      </c>
      <c r="U29" s="9" t="s">
        <v>85</v>
      </c>
      <c r="V29" s="9">
        <v>0.579545</v>
      </c>
      <c r="W29" s="9" t="s">
        <v>85</v>
      </c>
      <c r="X29" s="9" t="s">
        <v>85</v>
      </c>
      <c r="Y29" s="9">
        <v>0.784091</v>
      </c>
      <c r="Z29" s="10" t="s">
        <v>85</v>
      </c>
      <c r="AA29" s="10" t="s">
        <v>85</v>
      </c>
      <c r="AB29" s="9">
        <v>0.545455</v>
      </c>
      <c r="AC29" s="9" t="s">
        <v>85</v>
      </c>
      <c r="AD29" s="9" t="s">
        <v>85</v>
      </c>
      <c r="AE29" s="9">
        <v>0.5</v>
      </c>
      <c r="AF29" s="9" t="s">
        <v>85</v>
      </c>
      <c r="AG29" s="9" t="s">
        <v>85</v>
      </c>
      <c r="AH29" s="9">
        <v>0.75</v>
      </c>
      <c r="AI29" s="9" t="s">
        <v>85</v>
      </c>
      <c r="AJ29" s="9" t="s">
        <v>85</v>
      </c>
      <c r="AK29" s="9">
        <v>0.693182</v>
      </c>
      <c r="AL29" s="9" t="s">
        <v>85</v>
      </c>
      <c r="AM29" s="9" t="s">
        <v>85</v>
      </c>
      <c r="AN29" s="9">
        <v>0.715909</v>
      </c>
      <c r="AO29" s="9" t="s">
        <v>85</v>
      </c>
      <c r="AP29" s="9" t="s">
        <v>85</v>
      </c>
      <c r="AQ29" s="9">
        <v>0.681818</v>
      </c>
      <c r="AR29" s="9" t="s">
        <v>85</v>
      </c>
      <c r="AS29" s="9" t="s">
        <v>85</v>
      </c>
      <c r="AT29" s="9">
        <v>0.659091</v>
      </c>
      <c r="AU29" s="9" t="s">
        <v>85</v>
      </c>
      <c r="AV29" s="9" t="s">
        <v>85</v>
      </c>
      <c r="AW29" s="9">
        <v>0.818182</v>
      </c>
      <c r="AX29" s="9" t="s">
        <v>85</v>
      </c>
      <c r="AY29" s="9" t="s">
        <v>85</v>
      </c>
      <c r="AZ29" s="9">
        <v>0.704545</v>
      </c>
      <c r="BA29" s="10" t="s">
        <v>85</v>
      </c>
      <c r="BB29" s="10" t="s">
        <v>85</v>
      </c>
      <c r="BC29" s="9">
        <v>0.840909</v>
      </c>
      <c r="BD29" s="10" t="s">
        <v>85</v>
      </c>
      <c r="BE29" s="10" t="s">
        <v>85</v>
      </c>
      <c r="BF29" s="9" t="s">
        <v>85</v>
      </c>
      <c r="BG29" s="6"/>
      <c r="BH29" s="6" t="str">
        <f t="shared" si="1"/>
        <v>20V_One_Acc</v>
      </c>
      <c r="BI29" s="6" t="str">
        <f t="shared" si="2"/>
        <v>12VB_One_Acc</v>
      </c>
      <c r="BJ29" s="6" t="str">
        <f t="shared" si="3"/>
        <v>8VB_One_Acc</v>
      </c>
      <c r="BK29" s="6"/>
      <c r="BL29" s="6" t="s">
        <v>20</v>
      </c>
      <c r="BM29" s="18">
        <f>COUNTIFS(BJ3:BJ100,"*De*",BJ3:BJ100,"*5*")</f>
        <v>0</v>
      </c>
      <c r="BN29" s="19">
        <f>COUNTIFS(BJ3:BJ100,"*De*",BJ3:BJ100,"*8*")</f>
        <v>0</v>
      </c>
      <c r="BO29" s="18">
        <f>COUNTIFS(BJ3:BJ100,"*De*",BJ3:BJ100,"*10*")</f>
        <v>0</v>
      </c>
      <c r="BP29" s="18">
        <f>COUNTIFS(BJ3:BJ100,"*De*",BJ3:BJ100,"*12*")</f>
        <v>0</v>
      </c>
      <c r="BQ29" s="18">
        <f>COUNTIFS(BJ3:BJ100,"*De*",BJ3:BJ100,"*20*")</f>
        <v>0</v>
      </c>
      <c r="BR29" s="6">
        <f t="shared" si="9"/>
        <v>0</v>
      </c>
      <c r="BS29" s="6"/>
      <c r="BT29" s="6"/>
      <c r="BU29" s="6"/>
      <c r="BW29" s="6"/>
      <c r="BX29" s="6"/>
      <c r="BY29" s="6"/>
      <c r="BZ29" s="6"/>
      <c r="CA29" s="6"/>
    </row>
    <row r="30" ht="15.75" customHeight="1">
      <c r="A30" s="1" t="s">
        <v>124</v>
      </c>
      <c r="B30" s="9" t="s">
        <v>85</v>
      </c>
      <c r="C30" s="9" t="s">
        <v>85</v>
      </c>
      <c r="D30" s="9">
        <v>0.560976</v>
      </c>
      <c r="E30" s="9" t="s">
        <v>85</v>
      </c>
      <c r="F30" s="9" t="s">
        <v>85</v>
      </c>
      <c r="G30" s="9">
        <v>0.143415</v>
      </c>
      <c r="H30" s="9" t="s">
        <v>85</v>
      </c>
      <c r="I30" s="9" t="s">
        <v>85</v>
      </c>
      <c r="J30" s="9">
        <v>0.570732</v>
      </c>
      <c r="K30" s="9" t="s">
        <v>85</v>
      </c>
      <c r="L30" s="9" t="s">
        <v>85</v>
      </c>
      <c r="M30" s="9">
        <v>0.49122</v>
      </c>
      <c r="N30" s="9" t="s">
        <v>85</v>
      </c>
      <c r="O30" s="9" t="s">
        <v>85</v>
      </c>
      <c r="P30" s="9">
        <v>0.630244</v>
      </c>
      <c r="Q30" s="9" t="s">
        <v>85</v>
      </c>
      <c r="R30" s="9" t="s">
        <v>85</v>
      </c>
      <c r="S30" s="9">
        <v>0.638537</v>
      </c>
      <c r="T30" s="9" t="s">
        <v>85</v>
      </c>
      <c r="U30" s="9" t="s">
        <v>85</v>
      </c>
      <c r="V30" s="9">
        <v>0.686341</v>
      </c>
      <c r="W30" s="9" t="s">
        <v>85</v>
      </c>
      <c r="X30" s="9" t="s">
        <v>85</v>
      </c>
      <c r="Y30" s="9">
        <v>0.574146</v>
      </c>
      <c r="Z30" s="10" t="s">
        <v>85</v>
      </c>
      <c r="AA30" s="10" t="s">
        <v>85</v>
      </c>
      <c r="AB30" s="9">
        <v>0.7</v>
      </c>
      <c r="AC30" s="9" t="s">
        <v>85</v>
      </c>
      <c r="AD30" s="9" t="s">
        <v>85</v>
      </c>
      <c r="AE30" s="9">
        <v>0.607805</v>
      </c>
      <c r="AF30" s="9" t="s">
        <v>85</v>
      </c>
      <c r="AG30" s="9" t="s">
        <v>85</v>
      </c>
      <c r="AH30" s="9">
        <v>0.690244</v>
      </c>
      <c r="AI30" s="9" t="s">
        <v>85</v>
      </c>
      <c r="AJ30" s="9" t="s">
        <v>85</v>
      </c>
      <c r="AK30" s="9">
        <v>0.415122</v>
      </c>
      <c r="AL30" s="9" t="s">
        <v>85</v>
      </c>
      <c r="AM30" s="9" t="s">
        <v>85</v>
      </c>
      <c r="AN30" s="9">
        <v>0.561951</v>
      </c>
      <c r="AO30" s="9" t="s">
        <v>85</v>
      </c>
      <c r="AP30" s="9" t="s">
        <v>85</v>
      </c>
      <c r="AQ30" s="9">
        <v>0.679024</v>
      </c>
      <c r="AR30" s="9" t="s">
        <v>85</v>
      </c>
      <c r="AS30" s="9" t="s">
        <v>85</v>
      </c>
      <c r="AT30" s="9">
        <v>0.601951</v>
      </c>
      <c r="AU30" s="9" t="s">
        <v>85</v>
      </c>
      <c r="AV30" s="9" t="s">
        <v>85</v>
      </c>
      <c r="AW30" s="9">
        <v>0.369756</v>
      </c>
      <c r="AX30" s="9" t="s">
        <v>85</v>
      </c>
      <c r="AY30" s="9" t="s">
        <v>85</v>
      </c>
      <c r="AZ30" s="9">
        <v>0.665366</v>
      </c>
      <c r="BA30" s="10" t="s">
        <v>85</v>
      </c>
      <c r="BB30" s="10" t="s">
        <v>85</v>
      </c>
      <c r="BC30" s="9">
        <v>0.570244</v>
      </c>
      <c r="BD30" s="10" t="s">
        <v>85</v>
      </c>
      <c r="BE30" s="10" t="s">
        <v>85</v>
      </c>
      <c r="BF30" s="9" t="s">
        <v>85</v>
      </c>
      <c r="BG30" s="6"/>
      <c r="BH30" s="6" t="str">
        <f t="shared" si="1"/>
        <v>10B_One_Acc</v>
      </c>
      <c r="BI30" s="6" t="str">
        <f t="shared" si="2"/>
        <v>10V_One_Acc</v>
      </c>
      <c r="BJ30" s="6" t="str">
        <f t="shared" si="3"/>
        <v>8V_One_Acc</v>
      </c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</row>
    <row r="31" ht="15.75" customHeight="1">
      <c r="A31" s="1" t="s">
        <v>125</v>
      </c>
      <c r="B31" s="9" t="s">
        <v>85</v>
      </c>
      <c r="C31" s="9" t="s">
        <v>85</v>
      </c>
      <c r="D31" s="9">
        <v>0.404396</v>
      </c>
      <c r="E31" s="9" t="s">
        <v>85</v>
      </c>
      <c r="F31" s="9" t="s">
        <v>85</v>
      </c>
      <c r="G31" s="9">
        <v>0.125275</v>
      </c>
      <c r="H31" s="9" t="s">
        <v>85</v>
      </c>
      <c r="I31" s="9" t="s">
        <v>85</v>
      </c>
      <c r="J31" s="9">
        <v>0.353846</v>
      </c>
      <c r="K31" s="9" t="s">
        <v>85</v>
      </c>
      <c r="L31" s="9" t="s">
        <v>85</v>
      </c>
      <c r="M31" s="9">
        <v>0.272527</v>
      </c>
      <c r="N31" s="9" t="s">
        <v>85</v>
      </c>
      <c r="O31" s="9" t="s">
        <v>85</v>
      </c>
      <c r="P31" s="9">
        <v>0.492308</v>
      </c>
      <c r="Q31" s="9" t="s">
        <v>85</v>
      </c>
      <c r="R31" s="9" t="s">
        <v>85</v>
      </c>
      <c r="S31" s="9">
        <v>0.505495</v>
      </c>
      <c r="T31" s="9" t="s">
        <v>85</v>
      </c>
      <c r="U31" s="9" t="s">
        <v>85</v>
      </c>
      <c r="V31" s="9">
        <v>0.254945</v>
      </c>
      <c r="W31" s="9" t="s">
        <v>85</v>
      </c>
      <c r="X31" s="9" t="s">
        <v>85</v>
      </c>
      <c r="Y31" s="9">
        <v>0.340659</v>
      </c>
      <c r="Z31" s="10" t="s">
        <v>85</v>
      </c>
      <c r="AA31" s="10" t="s">
        <v>85</v>
      </c>
      <c r="AB31" s="9">
        <v>0.452747</v>
      </c>
      <c r="AC31" s="9" t="s">
        <v>85</v>
      </c>
      <c r="AD31" s="9" t="s">
        <v>85</v>
      </c>
      <c r="AE31" s="9">
        <v>0.540659</v>
      </c>
      <c r="AF31" s="9" t="s">
        <v>85</v>
      </c>
      <c r="AG31" s="9" t="s">
        <v>85</v>
      </c>
      <c r="AH31" s="9">
        <v>0.389011</v>
      </c>
      <c r="AI31" s="9" t="s">
        <v>85</v>
      </c>
      <c r="AJ31" s="9" t="s">
        <v>85</v>
      </c>
      <c r="AK31" s="9">
        <v>0.426374</v>
      </c>
      <c r="AL31" s="9" t="s">
        <v>85</v>
      </c>
      <c r="AM31" s="9" t="s">
        <v>85</v>
      </c>
      <c r="AN31" s="9">
        <v>0.492308</v>
      </c>
      <c r="AO31" s="9" t="s">
        <v>85</v>
      </c>
      <c r="AP31" s="9" t="s">
        <v>85</v>
      </c>
      <c r="AQ31" s="9">
        <v>0.432967</v>
      </c>
      <c r="AR31" s="9" t="s">
        <v>85</v>
      </c>
      <c r="AS31" s="9" t="s">
        <v>85</v>
      </c>
      <c r="AT31" s="9">
        <v>0.252747</v>
      </c>
      <c r="AU31" s="9" t="s">
        <v>85</v>
      </c>
      <c r="AV31" s="9" t="s">
        <v>85</v>
      </c>
      <c r="AW31" s="9">
        <v>0.364835</v>
      </c>
      <c r="AX31" s="9" t="s">
        <v>85</v>
      </c>
      <c r="AY31" s="9" t="s">
        <v>85</v>
      </c>
      <c r="AZ31" s="9">
        <v>0.356044</v>
      </c>
      <c r="BA31" s="10" t="s">
        <v>85</v>
      </c>
      <c r="BB31" s="10" t="s">
        <v>85</v>
      </c>
      <c r="BC31" s="9">
        <v>0.457143</v>
      </c>
      <c r="BD31" s="10" t="s">
        <v>85</v>
      </c>
      <c r="BE31" s="10" t="s">
        <v>85</v>
      </c>
      <c r="BF31" s="9" t="s">
        <v>85</v>
      </c>
      <c r="BG31" s="6"/>
      <c r="BH31" s="6" t="str">
        <f t="shared" si="1"/>
        <v>10BN_One_Acc</v>
      </c>
      <c r="BI31" s="6" t="str">
        <f t="shared" si="2"/>
        <v>8BN_One_Acc</v>
      </c>
      <c r="BJ31" s="6" t="str">
        <f t="shared" si="3"/>
        <v>8B_One_Acc</v>
      </c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</row>
    <row r="32" ht="15.75" customHeight="1">
      <c r="A32" s="1" t="s">
        <v>126</v>
      </c>
      <c r="B32" s="9" t="s">
        <v>85</v>
      </c>
      <c r="C32" s="9" t="s">
        <v>85</v>
      </c>
      <c r="D32" s="9">
        <v>0.491429</v>
      </c>
      <c r="E32" s="9" t="s">
        <v>85</v>
      </c>
      <c r="F32" s="9" t="s">
        <v>85</v>
      </c>
      <c r="G32" s="9">
        <v>0.137143</v>
      </c>
      <c r="H32" s="9" t="s">
        <v>85</v>
      </c>
      <c r="I32" s="9" t="s">
        <v>85</v>
      </c>
      <c r="J32" s="9">
        <v>0.531429</v>
      </c>
      <c r="K32" s="9" t="s">
        <v>85</v>
      </c>
      <c r="L32" s="9" t="s">
        <v>85</v>
      </c>
      <c r="M32" s="9">
        <v>0.748571</v>
      </c>
      <c r="N32" s="9" t="s">
        <v>85</v>
      </c>
      <c r="O32" s="9" t="s">
        <v>85</v>
      </c>
      <c r="P32" s="9">
        <v>0.668571</v>
      </c>
      <c r="Q32" s="9" t="s">
        <v>85</v>
      </c>
      <c r="R32" s="9" t="s">
        <v>85</v>
      </c>
      <c r="S32" s="9">
        <v>0.622857</v>
      </c>
      <c r="T32" s="9" t="s">
        <v>85</v>
      </c>
      <c r="U32" s="9" t="s">
        <v>85</v>
      </c>
      <c r="V32" s="9">
        <v>0.594286</v>
      </c>
      <c r="W32" s="9" t="s">
        <v>85</v>
      </c>
      <c r="X32" s="9" t="s">
        <v>85</v>
      </c>
      <c r="Y32" s="9">
        <v>0.52</v>
      </c>
      <c r="Z32" s="10" t="s">
        <v>85</v>
      </c>
      <c r="AA32" s="10" t="s">
        <v>85</v>
      </c>
      <c r="AB32" s="9">
        <v>0.611429</v>
      </c>
      <c r="AC32" s="9" t="s">
        <v>85</v>
      </c>
      <c r="AD32" s="9" t="s">
        <v>85</v>
      </c>
      <c r="AE32" s="9">
        <v>0.645714</v>
      </c>
      <c r="AF32" s="9" t="s">
        <v>85</v>
      </c>
      <c r="AG32" s="9" t="s">
        <v>85</v>
      </c>
      <c r="AH32" s="9">
        <v>0.634286</v>
      </c>
      <c r="AI32" s="9" t="s">
        <v>85</v>
      </c>
      <c r="AJ32" s="9" t="s">
        <v>85</v>
      </c>
      <c r="AK32" s="9">
        <v>0.508571</v>
      </c>
      <c r="AL32" s="9" t="s">
        <v>85</v>
      </c>
      <c r="AM32" s="9" t="s">
        <v>85</v>
      </c>
      <c r="AN32" s="9">
        <v>0.514286</v>
      </c>
      <c r="AO32" s="9" t="s">
        <v>85</v>
      </c>
      <c r="AP32" s="9" t="s">
        <v>85</v>
      </c>
      <c r="AQ32" s="9">
        <v>0.662857</v>
      </c>
      <c r="AR32" s="9" t="s">
        <v>85</v>
      </c>
      <c r="AS32" s="9" t="s">
        <v>85</v>
      </c>
      <c r="AT32" s="9">
        <v>0.525714</v>
      </c>
      <c r="AU32" s="9" t="s">
        <v>85</v>
      </c>
      <c r="AV32" s="9" t="s">
        <v>85</v>
      </c>
      <c r="AW32" s="9">
        <v>0.605714</v>
      </c>
      <c r="AX32" s="9" t="s">
        <v>85</v>
      </c>
      <c r="AY32" s="9" t="s">
        <v>85</v>
      </c>
      <c r="AZ32" s="9">
        <v>0.662857</v>
      </c>
      <c r="BA32" s="10" t="s">
        <v>85</v>
      </c>
      <c r="BB32" s="10" t="s">
        <v>85</v>
      </c>
      <c r="BC32" s="9">
        <v>0.731429</v>
      </c>
      <c r="BD32" s="10" t="s">
        <v>85</v>
      </c>
      <c r="BE32" s="10" t="s">
        <v>85</v>
      </c>
      <c r="BF32" s="9" t="s">
        <v>85</v>
      </c>
      <c r="BG32" s="6"/>
      <c r="BH32" s="6" t="str">
        <f t="shared" si="1"/>
        <v>5VB_One_Acc</v>
      </c>
      <c r="BI32" s="6" t="str">
        <f t="shared" si="2"/>
        <v>20V_One_Acc</v>
      </c>
      <c r="BJ32" s="6" t="str">
        <f t="shared" si="3"/>
        <v>8B_One_Acc</v>
      </c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</row>
    <row r="33" ht="15.75" customHeight="1">
      <c r="A33" s="1" t="s">
        <v>127</v>
      </c>
      <c r="B33" s="9" t="s">
        <v>85</v>
      </c>
      <c r="C33" s="9" t="s">
        <v>85</v>
      </c>
      <c r="D33" s="9">
        <v>0.484091</v>
      </c>
      <c r="E33" s="9" t="s">
        <v>85</v>
      </c>
      <c r="F33" s="9" t="s">
        <v>85</v>
      </c>
      <c r="G33" s="9">
        <v>0.484091</v>
      </c>
      <c r="H33" s="9" t="s">
        <v>85</v>
      </c>
      <c r="I33" s="9" t="s">
        <v>85</v>
      </c>
      <c r="J33" s="9">
        <v>0.484091</v>
      </c>
      <c r="K33" s="9" t="s">
        <v>85</v>
      </c>
      <c r="L33" s="9" t="s">
        <v>85</v>
      </c>
      <c r="M33" s="9">
        <v>0.484091</v>
      </c>
      <c r="N33" s="9" t="s">
        <v>85</v>
      </c>
      <c r="O33" s="9" t="s">
        <v>85</v>
      </c>
      <c r="P33" s="9">
        <v>0.484091</v>
      </c>
      <c r="Q33" s="9" t="s">
        <v>85</v>
      </c>
      <c r="R33" s="9" t="s">
        <v>85</v>
      </c>
      <c r="S33" s="9">
        <v>0.484091</v>
      </c>
      <c r="T33" s="9" t="s">
        <v>85</v>
      </c>
      <c r="U33" s="9" t="s">
        <v>85</v>
      </c>
      <c r="V33" s="9">
        <v>0.484091</v>
      </c>
      <c r="W33" s="9" t="s">
        <v>85</v>
      </c>
      <c r="X33" s="9" t="s">
        <v>85</v>
      </c>
      <c r="Y33" s="9">
        <v>0.484091</v>
      </c>
      <c r="Z33" s="10" t="s">
        <v>85</v>
      </c>
      <c r="AA33" s="10" t="s">
        <v>85</v>
      </c>
      <c r="AB33" s="9">
        <v>0.484091</v>
      </c>
      <c r="AC33" s="9" t="s">
        <v>85</v>
      </c>
      <c r="AD33" s="9" t="s">
        <v>85</v>
      </c>
      <c r="AE33" s="9">
        <v>0.484091</v>
      </c>
      <c r="AF33" s="9" t="s">
        <v>85</v>
      </c>
      <c r="AG33" s="9" t="s">
        <v>85</v>
      </c>
      <c r="AH33" s="9">
        <v>0.484091</v>
      </c>
      <c r="AI33" s="9" t="s">
        <v>85</v>
      </c>
      <c r="AJ33" s="9" t="s">
        <v>85</v>
      </c>
      <c r="AK33" s="9">
        <v>0.484091</v>
      </c>
      <c r="AL33" s="9" t="s">
        <v>85</v>
      </c>
      <c r="AM33" s="9" t="s">
        <v>85</v>
      </c>
      <c r="AN33" s="9">
        <v>0.484091</v>
      </c>
      <c r="AO33" s="9" t="s">
        <v>85</v>
      </c>
      <c r="AP33" s="9" t="s">
        <v>85</v>
      </c>
      <c r="AQ33" s="9">
        <v>0.484091</v>
      </c>
      <c r="AR33" s="9" t="s">
        <v>85</v>
      </c>
      <c r="AS33" s="9" t="s">
        <v>85</v>
      </c>
      <c r="AT33" s="9">
        <v>0.484091</v>
      </c>
      <c r="AU33" s="9" t="s">
        <v>85</v>
      </c>
      <c r="AV33" s="9" t="s">
        <v>85</v>
      </c>
      <c r="AW33" s="9">
        <v>0.484091</v>
      </c>
      <c r="AX33" s="9" t="s">
        <v>85</v>
      </c>
      <c r="AY33" s="9" t="s">
        <v>85</v>
      </c>
      <c r="AZ33" s="9">
        <v>0.484091</v>
      </c>
      <c r="BA33" s="10" t="s">
        <v>85</v>
      </c>
      <c r="BB33" s="10" t="s">
        <v>85</v>
      </c>
      <c r="BC33" s="9">
        <v>0.484091</v>
      </c>
      <c r="BD33" s="10" t="s">
        <v>85</v>
      </c>
      <c r="BE33" s="10" t="s">
        <v>85</v>
      </c>
      <c r="BF33" s="9" t="s">
        <v>85</v>
      </c>
      <c r="BG33" s="6"/>
      <c r="BH33" s="6" t="str">
        <f t="shared" si="1"/>
        <v>5B_One_Acc</v>
      </c>
      <c r="BI33" s="6" t="str">
        <f t="shared" si="2"/>
        <v>5B_One_Acc</v>
      </c>
      <c r="BJ33" s="6" t="str">
        <f t="shared" si="3"/>
        <v>5B_One_Acc</v>
      </c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</row>
    <row r="34" ht="15.75" customHeight="1">
      <c r="A34" s="14" t="s">
        <v>128</v>
      </c>
      <c r="B34" s="9" t="s">
        <v>85</v>
      </c>
      <c r="C34" s="9" t="s">
        <v>85</v>
      </c>
      <c r="D34" s="9">
        <v>0.504938</v>
      </c>
      <c r="E34" s="9" t="s">
        <v>85</v>
      </c>
      <c r="F34" s="9" t="s">
        <v>85</v>
      </c>
      <c r="G34" s="9">
        <v>0.504938</v>
      </c>
      <c r="H34" s="9" t="s">
        <v>85</v>
      </c>
      <c r="I34" s="9" t="s">
        <v>85</v>
      </c>
      <c r="J34" s="9">
        <v>0.504938</v>
      </c>
      <c r="K34" s="9" t="s">
        <v>85</v>
      </c>
      <c r="L34" s="9" t="s">
        <v>85</v>
      </c>
      <c r="M34" s="9">
        <v>0.504938</v>
      </c>
      <c r="N34" s="9" t="s">
        <v>85</v>
      </c>
      <c r="O34" s="9" t="s">
        <v>85</v>
      </c>
      <c r="P34" s="9">
        <v>0.504938</v>
      </c>
      <c r="Q34" s="9" t="s">
        <v>85</v>
      </c>
      <c r="R34" s="9" t="s">
        <v>85</v>
      </c>
      <c r="S34" s="9">
        <v>0.504938</v>
      </c>
      <c r="T34" s="9" t="s">
        <v>85</v>
      </c>
      <c r="U34" s="9" t="s">
        <v>85</v>
      </c>
      <c r="V34" s="9">
        <v>0.504938</v>
      </c>
      <c r="W34" s="9" t="s">
        <v>85</v>
      </c>
      <c r="X34" s="9" t="s">
        <v>85</v>
      </c>
      <c r="Y34" s="9">
        <v>0.504938</v>
      </c>
      <c r="Z34" s="10" t="s">
        <v>85</v>
      </c>
      <c r="AA34" s="10" t="s">
        <v>85</v>
      </c>
      <c r="AB34" s="9">
        <v>0.504938</v>
      </c>
      <c r="AC34" s="9" t="s">
        <v>85</v>
      </c>
      <c r="AD34" s="9" t="s">
        <v>85</v>
      </c>
      <c r="AE34" s="9">
        <v>0.504938</v>
      </c>
      <c r="AF34" s="9" t="s">
        <v>85</v>
      </c>
      <c r="AG34" s="9" t="s">
        <v>85</v>
      </c>
      <c r="AH34" s="9">
        <v>0.504938</v>
      </c>
      <c r="AI34" s="9" t="s">
        <v>85</v>
      </c>
      <c r="AJ34" s="9" t="s">
        <v>85</v>
      </c>
      <c r="AK34" s="9">
        <v>0.504938</v>
      </c>
      <c r="AL34" s="9" t="s">
        <v>85</v>
      </c>
      <c r="AM34" s="9" t="s">
        <v>85</v>
      </c>
      <c r="AN34" s="9">
        <v>0.504938</v>
      </c>
      <c r="AO34" s="9" t="s">
        <v>85</v>
      </c>
      <c r="AP34" s="9" t="s">
        <v>85</v>
      </c>
      <c r="AQ34" s="9">
        <v>0.504938</v>
      </c>
      <c r="AR34" s="9" t="s">
        <v>85</v>
      </c>
      <c r="AS34" s="9" t="s">
        <v>85</v>
      </c>
      <c r="AT34" s="9">
        <v>0.504938</v>
      </c>
      <c r="AU34" s="9" t="s">
        <v>85</v>
      </c>
      <c r="AV34" s="9" t="s">
        <v>85</v>
      </c>
      <c r="AW34" s="9">
        <v>0.504938</v>
      </c>
      <c r="AX34" s="9" t="s">
        <v>85</v>
      </c>
      <c r="AY34" s="9" t="s">
        <v>85</v>
      </c>
      <c r="AZ34" s="9">
        <v>0.504938</v>
      </c>
      <c r="BA34" s="10" t="s">
        <v>85</v>
      </c>
      <c r="BB34" s="10" t="s">
        <v>85</v>
      </c>
      <c r="BC34" s="9">
        <v>0.504938</v>
      </c>
      <c r="BD34" s="10" t="s">
        <v>85</v>
      </c>
      <c r="BE34" s="10" t="s">
        <v>85</v>
      </c>
      <c r="BF34" s="9" t="s">
        <v>85</v>
      </c>
      <c r="BG34" s="6"/>
      <c r="BH34" s="6" t="str">
        <f t="shared" si="1"/>
        <v>5B_One_Acc</v>
      </c>
      <c r="BI34" s="6" t="str">
        <f t="shared" si="2"/>
        <v>5B_One_Acc</v>
      </c>
      <c r="BJ34" s="6" t="str">
        <f t="shared" si="3"/>
        <v>5B_One_Acc</v>
      </c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</row>
    <row r="35" ht="15.75" customHeight="1">
      <c r="A35" s="1" t="s">
        <v>129</v>
      </c>
      <c r="B35" s="9" t="s">
        <v>85</v>
      </c>
      <c r="C35" s="9" t="s">
        <v>85</v>
      </c>
      <c r="D35" s="9">
        <v>0.968421</v>
      </c>
      <c r="E35" s="9" t="s">
        <v>85</v>
      </c>
      <c r="F35" s="9" t="s">
        <v>85</v>
      </c>
      <c r="G35" s="9">
        <v>0.5</v>
      </c>
      <c r="H35" s="9" t="s">
        <v>85</v>
      </c>
      <c r="I35" s="9" t="s">
        <v>85</v>
      </c>
      <c r="J35" s="9">
        <v>0.947719</v>
      </c>
      <c r="K35" s="9" t="s">
        <v>85</v>
      </c>
      <c r="L35" s="9" t="s">
        <v>85</v>
      </c>
      <c r="M35" s="9">
        <v>0.95193</v>
      </c>
      <c r="N35" s="9" t="s">
        <v>85</v>
      </c>
      <c r="O35" s="9" t="s">
        <v>85</v>
      </c>
      <c r="P35" s="9">
        <v>0.969825</v>
      </c>
      <c r="Q35" s="9" t="s">
        <v>85</v>
      </c>
      <c r="R35" s="9" t="s">
        <v>85</v>
      </c>
      <c r="S35" s="9">
        <v>0.971579</v>
      </c>
      <c r="T35" s="9" t="s">
        <v>85</v>
      </c>
      <c r="U35" s="9" t="s">
        <v>85</v>
      </c>
      <c r="V35" s="9">
        <v>0.981754</v>
      </c>
      <c r="W35" s="9" t="s">
        <v>85</v>
      </c>
      <c r="X35" s="9" t="s">
        <v>85</v>
      </c>
      <c r="Y35" s="9">
        <v>0.980351</v>
      </c>
      <c r="Z35" s="10" t="s">
        <v>85</v>
      </c>
      <c r="AA35" s="10" t="s">
        <v>85</v>
      </c>
      <c r="AB35" s="9">
        <v>0.976491</v>
      </c>
      <c r="AC35" s="9" t="s">
        <v>85</v>
      </c>
      <c r="AD35" s="9" t="s">
        <v>85</v>
      </c>
      <c r="AE35" s="9">
        <v>0.972281</v>
      </c>
      <c r="AF35" s="9" t="s">
        <v>85</v>
      </c>
      <c r="AG35" s="9" t="s">
        <v>85</v>
      </c>
      <c r="AH35" s="9">
        <v>0.960351</v>
      </c>
      <c r="AI35" s="9" t="s">
        <v>85</v>
      </c>
      <c r="AJ35" s="9" t="s">
        <v>85</v>
      </c>
      <c r="AK35" s="9">
        <v>0.964561</v>
      </c>
      <c r="AL35" s="9" t="s">
        <v>85</v>
      </c>
      <c r="AM35" s="9" t="s">
        <v>85</v>
      </c>
      <c r="AN35" s="9">
        <v>0.96807</v>
      </c>
      <c r="AO35" s="9" t="s">
        <v>85</v>
      </c>
      <c r="AP35" s="9" t="s">
        <v>85</v>
      </c>
      <c r="AQ35" s="9">
        <v>0.964912</v>
      </c>
      <c r="AR35" s="9" t="s">
        <v>85</v>
      </c>
      <c r="AS35" s="9" t="s">
        <v>85</v>
      </c>
      <c r="AT35" s="9">
        <v>0.963158</v>
      </c>
      <c r="AU35" s="9" t="s">
        <v>85</v>
      </c>
      <c r="AV35" s="9" t="s">
        <v>85</v>
      </c>
      <c r="AW35" s="9">
        <v>0.961754</v>
      </c>
      <c r="AX35" s="9" t="s">
        <v>85</v>
      </c>
      <c r="AY35" s="9" t="s">
        <v>85</v>
      </c>
      <c r="AZ35" s="9">
        <v>0.971228</v>
      </c>
      <c r="BA35" s="10" t="s">
        <v>85</v>
      </c>
      <c r="BB35" s="10" t="s">
        <v>85</v>
      </c>
      <c r="BC35" s="9">
        <v>0.947018</v>
      </c>
      <c r="BD35" s="10" t="s">
        <v>85</v>
      </c>
      <c r="BE35" s="10" t="s">
        <v>85</v>
      </c>
      <c r="BF35" s="9" t="s">
        <v>85</v>
      </c>
      <c r="BG35" s="6"/>
      <c r="BH35" s="6" t="str">
        <f t="shared" si="1"/>
        <v>8V_One_Acc</v>
      </c>
      <c r="BI35" s="6" t="str">
        <f t="shared" si="2"/>
        <v>8VB_One_Acc</v>
      </c>
      <c r="BJ35" s="6" t="str">
        <f t="shared" si="3"/>
        <v>10B_One_Acc</v>
      </c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</row>
    <row r="36" ht="15.75" customHeight="1">
      <c r="A36" s="1" t="s">
        <v>130</v>
      </c>
      <c r="B36" s="9" t="s">
        <v>85</v>
      </c>
      <c r="C36" s="9" t="s">
        <v>85</v>
      </c>
      <c r="D36" s="9">
        <v>0.961403</v>
      </c>
      <c r="E36" s="9" t="s">
        <v>85</v>
      </c>
      <c r="F36" s="9" t="s">
        <v>85</v>
      </c>
      <c r="G36" s="9">
        <v>0.5</v>
      </c>
      <c r="H36" s="9" t="s">
        <v>85</v>
      </c>
      <c r="I36" s="9" t="s">
        <v>85</v>
      </c>
      <c r="J36" s="9">
        <v>0.807719</v>
      </c>
      <c r="K36" s="9" t="s">
        <v>85</v>
      </c>
      <c r="L36" s="9" t="s">
        <v>85</v>
      </c>
      <c r="M36" s="9">
        <v>0.801053</v>
      </c>
      <c r="N36" s="9" t="s">
        <v>85</v>
      </c>
      <c r="O36" s="9" t="s">
        <v>85</v>
      </c>
      <c r="P36" s="9">
        <v>0.949825</v>
      </c>
      <c r="Q36" s="9" t="s">
        <v>85</v>
      </c>
      <c r="R36" s="9" t="s">
        <v>85</v>
      </c>
      <c r="S36" s="9">
        <v>0.948772</v>
      </c>
      <c r="T36" s="9" t="s">
        <v>85</v>
      </c>
      <c r="U36" s="9" t="s">
        <v>85</v>
      </c>
      <c r="V36" s="9">
        <v>0.906316</v>
      </c>
      <c r="W36" s="9" t="s">
        <v>85</v>
      </c>
      <c r="X36" s="9" t="s">
        <v>85</v>
      </c>
      <c r="Y36" s="9">
        <v>0.92386</v>
      </c>
      <c r="Z36" s="10" t="s">
        <v>85</v>
      </c>
      <c r="AA36" s="10" t="s">
        <v>85</v>
      </c>
      <c r="AB36" s="1" t="s">
        <v>85</v>
      </c>
      <c r="AC36" s="9" t="s">
        <v>85</v>
      </c>
      <c r="AD36" s="9" t="s">
        <v>85</v>
      </c>
      <c r="AE36" s="9">
        <v>0.94807</v>
      </c>
      <c r="AF36" s="9" t="s">
        <v>85</v>
      </c>
      <c r="AG36" s="9" t="s">
        <v>85</v>
      </c>
      <c r="AH36" s="9">
        <v>0.889123</v>
      </c>
      <c r="AI36" s="9" t="s">
        <v>85</v>
      </c>
      <c r="AJ36" s="9" t="s">
        <v>85</v>
      </c>
      <c r="AK36" s="9">
        <v>0.893333</v>
      </c>
      <c r="AL36" s="9" t="s">
        <v>85</v>
      </c>
      <c r="AM36" s="9" t="s">
        <v>85</v>
      </c>
      <c r="AN36" s="9">
        <v>0.952281</v>
      </c>
      <c r="AO36" s="9" t="s">
        <v>85</v>
      </c>
      <c r="AP36" s="9" t="s">
        <v>85</v>
      </c>
      <c r="AQ36" s="9">
        <v>0.95614</v>
      </c>
      <c r="AR36" s="9" t="s">
        <v>85</v>
      </c>
      <c r="AS36" s="9" t="s">
        <v>85</v>
      </c>
      <c r="AT36" s="9">
        <v>0.767719</v>
      </c>
      <c r="AU36" s="9" t="s">
        <v>85</v>
      </c>
      <c r="AV36" s="9" t="s">
        <v>85</v>
      </c>
      <c r="AW36" s="9">
        <v>0.823509</v>
      </c>
      <c r="AX36" s="9" t="s">
        <v>85</v>
      </c>
      <c r="AY36" s="9" t="s">
        <v>85</v>
      </c>
      <c r="AZ36" s="9">
        <v>0.967368</v>
      </c>
      <c r="BA36" s="10" t="s">
        <v>85</v>
      </c>
      <c r="BB36" s="10" t="s">
        <v>85</v>
      </c>
      <c r="BC36" s="9">
        <v>0.896491</v>
      </c>
      <c r="BD36" s="10" t="s">
        <v>85</v>
      </c>
      <c r="BE36" s="10" t="s">
        <v>85</v>
      </c>
      <c r="BF36" s="9" t="s">
        <v>85</v>
      </c>
      <c r="BG36" s="6"/>
      <c r="BH36" s="6" t="str">
        <f t="shared" si="1"/>
        <v>20B_One_Acc</v>
      </c>
      <c r="BI36" s="6" t="str">
        <f t="shared" si="2"/>
        <v>5B_One_Acc</v>
      </c>
      <c r="BJ36" s="6" t="str">
        <f t="shared" si="3"/>
        <v>12BN_One_Acc</v>
      </c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</row>
    <row r="37" ht="15.75" customHeight="1">
      <c r="A37" s="1" t="s">
        <v>131</v>
      </c>
      <c r="B37" s="9" t="s">
        <v>85</v>
      </c>
      <c r="C37" s="9" t="s">
        <v>85</v>
      </c>
      <c r="D37" s="9">
        <v>0.92</v>
      </c>
      <c r="E37" s="9" t="s">
        <v>85</v>
      </c>
      <c r="F37" s="9" t="s">
        <v>85</v>
      </c>
      <c r="G37" s="9">
        <v>0.493333</v>
      </c>
      <c r="H37" s="9" t="s">
        <v>85</v>
      </c>
      <c r="I37" s="9" t="s">
        <v>85</v>
      </c>
      <c r="J37" s="9">
        <v>0.906667</v>
      </c>
      <c r="K37" s="9" t="s">
        <v>85</v>
      </c>
      <c r="L37" s="9" t="s">
        <v>85</v>
      </c>
      <c r="M37" s="9">
        <v>0.92</v>
      </c>
      <c r="N37" s="9" t="s">
        <v>85</v>
      </c>
      <c r="O37" s="9" t="s">
        <v>85</v>
      </c>
      <c r="P37" s="9">
        <v>0.973333</v>
      </c>
      <c r="Q37" s="9" t="s">
        <v>85</v>
      </c>
      <c r="R37" s="9" t="s">
        <v>85</v>
      </c>
      <c r="S37" s="9">
        <v>0.966667</v>
      </c>
      <c r="T37" s="9" t="s">
        <v>85</v>
      </c>
      <c r="U37" s="9" t="s">
        <v>85</v>
      </c>
      <c r="V37" s="9">
        <v>0.893333</v>
      </c>
      <c r="W37" s="9" t="s">
        <v>85</v>
      </c>
      <c r="X37" s="9" t="s">
        <v>85</v>
      </c>
      <c r="Y37" s="9">
        <v>0.873333</v>
      </c>
      <c r="Z37" s="10" t="s">
        <v>85</v>
      </c>
      <c r="AA37" s="10" t="s">
        <v>85</v>
      </c>
      <c r="AB37" s="9">
        <v>0.953333</v>
      </c>
      <c r="AC37" s="9" t="s">
        <v>85</v>
      </c>
      <c r="AD37" s="9" t="s">
        <v>85</v>
      </c>
      <c r="AE37" s="9">
        <v>0.946667</v>
      </c>
      <c r="AF37" s="9" t="s">
        <v>85</v>
      </c>
      <c r="AG37" s="9" t="s">
        <v>85</v>
      </c>
      <c r="AH37" s="9">
        <v>0.84</v>
      </c>
      <c r="AI37" s="9" t="s">
        <v>85</v>
      </c>
      <c r="AJ37" s="9" t="s">
        <v>85</v>
      </c>
      <c r="AK37" s="9">
        <v>0.846667</v>
      </c>
      <c r="AL37" s="9" t="s">
        <v>85</v>
      </c>
      <c r="AM37" s="9" t="s">
        <v>85</v>
      </c>
      <c r="AN37" s="9">
        <v>0.92</v>
      </c>
      <c r="AO37" s="9" t="s">
        <v>85</v>
      </c>
      <c r="AP37" s="9" t="s">
        <v>85</v>
      </c>
      <c r="AQ37" s="9">
        <v>0.94</v>
      </c>
      <c r="AR37" s="9" t="s">
        <v>85</v>
      </c>
      <c r="AS37" s="9" t="s">
        <v>85</v>
      </c>
      <c r="AT37" s="9">
        <v>0.9</v>
      </c>
      <c r="AU37" s="9" t="s">
        <v>85</v>
      </c>
      <c r="AV37" s="9" t="s">
        <v>85</v>
      </c>
      <c r="AW37" s="9">
        <v>0.873333</v>
      </c>
      <c r="AX37" s="9" t="s">
        <v>85</v>
      </c>
      <c r="AY37" s="9" t="s">
        <v>85</v>
      </c>
      <c r="AZ37" s="9">
        <v>0.953333</v>
      </c>
      <c r="BA37" s="10" t="s">
        <v>85</v>
      </c>
      <c r="BB37" s="10" t="s">
        <v>85</v>
      </c>
      <c r="BC37" s="9">
        <v>0.913333</v>
      </c>
      <c r="BD37" s="10" t="s">
        <v>85</v>
      </c>
      <c r="BE37" s="10" t="s">
        <v>85</v>
      </c>
      <c r="BF37" s="9" t="s">
        <v>85</v>
      </c>
      <c r="BG37" s="6"/>
      <c r="BH37" s="6" t="str">
        <f t="shared" si="1"/>
        <v>8B_One_Acc</v>
      </c>
      <c r="BI37" s="6" t="str">
        <f t="shared" si="2"/>
        <v>8BN_One_Acc</v>
      </c>
      <c r="BJ37" s="6" t="str">
        <f t="shared" si="3"/>
        <v>10B_One_Acc</v>
      </c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</row>
    <row r="38" ht="15.75" customHeight="1">
      <c r="A38" s="1" t="s">
        <v>132</v>
      </c>
      <c r="B38" s="9" t="s">
        <v>85</v>
      </c>
      <c r="C38" s="9" t="s">
        <v>85</v>
      </c>
      <c r="D38" s="9">
        <v>0.974684</v>
      </c>
      <c r="E38" s="9" t="s">
        <v>85</v>
      </c>
      <c r="F38" s="9" t="s">
        <v>85</v>
      </c>
      <c r="G38" s="9">
        <v>0.493671</v>
      </c>
      <c r="H38" s="9" t="s">
        <v>85</v>
      </c>
      <c r="I38" s="9" t="s">
        <v>85</v>
      </c>
      <c r="J38" s="9">
        <v>0.936709</v>
      </c>
      <c r="K38" s="9" t="s">
        <v>85</v>
      </c>
      <c r="L38" s="9" t="s">
        <v>85</v>
      </c>
      <c r="M38" s="9">
        <v>0.955696</v>
      </c>
      <c r="N38" s="9" t="s">
        <v>85</v>
      </c>
      <c r="O38" s="9" t="s">
        <v>85</v>
      </c>
      <c r="P38" s="9">
        <v>0.952532</v>
      </c>
      <c r="Q38" s="9" t="s">
        <v>85</v>
      </c>
      <c r="R38" s="9" t="s">
        <v>85</v>
      </c>
      <c r="S38" s="9">
        <v>0.96519</v>
      </c>
      <c r="T38" s="9" t="s">
        <v>85</v>
      </c>
      <c r="U38" s="9" t="s">
        <v>85</v>
      </c>
      <c r="V38" s="9">
        <v>0.901899</v>
      </c>
      <c r="W38" s="9" t="s">
        <v>85</v>
      </c>
      <c r="X38" s="9" t="s">
        <v>85</v>
      </c>
      <c r="Y38" s="9">
        <v>0.917722</v>
      </c>
      <c r="Z38" s="10" t="s">
        <v>85</v>
      </c>
      <c r="AA38" s="10" t="s">
        <v>85</v>
      </c>
      <c r="AB38" s="9">
        <v>0.955696</v>
      </c>
      <c r="AC38" s="9" t="s">
        <v>85</v>
      </c>
      <c r="AD38" s="9" t="s">
        <v>85</v>
      </c>
      <c r="AE38" s="9">
        <v>0.949367</v>
      </c>
      <c r="AF38" s="9" t="s">
        <v>85</v>
      </c>
      <c r="AG38" s="9" t="s">
        <v>85</v>
      </c>
      <c r="AH38" s="9">
        <v>0.924051</v>
      </c>
      <c r="AI38" s="9" t="s">
        <v>85</v>
      </c>
      <c r="AJ38" s="9" t="s">
        <v>85</v>
      </c>
      <c r="AK38" s="9">
        <v>0.924051</v>
      </c>
      <c r="AL38" s="9" t="s">
        <v>85</v>
      </c>
      <c r="AM38" s="9" t="s">
        <v>85</v>
      </c>
      <c r="AN38" s="9">
        <v>0.933544</v>
      </c>
      <c r="AO38" s="9" t="s">
        <v>85</v>
      </c>
      <c r="AP38" s="9" t="s">
        <v>85</v>
      </c>
      <c r="AQ38" s="9">
        <v>0.946203</v>
      </c>
      <c r="AR38" s="9" t="s">
        <v>85</v>
      </c>
      <c r="AS38" s="9" t="s">
        <v>85</v>
      </c>
      <c r="AT38" s="9">
        <v>0.914557</v>
      </c>
      <c r="AU38" s="9" t="s">
        <v>85</v>
      </c>
      <c r="AV38" s="9" t="s">
        <v>85</v>
      </c>
      <c r="AW38" s="9">
        <v>0.93038</v>
      </c>
      <c r="AX38" s="9" t="s">
        <v>85</v>
      </c>
      <c r="AY38" s="9" t="s">
        <v>85</v>
      </c>
      <c r="AZ38" s="9">
        <v>0.927215</v>
      </c>
      <c r="BA38" s="10" t="s">
        <v>85</v>
      </c>
      <c r="BB38" s="10" t="s">
        <v>85</v>
      </c>
      <c r="BC38" s="9">
        <v>0.924051</v>
      </c>
      <c r="BD38" s="10" t="s">
        <v>85</v>
      </c>
      <c r="BE38" s="10" t="s">
        <v>85</v>
      </c>
      <c r="BF38" s="9" t="s">
        <v>85</v>
      </c>
      <c r="BG38" s="6"/>
      <c r="BH38" s="6" t="str">
        <f t="shared" si="1"/>
        <v>5B_One_Acc</v>
      </c>
      <c r="BI38" s="6" t="str">
        <f t="shared" si="2"/>
        <v>8BN_One_Acc</v>
      </c>
      <c r="BJ38" s="6" t="str">
        <f t="shared" si="3"/>
        <v>5VB_One_Acc</v>
      </c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</row>
    <row r="39" ht="15.75" customHeight="1">
      <c r="A39" s="1" t="s">
        <v>133</v>
      </c>
      <c r="B39" s="9" t="s">
        <v>85</v>
      </c>
      <c r="C39" s="9" t="s">
        <v>85</v>
      </c>
      <c r="D39" s="9">
        <v>0.974684</v>
      </c>
      <c r="E39" s="9" t="s">
        <v>85</v>
      </c>
      <c r="F39" s="9" t="s">
        <v>85</v>
      </c>
      <c r="G39" s="9">
        <v>0.474684</v>
      </c>
      <c r="H39" s="9" t="s">
        <v>85</v>
      </c>
      <c r="I39" s="9" t="s">
        <v>85</v>
      </c>
      <c r="J39" s="9">
        <v>0.962025</v>
      </c>
      <c r="K39" s="9" t="s">
        <v>85</v>
      </c>
      <c r="L39" s="9" t="s">
        <v>85</v>
      </c>
      <c r="M39" s="9">
        <v>0.977848</v>
      </c>
      <c r="N39" s="9" t="s">
        <v>85</v>
      </c>
      <c r="O39" s="9" t="s">
        <v>85</v>
      </c>
      <c r="P39" s="9">
        <v>0.974684</v>
      </c>
      <c r="Q39" s="9" t="s">
        <v>85</v>
      </c>
      <c r="R39" s="9" t="s">
        <v>85</v>
      </c>
      <c r="S39" s="9">
        <v>0.977848</v>
      </c>
      <c r="T39" s="9" t="s">
        <v>85</v>
      </c>
      <c r="U39" s="9" t="s">
        <v>85</v>
      </c>
      <c r="V39" s="9">
        <v>0.968354</v>
      </c>
      <c r="W39" s="9" t="s">
        <v>85</v>
      </c>
      <c r="X39" s="9" t="s">
        <v>85</v>
      </c>
      <c r="Y39" s="9">
        <v>0.962025</v>
      </c>
      <c r="Z39" s="10" t="s">
        <v>85</v>
      </c>
      <c r="AA39" s="10" t="s">
        <v>85</v>
      </c>
      <c r="AB39" s="9">
        <v>0.981013</v>
      </c>
      <c r="AC39" s="9" t="s">
        <v>85</v>
      </c>
      <c r="AD39" s="9" t="s">
        <v>85</v>
      </c>
      <c r="AE39" s="9">
        <v>0.984177</v>
      </c>
      <c r="AF39" s="9" t="s">
        <v>85</v>
      </c>
      <c r="AG39" s="9" t="s">
        <v>85</v>
      </c>
      <c r="AH39" s="9">
        <v>0.987342</v>
      </c>
      <c r="AI39" s="9" t="s">
        <v>85</v>
      </c>
      <c r="AJ39" s="9" t="s">
        <v>85</v>
      </c>
      <c r="AK39" s="9">
        <v>0.984177</v>
      </c>
      <c r="AL39" s="9" t="s">
        <v>85</v>
      </c>
      <c r="AM39" s="9" t="s">
        <v>85</v>
      </c>
      <c r="AN39" s="9">
        <v>0.974684</v>
      </c>
      <c r="AO39" s="9" t="s">
        <v>85</v>
      </c>
      <c r="AP39" s="9" t="s">
        <v>85</v>
      </c>
      <c r="AQ39" s="9">
        <v>0.971519</v>
      </c>
      <c r="AR39" s="9" t="s">
        <v>85</v>
      </c>
      <c r="AS39" s="9" t="s">
        <v>85</v>
      </c>
      <c r="AT39" s="9">
        <v>0.996835</v>
      </c>
      <c r="AU39" s="9" t="s">
        <v>85</v>
      </c>
      <c r="AV39" s="9" t="s">
        <v>85</v>
      </c>
      <c r="AW39" s="9">
        <v>0.993671</v>
      </c>
      <c r="AX39" s="9" t="s">
        <v>85</v>
      </c>
      <c r="AY39" s="9" t="s">
        <v>85</v>
      </c>
      <c r="AZ39" s="9">
        <v>0.977848</v>
      </c>
      <c r="BA39" s="10" t="s">
        <v>85</v>
      </c>
      <c r="BB39" s="10" t="s">
        <v>85</v>
      </c>
      <c r="BC39" s="9">
        <v>0.974684</v>
      </c>
      <c r="BD39" s="10" t="s">
        <v>85</v>
      </c>
      <c r="BE39" s="10" t="s">
        <v>85</v>
      </c>
      <c r="BF39" s="9" t="s">
        <v>85</v>
      </c>
      <c r="BG39" s="6"/>
      <c r="BH39" s="6" t="str">
        <f t="shared" si="1"/>
        <v>12V_One_Acc</v>
      </c>
      <c r="BI39" s="6" t="str">
        <f t="shared" si="2"/>
        <v>12VB_One_Acc</v>
      </c>
      <c r="BJ39" s="6" t="str">
        <f t="shared" si="3"/>
        <v>10V_One_Acc</v>
      </c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</row>
    <row r="40" ht="15.75" customHeight="1">
      <c r="A40" s="1" t="s">
        <v>134</v>
      </c>
      <c r="B40" s="9" t="s">
        <v>85</v>
      </c>
      <c r="C40" s="9" t="s">
        <v>85</v>
      </c>
      <c r="D40" s="9">
        <v>0.961905</v>
      </c>
      <c r="E40" s="9" t="s">
        <v>85</v>
      </c>
      <c r="F40" s="9" t="s">
        <v>85</v>
      </c>
      <c r="G40" s="9">
        <v>0.52381</v>
      </c>
      <c r="H40" s="9" t="s">
        <v>85</v>
      </c>
      <c r="I40" s="9" t="s">
        <v>85</v>
      </c>
      <c r="J40" s="9">
        <v>0.942857</v>
      </c>
      <c r="K40" s="9" t="s">
        <v>85</v>
      </c>
      <c r="L40" s="9" t="s">
        <v>85</v>
      </c>
      <c r="M40" s="9">
        <v>0.942857</v>
      </c>
      <c r="N40" s="9" t="s">
        <v>85</v>
      </c>
      <c r="O40" s="9" t="s">
        <v>85</v>
      </c>
      <c r="P40" s="9">
        <v>0.939683</v>
      </c>
      <c r="Q40" s="9" t="s">
        <v>85</v>
      </c>
      <c r="R40" s="9" t="s">
        <v>85</v>
      </c>
      <c r="S40" s="9">
        <v>0.933333</v>
      </c>
      <c r="T40" s="9" t="s">
        <v>85</v>
      </c>
      <c r="U40" s="9" t="s">
        <v>85</v>
      </c>
      <c r="V40" s="9">
        <v>0.95873</v>
      </c>
      <c r="W40" s="9" t="s">
        <v>85</v>
      </c>
      <c r="X40" s="9" t="s">
        <v>85</v>
      </c>
      <c r="Y40" s="9">
        <v>0.942857</v>
      </c>
      <c r="Z40" s="10" t="s">
        <v>85</v>
      </c>
      <c r="AA40" s="10" t="s">
        <v>85</v>
      </c>
      <c r="AB40" s="9">
        <v>0.952381</v>
      </c>
      <c r="AC40" s="9" t="s">
        <v>85</v>
      </c>
      <c r="AD40" s="9" t="s">
        <v>85</v>
      </c>
      <c r="AE40" s="9">
        <v>0.949206</v>
      </c>
      <c r="AF40" s="9" t="s">
        <v>85</v>
      </c>
      <c r="AG40" s="9" t="s">
        <v>85</v>
      </c>
      <c r="AH40" s="9">
        <v>0.911111</v>
      </c>
      <c r="AI40" s="9" t="s">
        <v>85</v>
      </c>
      <c r="AJ40" s="9" t="s">
        <v>85</v>
      </c>
      <c r="AK40" s="9">
        <v>0.914286</v>
      </c>
      <c r="AL40" s="9" t="s">
        <v>85</v>
      </c>
      <c r="AM40" s="9" t="s">
        <v>85</v>
      </c>
      <c r="AN40" s="9">
        <v>0.946032</v>
      </c>
      <c r="AO40" s="9" t="s">
        <v>85</v>
      </c>
      <c r="AP40" s="9" t="s">
        <v>85</v>
      </c>
      <c r="AQ40" s="9">
        <v>0.955556</v>
      </c>
      <c r="AR40" s="9" t="s">
        <v>85</v>
      </c>
      <c r="AS40" s="9" t="s">
        <v>85</v>
      </c>
      <c r="AT40" s="9">
        <v>0.91746</v>
      </c>
      <c r="AU40" s="9" t="s">
        <v>85</v>
      </c>
      <c r="AV40" s="9" t="s">
        <v>85</v>
      </c>
      <c r="AW40" s="9">
        <v>0.920635</v>
      </c>
      <c r="AX40" s="9" t="s">
        <v>85</v>
      </c>
      <c r="AY40" s="9" t="s">
        <v>85</v>
      </c>
      <c r="AZ40" s="9">
        <v>0.952381</v>
      </c>
      <c r="BA40" s="10" t="s">
        <v>85</v>
      </c>
      <c r="BB40" s="10" t="s">
        <v>85</v>
      </c>
      <c r="BC40" s="9">
        <v>0.911111</v>
      </c>
      <c r="BD40" s="10" t="s">
        <v>85</v>
      </c>
      <c r="BE40" s="10" t="s">
        <v>85</v>
      </c>
      <c r="BF40" s="9" t="s">
        <v>85</v>
      </c>
      <c r="BG40" s="6"/>
      <c r="BH40" s="6" t="str">
        <f t="shared" si="1"/>
        <v>5B_One_Acc</v>
      </c>
      <c r="BI40" s="6" t="str">
        <f t="shared" si="2"/>
        <v>8V_One_Acc</v>
      </c>
      <c r="BJ40" s="6" t="str">
        <f t="shared" si="3"/>
        <v>12BN_One_Acc</v>
      </c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</row>
    <row r="41" ht="15.75" customHeight="1">
      <c r="A41" s="1" t="s">
        <v>135</v>
      </c>
      <c r="B41" s="9" t="s">
        <v>85</v>
      </c>
      <c r="C41" s="9" t="s">
        <v>85</v>
      </c>
      <c r="D41" s="9">
        <v>0.504762</v>
      </c>
      <c r="E41" s="9" t="s">
        <v>85</v>
      </c>
      <c r="F41" s="9" t="s">
        <v>85</v>
      </c>
      <c r="G41" s="9">
        <v>0.52381</v>
      </c>
      <c r="H41" s="9" t="s">
        <v>85</v>
      </c>
      <c r="I41" s="9" t="s">
        <v>85</v>
      </c>
      <c r="J41" s="9">
        <v>0.52381</v>
      </c>
      <c r="K41" s="9" t="s">
        <v>85</v>
      </c>
      <c r="L41" s="9" t="s">
        <v>85</v>
      </c>
      <c r="M41" s="9">
        <v>0.495238</v>
      </c>
      <c r="N41" s="9" t="s">
        <v>85</v>
      </c>
      <c r="O41" s="9" t="s">
        <v>85</v>
      </c>
      <c r="P41" s="9">
        <v>0.552381</v>
      </c>
      <c r="Q41" s="9" t="s">
        <v>85</v>
      </c>
      <c r="R41" s="9" t="s">
        <v>85</v>
      </c>
      <c r="S41" s="9">
        <v>0.542857</v>
      </c>
      <c r="T41" s="9" t="s">
        <v>85</v>
      </c>
      <c r="U41" s="9" t="s">
        <v>85</v>
      </c>
      <c r="V41" s="9">
        <v>0.561905</v>
      </c>
      <c r="W41" s="9" t="s">
        <v>85</v>
      </c>
      <c r="X41" s="9" t="s">
        <v>85</v>
      </c>
      <c r="Y41" s="9">
        <v>0.52381</v>
      </c>
      <c r="Z41" s="10" t="s">
        <v>85</v>
      </c>
      <c r="AA41" s="10" t="s">
        <v>85</v>
      </c>
      <c r="AB41" s="9">
        <v>0.552381</v>
      </c>
      <c r="AC41" s="9" t="s">
        <v>85</v>
      </c>
      <c r="AD41" s="9" t="s">
        <v>85</v>
      </c>
      <c r="AE41" s="9">
        <v>0.571429</v>
      </c>
      <c r="AF41" s="9" t="s">
        <v>85</v>
      </c>
      <c r="AG41" s="9" t="s">
        <v>85</v>
      </c>
      <c r="AH41" s="9">
        <v>0.6</v>
      </c>
      <c r="AI41" s="9" t="s">
        <v>85</v>
      </c>
      <c r="AJ41" s="9" t="s">
        <v>85</v>
      </c>
      <c r="AK41" s="9">
        <v>0.628571</v>
      </c>
      <c r="AL41" s="9" t="s">
        <v>85</v>
      </c>
      <c r="AM41" s="9" t="s">
        <v>85</v>
      </c>
      <c r="AN41" s="9">
        <v>0.590476</v>
      </c>
      <c r="AO41" s="9" t="s">
        <v>85</v>
      </c>
      <c r="AP41" s="9" t="s">
        <v>85</v>
      </c>
      <c r="AQ41" s="9">
        <v>0.542857</v>
      </c>
      <c r="AR41" s="9" t="s">
        <v>85</v>
      </c>
      <c r="AS41" s="9" t="s">
        <v>85</v>
      </c>
      <c r="AT41" s="9">
        <v>0.638095</v>
      </c>
      <c r="AU41" s="9" t="s">
        <v>85</v>
      </c>
      <c r="AV41" s="9" t="s">
        <v>85</v>
      </c>
      <c r="AW41" s="9">
        <v>0.619048</v>
      </c>
      <c r="AX41" s="9" t="s">
        <v>85</v>
      </c>
      <c r="AY41" s="9" t="s">
        <v>85</v>
      </c>
      <c r="AZ41" s="9">
        <v>0.609524</v>
      </c>
      <c r="BA41" s="10" t="s">
        <v>85</v>
      </c>
      <c r="BB41" s="10" t="s">
        <v>85</v>
      </c>
      <c r="BC41" s="9">
        <v>0.6</v>
      </c>
      <c r="BD41" s="10" t="s">
        <v>85</v>
      </c>
      <c r="BE41" s="10" t="s">
        <v>85</v>
      </c>
      <c r="BF41" s="9" t="s">
        <v>85</v>
      </c>
      <c r="BG41" s="6"/>
      <c r="BH41" s="6" t="str">
        <f t="shared" si="1"/>
        <v>12V_One_Acc</v>
      </c>
      <c r="BI41" s="6" t="str">
        <f t="shared" si="2"/>
        <v>10VB_One_Acc</v>
      </c>
      <c r="BJ41" s="6" t="str">
        <f t="shared" si="3"/>
        <v>12VB_One_Acc</v>
      </c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</row>
    <row r="42" ht="15.75" customHeight="1">
      <c r="A42" s="1" t="s">
        <v>136</v>
      </c>
      <c r="B42" s="9" t="s">
        <v>85</v>
      </c>
      <c r="C42" s="9" t="s">
        <v>85</v>
      </c>
      <c r="D42" s="9">
        <v>0.37013</v>
      </c>
      <c r="E42" s="9" t="s">
        <v>85</v>
      </c>
      <c r="F42" s="9" t="s">
        <v>85</v>
      </c>
      <c r="G42" s="9">
        <v>0.191558</v>
      </c>
      <c r="H42" s="9" t="s">
        <v>85</v>
      </c>
      <c r="I42" s="9" t="s">
        <v>85</v>
      </c>
      <c r="J42" s="9">
        <v>0.409091</v>
      </c>
      <c r="K42" s="9" t="s">
        <v>85</v>
      </c>
      <c r="L42" s="9" t="s">
        <v>85</v>
      </c>
      <c r="M42" s="9">
        <v>0.246753</v>
      </c>
      <c r="N42" s="9" t="s">
        <v>85</v>
      </c>
      <c r="O42" s="9" t="s">
        <v>85</v>
      </c>
      <c r="P42" s="9">
        <v>0.418831</v>
      </c>
      <c r="Q42" s="9" t="s">
        <v>85</v>
      </c>
      <c r="R42" s="9" t="s">
        <v>85</v>
      </c>
      <c r="S42" s="9">
        <v>0.405844</v>
      </c>
      <c r="T42" s="9" t="s">
        <v>85</v>
      </c>
      <c r="U42" s="9" t="s">
        <v>85</v>
      </c>
      <c r="V42" s="9">
        <v>0.435065</v>
      </c>
      <c r="W42" s="9" t="s">
        <v>85</v>
      </c>
      <c r="X42" s="9" t="s">
        <v>85</v>
      </c>
      <c r="Y42" s="9">
        <v>0.425325</v>
      </c>
      <c r="Z42" s="10" t="s">
        <v>85</v>
      </c>
      <c r="AA42" s="10" t="s">
        <v>85</v>
      </c>
      <c r="AB42" s="9">
        <v>0.402597</v>
      </c>
      <c r="AC42" s="9" t="s">
        <v>85</v>
      </c>
      <c r="AD42" s="9" t="s">
        <v>85</v>
      </c>
      <c r="AE42" s="9">
        <v>0.422078</v>
      </c>
      <c r="AF42" s="9" t="s">
        <v>85</v>
      </c>
      <c r="AG42" s="9" t="s">
        <v>85</v>
      </c>
      <c r="AH42" s="9">
        <v>0.461039</v>
      </c>
      <c r="AI42" s="9" t="s">
        <v>85</v>
      </c>
      <c r="AJ42" s="9" t="s">
        <v>85</v>
      </c>
      <c r="AK42" s="9">
        <v>0.399351</v>
      </c>
      <c r="AL42" s="9" t="s">
        <v>85</v>
      </c>
      <c r="AM42" s="9" t="s">
        <v>85</v>
      </c>
      <c r="AN42" s="9">
        <v>0.409091</v>
      </c>
      <c r="AO42" s="9" t="s">
        <v>85</v>
      </c>
      <c r="AP42" s="9" t="s">
        <v>85</v>
      </c>
      <c r="AQ42" s="9">
        <v>0.412338</v>
      </c>
      <c r="AR42" s="9" t="s">
        <v>85</v>
      </c>
      <c r="AS42" s="9" t="s">
        <v>85</v>
      </c>
      <c r="AT42" s="9">
        <v>0.467532</v>
      </c>
      <c r="AU42" s="9" t="s">
        <v>85</v>
      </c>
      <c r="AV42" s="9" t="s">
        <v>85</v>
      </c>
      <c r="AW42" s="9">
        <v>0.337662</v>
      </c>
      <c r="AX42" s="9" t="s">
        <v>85</v>
      </c>
      <c r="AY42" s="9" t="s">
        <v>85</v>
      </c>
      <c r="AZ42" s="9">
        <v>0.431818</v>
      </c>
      <c r="BA42" s="10" t="s">
        <v>85</v>
      </c>
      <c r="BB42" s="10" t="s">
        <v>85</v>
      </c>
      <c r="BC42" s="9">
        <v>0.438312</v>
      </c>
      <c r="BD42" s="10" t="s">
        <v>85</v>
      </c>
      <c r="BE42" s="10" t="s">
        <v>85</v>
      </c>
      <c r="BF42" s="9" t="s">
        <v>85</v>
      </c>
      <c r="BG42" s="6"/>
      <c r="BH42" s="6" t="str">
        <f t="shared" si="1"/>
        <v>12V_One_Acc</v>
      </c>
      <c r="BI42" s="6" t="str">
        <f t="shared" si="2"/>
        <v>10V_One_Acc</v>
      </c>
      <c r="BJ42" s="6" t="str">
        <f t="shared" si="3"/>
        <v>20V_One_Acc</v>
      </c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</row>
    <row r="43" ht="15.75" customHeight="1">
      <c r="A43" s="1" t="s">
        <v>137</v>
      </c>
      <c r="B43" s="9" t="s">
        <v>85</v>
      </c>
      <c r="C43" s="9" t="s">
        <v>85</v>
      </c>
      <c r="D43" s="9">
        <v>0.5625</v>
      </c>
      <c r="E43" s="9" t="s">
        <v>85</v>
      </c>
      <c r="F43" s="9" t="s">
        <v>85</v>
      </c>
      <c r="G43" s="9">
        <v>0.59375</v>
      </c>
      <c r="H43" s="9" t="s">
        <v>85</v>
      </c>
      <c r="I43" s="9" t="s">
        <v>85</v>
      </c>
      <c r="J43" s="9">
        <v>0.484375</v>
      </c>
      <c r="K43" s="9" t="s">
        <v>85</v>
      </c>
      <c r="L43" s="9" t="s">
        <v>85</v>
      </c>
      <c r="M43" s="9">
        <v>0.578125</v>
      </c>
      <c r="N43" s="9" t="s">
        <v>85</v>
      </c>
      <c r="O43" s="9" t="s">
        <v>85</v>
      </c>
      <c r="P43" s="9">
        <v>0.484375</v>
      </c>
      <c r="Q43" s="9" t="s">
        <v>85</v>
      </c>
      <c r="R43" s="9" t="s">
        <v>85</v>
      </c>
      <c r="S43" s="9">
        <v>0.4375</v>
      </c>
      <c r="T43" s="9" t="s">
        <v>85</v>
      </c>
      <c r="U43" s="9" t="s">
        <v>85</v>
      </c>
      <c r="V43" s="9">
        <v>0.5625</v>
      </c>
      <c r="W43" s="9" t="s">
        <v>85</v>
      </c>
      <c r="X43" s="9" t="s">
        <v>85</v>
      </c>
      <c r="Y43" s="9">
        <v>0.484375</v>
      </c>
      <c r="Z43" s="10" t="s">
        <v>85</v>
      </c>
      <c r="AA43" s="10" t="s">
        <v>85</v>
      </c>
      <c r="AB43" s="9">
        <v>0.578125</v>
      </c>
      <c r="AC43" s="9" t="s">
        <v>85</v>
      </c>
      <c r="AD43" s="9" t="s">
        <v>85</v>
      </c>
      <c r="AE43" s="9">
        <v>0.5625</v>
      </c>
      <c r="AF43" s="9" t="s">
        <v>85</v>
      </c>
      <c r="AG43" s="9" t="s">
        <v>85</v>
      </c>
      <c r="AH43" s="9">
        <v>0.5625</v>
      </c>
      <c r="AI43" s="9" t="s">
        <v>85</v>
      </c>
      <c r="AJ43" s="9" t="s">
        <v>85</v>
      </c>
      <c r="AK43" s="9">
        <v>0.609375</v>
      </c>
      <c r="AL43" s="9" t="s">
        <v>85</v>
      </c>
      <c r="AM43" s="9" t="s">
        <v>85</v>
      </c>
      <c r="AN43" s="9">
        <v>0.484375</v>
      </c>
      <c r="AO43" s="9" t="s">
        <v>85</v>
      </c>
      <c r="AP43" s="9" t="s">
        <v>85</v>
      </c>
      <c r="AQ43" s="9">
        <v>0.484375</v>
      </c>
      <c r="AR43" s="9" t="s">
        <v>85</v>
      </c>
      <c r="AS43" s="9" t="s">
        <v>85</v>
      </c>
      <c r="AT43" s="9">
        <v>0.59375</v>
      </c>
      <c r="AU43" s="9" t="s">
        <v>85</v>
      </c>
      <c r="AV43" s="9" t="s">
        <v>85</v>
      </c>
      <c r="AW43" s="9">
        <v>0.625</v>
      </c>
      <c r="AX43" s="9" t="s">
        <v>85</v>
      </c>
      <c r="AY43" s="9" t="s">
        <v>85</v>
      </c>
      <c r="AZ43" s="9">
        <v>0.484375</v>
      </c>
      <c r="BA43" s="10" t="s">
        <v>85</v>
      </c>
      <c r="BB43" s="10" t="s">
        <v>85</v>
      </c>
      <c r="BC43" s="9">
        <v>0.59375</v>
      </c>
      <c r="BD43" s="10" t="s">
        <v>85</v>
      </c>
      <c r="BE43" s="10" t="s">
        <v>85</v>
      </c>
      <c r="BF43" s="9" t="s">
        <v>85</v>
      </c>
      <c r="BG43" s="6"/>
      <c r="BH43" s="6" t="str">
        <f t="shared" si="1"/>
        <v>12VB_One_Acc</v>
      </c>
      <c r="BI43" s="6" t="str">
        <f t="shared" si="2"/>
        <v>10VB_One_Acc</v>
      </c>
      <c r="BJ43" s="6" t="str">
        <f t="shared" si="3"/>
        <v>5BN_One_Acc</v>
      </c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</row>
    <row r="44" ht="15.75" customHeight="1">
      <c r="A44" s="1" t="s">
        <v>138</v>
      </c>
      <c r="B44" s="9" t="s">
        <v>85</v>
      </c>
      <c r="C44" s="9" t="s">
        <v>85</v>
      </c>
      <c r="D44" s="9">
        <v>0.798319</v>
      </c>
      <c r="E44" s="9" t="s">
        <v>85</v>
      </c>
      <c r="F44" s="9" t="s">
        <v>85</v>
      </c>
      <c r="G44" s="9">
        <v>0.428571</v>
      </c>
      <c r="H44" s="9" t="s">
        <v>85</v>
      </c>
      <c r="I44" s="9" t="s">
        <v>85</v>
      </c>
      <c r="J44" s="9">
        <v>0.731092</v>
      </c>
      <c r="K44" s="9" t="s">
        <v>85</v>
      </c>
      <c r="L44" s="9" t="s">
        <v>85</v>
      </c>
      <c r="M44" s="9">
        <v>0.773109</v>
      </c>
      <c r="N44" s="9" t="s">
        <v>85</v>
      </c>
      <c r="O44" s="9" t="s">
        <v>85</v>
      </c>
      <c r="P44" s="9">
        <v>0.84874</v>
      </c>
      <c r="Q44" s="9" t="s">
        <v>85</v>
      </c>
      <c r="R44" s="9" t="s">
        <v>85</v>
      </c>
      <c r="S44" s="9">
        <v>0.831933</v>
      </c>
      <c r="T44" s="9" t="s">
        <v>85</v>
      </c>
      <c r="U44" s="9" t="s">
        <v>85</v>
      </c>
      <c r="V44" s="9">
        <v>0.747899</v>
      </c>
      <c r="W44" s="9" t="s">
        <v>85</v>
      </c>
      <c r="X44" s="9" t="s">
        <v>85</v>
      </c>
      <c r="Y44" s="9">
        <v>0.756303</v>
      </c>
      <c r="Z44" s="10" t="s">
        <v>85</v>
      </c>
      <c r="AA44" s="10" t="s">
        <v>85</v>
      </c>
      <c r="AB44" s="9">
        <v>0.84874</v>
      </c>
      <c r="AC44" s="9" t="s">
        <v>85</v>
      </c>
      <c r="AD44" s="9" t="s">
        <v>85</v>
      </c>
      <c r="AE44" s="9">
        <v>0.865546</v>
      </c>
      <c r="AF44" s="9" t="s">
        <v>85</v>
      </c>
      <c r="AG44" s="9" t="s">
        <v>85</v>
      </c>
      <c r="AH44" s="9">
        <v>0.697479</v>
      </c>
      <c r="AI44" s="9" t="s">
        <v>85</v>
      </c>
      <c r="AJ44" s="9" t="s">
        <v>85</v>
      </c>
      <c r="AK44" s="9">
        <v>0.731092</v>
      </c>
      <c r="AL44" s="9" t="s">
        <v>85</v>
      </c>
      <c r="AM44" s="9" t="s">
        <v>85</v>
      </c>
      <c r="AN44" s="9">
        <v>0.89916</v>
      </c>
      <c r="AO44" s="9" t="s">
        <v>85</v>
      </c>
      <c r="AP44" s="9" t="s">
        <v>85</v>
      </c>
      <c r="AQ44" s="9">
        <v>0.890756</v>
      </c>
      <c r="AR44" s="9" t="s">
        <v>85</v>
      </c>
      <c r="AS44" s="9" t="s">
        <v>85</v>
      </c>
      <c r="AT44" s="9">
        <v>0.705882</v>
      </c>
      <c r="AU44" s="9" t="s">
        <v>85</v>
      </c>
      <c r="AV44" s="9" t="s">
        <v>85</v>
      </c>
      <c r="AW44" s="9">
        <v>0.781513</v>
      </c>
      <c r="AX44" s="9" t="s">
        <v>85</v>
      </c>
      <c r="AY44" s="9" t="s">
        <v>85</v>
      </c>
      <c r="AZ44" s="9">
        <v>0.882353</v>
      </c>
      <c r="BA44" s="10" t="s">
        <v>85</v>
      </c>
      <c r="BB44" s="10" t="s">
        <v>85</v>
      </c>
      <c r="BC44" s="9">
        <v>0.781513</v>
      </c>
      <c r="BD44" s="10" t="s">
        <v>85</v>
      </c>
      <c r="BE44" s="10" t="s">
        <v>85</v>
      </c>
      <c r="BF44" s="9" t="s">
        <v>85</v>
      </c>
      <c r="BG44" s="6"/>
      <c r="BH44" s="6" t="str">
        <f t="shared" si="1"/>
        <v>12B_One_Acc</v>
      </c>
      <c r="BI44" s="6" t="str">
        <f t="shared" si="2"/>
        <v>12BN_One_Acc</v>
      </c>
      <c r="BJ44" s="6" t="str">
        <f t="shared" si="3"/>
        <v>20B_One_Acc</v>
      </c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</row>
    <row r="45" ht="15.75" customHeight="1">
      <c r="A45" s="1" t="s">
        <v>139</v>
      </c>
      <c r="B45" s="9" t="s">
        <v>85</v>
      </c>
      <c r="C45" s="9" t="s">
        <v>85</v>
      </c>
      <c r="D45" s="9">
        <v>0.325455</v>
      </c>
      <c r="E45" s="9" t="s">
        <v>85</v>
      </c>
      <c r="F45" s="9" t="s">
        <v>85</v>
      </c>
      <c r="G45" s="9">
        <v>0.183636</v>
      </c>
      <c r="H45" s="9" t="s">
        <v>85</v>
      </c>
      <c r="I45" s="9" t="s">
        <v>85</v>
      </c>
      <c r="J45" s="9">
        <v>0.261818</v>
      </c>
      <c r="K45" s="9" t="s">
        <v>85</v>
      </c>
      <c r="L45" s="9" t="s">
        <v>85</v>
      </c>
      <c r="M45" s="9">
        <v>0.321818</v>
      </c>
      <c r="N45" s="9" t="s">
        <v>85</v>
      </c>
      <c r="O45" s="9" t="s">
        <v>85</v>
      </c>
      <c r="P45" s="9">
        <v>0.321818</v>
      </c>
      <c r="Q45" s="9" t="s">
        <v>85</v>
      </c>
      <c r="R45" s="9" t="s">
        <v>85</v>
      </c>
      <c r="S45" s="9">
        <v>0.318182</v>
      </c>
      <c r="T45" s="9" t="s">
        <v>85</v>
      </c>
      <c r="U45" s="9" t="s">
        <v>85</v>
      </c>
      <c r="V45" s="9">
        <v>0.24</v>
      </c>
      <c r="W45" s="9" t="s">
        <v>85</v>
      </c>
      <c r="X45" s="9" t="s">
        <v>85</v>
      </c>
      <c r="Y45" s="9">
        <v>0.3</v>
      </c>
      <c r="Z45" s="10" t="s">
        <v>85</v>
      </c>
      <c r="AA45" s="10" t="s">
        <v>85</v>
      </c>
      <c r="AB45" s="9">
        <v>0.272727</v>
      </c>
      <c r="AC45" s="9" t="s">
        <v>85</v>
      </c>
      <c r="AD45" s="9" t="s">
        <v>85</v>
      </c>
      <c r="AE45" s="9">
        <v>0.272727</v>
      </c>
      <c r="AF45" s="9" t="s">
        <v>85</v>
      </c>
      <c r="AG45" s="9" t="s">
        <v>85</v>
      </c>
      <c r="AH45" s="9">
        <v>0.258182</v>
      </c>
      <c r="AI45" s="9" t="s">
        <v>85</v>
      </c>
      <c r="AJ45" s="9" t="s">
        <v>85</v>
      </c>
      <c r="AK45" s="9">
        <v>0.232727</v>
      </c>
      <c r="AL45" s="9" t="s">
        <v>85</v>
      </c>
      <c r="AM45" s="9" t="s">
        <v>85</v>
      </c>
      <c r="AN45" s="9">
        <v>0.327273</v>
      </c>
      <c r="AO45" s="9" t="s">
        <v>85</v>
      </c>
      <c r="AP45" s="9" t="s">
        <v>85</v>
      </c>
      <c r="AQ45" s="9">
        <v>0.3</v>
      </c>
      <c r="AR45" s="9" t="s">
        <v>85</v>
      </c>
      <c r="AS45" s="9" t="s">
        <v>85</v>
      </c>
      <c r="AT45" s="9">
        <v>0.249091</v>
      </c>
      <c r="AU45" s="9" t="s">
        <v>85</v>
      </c>
      <c r="AV45" s="9" t="s">
        <v>85</v>
      </c>
      <c r="AW45" s="9">
        <v>0.263636</v>
      </c>
      <c r="AX45" s="9" t="s">
        <v>85</v>
      </c>
      <c r="AY45" s="9" t="s">
        <v>85</v>
      </c>
      <c r="AZ45" s="9">
        <v>0.314545</v>
      </c>
      <c r="BA45" s="10" t="s">
        <v>85</v>
      </c>
      <c r="BB45" s="10" t="s">
        <v>85</v>
      </c>
      <c r="BC45" s="9">
        <v>0.296364</v>
      </c>
      <c r="BD45" s="10" t="s">
        <v>85</v>
      </c>
      <c r="BE45" s="10" t="s">
        <v>85</v>
      </c>
      <c r="BF45" s="9" t="s">
        <v>85</v>
      </c>
      <c r="BG45" s="6"/>
      <c r="BH45" s="6" t="str">
        <f t="shared" si="1"/>
        <v>12B_One_Acc</v>
      </c>
      <c r="BI45" s="6" t="str">
        <f t="shared" si="2"/>
        <v>5B_One_Acc</v>
      </c>
      <c r="BJ45" s="6" t="str">
        <f t="shared" si="3"/>
        <v>5VB_One_Acc</v>
      </c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</row>
    <row r="46" ht="15.75" customHeight="1">
      <c r="A46" s="1" t="s">
        <v>140</v>
      </c>
      <c r="B46" s="9" t="s">
        <v>85</v>
      </c>
      <c r="C46" s="9" t="s">
        <v>85</v>
      </c>
      <c r="D46" s="9">
        <v>0.823293</v>
      </c>
      <c r="E46" s="9" t="s">
        <v>85</v>
      </c>
      <c r="F46" s="9" t="s">
        <v>85</v>
      </c>
      <c r="G46" s="9">
        <v>0.473896</v>
      </c>
      <c r="H46" s="9" t="s">
        <v>85</v>
      </c>
      <c r="I46" s="9" t="s">
        <v>85</v>
      </c>
      <c r="J46" s="9">
        <v>0.807229</v>
      </c>
      <c r="K46" s="9" t="s">
        <v>85</v>
      </c>
      <c r="L46" s="9" t="s">
        <v>85</v>
      </c>
      <c r="M46" s="9">
        <v>0.791165</v>
      </c>
      <c r="N46" s="9" t="s">
        <v>85</v>
      </c>
      <c r="O46" s="9" t="s">
        <v>85</v>
      </c>
      <c r="P46" s="9">
        <v>0.815261</v>
      </c>
      <c r="Q46" s="9" t="s">
        <v>85</v>
      </c>
      <c r="R46" s="9" t="s">
        <v>85</v>
      </c>
      <c r="S46" s="9">
        <v>0.839357</v>
      </c>
      <c r="T46" s="9" t="s">
        <v>85</v>
      </c>
      <c r="U46" s="9" t="s">
        <v>85</v>
      </c>
      <c r="V46" s="9">
        <v>0.823293</v>
      </c>
      <c r="W46" s="9" t="s">
        <v>85</v>
      </c>
      <c r="X46" s="9" t="s">
        <v>85</v>
      </c>
      <c r="Y46" s="9">
        <v>0.823293</v>
      </c>
      <c r="Z46" s="10" t="s">
        <v>85</v>
      </c>
      <c r="AA46" s="10" t="s">
        <v>85</v>
      </c>
      <c r="AB46" s="9">
        <v>0.819277</v>
      </c>
      <c r="AC46" s="9" t="s">
        <v>85</v>
      </c>
      <c r="AD46" s="9" t="s">
        <v>85</v>
      </c>
      <c r="AE46" s="9">
        <v>0.807229</v>
      </c>
      <c r="AF46" s="9" t="s">
        <v>85</v>
      </c>
      <c r="AG46" s="9" t="s">
        <v>85</v>
      </c>
      <c r="AH46" s="9">
        <v>0.807229</v>
      </c>
      <c r="AI46" s="9" t="s">
        <v>85</v>
      </c>
      <c r="AJ46" s="9" t="s">
        <v>85</v>
      </c>
      <c r="AK46" s="9">
        <v>0.819277</v>
      </c>
      <c r="AL46" s="9" t="s">
        <v>85</v>
      </c>
      <c r="AM46" s="9" t="s">
        <v>85</v>
      </c>
      <c r="AN46" s="9">
        <v>0.827309</v>
      </c>
      <c r="AO46" s="9" t="s">
        <v>85</v>
      </c>
      <c r="AP46" s="9" t="s">
        <v>85</v>
      </c>
      <c r="AQ46" s="9">
        <v>0.827309</v>
      </c>
      <c r="AR46" s="9" t="s">
        <v>85</v>
      </c>
      <c r="AS46" s="9" t="s">
        <v>85</v>
      </c>
      <c r="AT46" s="9">
        <v>0.815261</v>
      </c>
      <c r="AU46" s="9" t="s">
        <v>85</v>
      </c>
      <c r="AV46" s="9" t="s">
        <v>85</v>
      </c>
      <c r="AW46" s="9">
        <v>0.811245</v>
      </c>
      <c r="AX46" s="9" t="s">
        <v>85</v>
      </c>
      <c r="AY46" s="9" t="s">
        <v>85</v>
      </c>
      <c r="AZ46" s="9">
        <v>0.819277</v>
      </c>
      <c r="BA46" s="10" t="s">
        <v>85</v>
      </c>
      <c r="BB46" s="10" t="s">
        <v>85</v>
      </c>
      <c r="BC46" s="9">
        <v>0.843373</v>
      </c>
      <c r="BD46" s="10" t="s">
        <v>85</v>
      </c>
      <c r="BE46" s="10" t="s">
        <v>85</v>
      </c>
      <c r="BF46" s="9" t="s">
        <v>85</v>
      </c>
      <c r="BG46" s="6"/>
      <c r="BH46" s="6" t="str">
        <f t="shared" si="1"/>
        <v>20V_One_Acc</v>
      </c>
      <c r="BI46" s="6" t="str">
        <f t="shared" si="2"/>
        <v>8BN_One_Acc</v>
      </c>
      <c r="BJ46" s="6" t="str">
        <f t="shared" si="3"/>
        <v>12B_One_Acc</v>
      </c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</row>
    <row r="47" ht="15.75" customHeight="1">
      <c r="A47" s="1" t="s">
        <v>141</v>
      </c>
      <c r="B47" s="9" t="s">
        <v>85</v>
      </c>
      <c r="C47" s="9" t="s">
        <v>85</v>
      </c>
      <c r="D47" s="9">
        <v>0.807229</v>
      </c>
      <c r="E47" s="9" t="s">
        <v>85</v>
      </c>
      <c r="F47" s="9" t="s">
        <v>85</v>
      </c>
      <c r="G47" s="9">
        <v>0.35743</v>
      </c>
      <c r="H47" s="9" t="s">
        <v>85</v>
      </c>
      <c r="I47" s="9" t="s">
        <v>85</v>
      </c>
      <c r="J47" s="9">
        <v>0.767068</v>
      </c>
      <c r="K47" s="9" t="s">
        <v>85</v>
      </c>
      <c r="L47" s="9" t="s">
        <v>85</v>
      </c>
      <c r="M47" s="9">
        <v>0.779116</v>
      </c>
      <c r="N47" s="9" t="s">
        <v>85</v>
      </c>
      <c r="O47" s="9" t="s">
        <v>85</v>
      </c>
      <c r="P47" s="9">
        <v>0.803213</v>
      </c>
      <c r="Q47" s="9" t="s">
        <v>85</v>
      </c>
      <c r="R47" s="9" t="s">
        <v>85</v>
      </c>
      <c r="S47" s="9">
        <v>0.795181</v>
      </c>
      <c r="T47" s="9" t="s">
        <v>85</v>
      </c>
      <c r="U47" s="9" t="s">
        <v>85</v>
      </c>
      <c r="V47" s="9">
        <v>0.787149</v>
      </c>
      <c r="W47" s="9" t="s">
        <v>85</v>
      </c>
      <c r="X47" s="9" t="s">
        <v>85</v>
      </c>
      <c r="Y47" s="9">
        <v>0.783133</v>
      </c>
      <c r="Z47" s="10" t="s">
        <v>85</v>
      </c>
      <c r="AA47" s="10" t="s">
        <v>85</v>
      </c>
      <c r="AB47" s="9">
        <v>0.795181</v>
      </c>
      <c r="AC47" s="9" t="s">
        <v>85</v>
      </c>
      <c r="AD47" s="9" t="s">
        <v>85</v>
      </c>
      <c r="AE47" s="9">
        <v>0.799197</v>
      </c>
      <c r="AF47" s="9" t="s">
        <v>85</v>
      </c>
      <c r="AG47" s="9" t="s">
        <v>85</v>
      </c>
      <c r="AH47" s="9">
        <v>0.783133</v>
      </c>
      <c r="AI47" s="9" t="s">
        <v>85</v>
      </c>
      <c r="AJ47" s="9" t="s">
        <v>85</v>
      </c>
      <c r="AK47" s="9">
        <v>0.783133</v>
      </c>
      <c r="AL47" s="9" t="s">
        <v>85</v>
      </c>
      <c r="AM47" s="9" t="s">
        <v>85</v>
      </c>
      <c r="AN47" s="9">
        <v>0.803213</v>
      </c>
      <c r="AO47" s="9" t="s">
        <v>85</v>
      </c>
      <c r="AP47" s="9" t="s">
        <v>85</v>
      </c>
      <c r="AQ47" s="9">
        <v>0.795181</v>
      </c>
      <c r="AR47" s="9" t="s">
        <v>85</v>
      </c>
      <c r="AS47" s="9" t="s">
        <v>85</v>
      </c>
      <c r="AT47" s="9">
        <v>0.759036</v>
      </c>
      <c r="AU47" s="9" t="s">
        <v>85</v>
      </c>
      <c r="AV47" s="9" t="s">
        <v>85</v>
      </c>
      <c r="AW47" s="9">
        <v>0.7751</v>
      </c>
      <c r="AX47" s="9" t="s">
        <v>85</v>
      </c>
      <c r="AY47" s="9" t="s">
        <v>85</v>
      </c>
      <c r="AZ47" s="9">
        <v>0.795181</v>
      </c>
      <c r="BA47" s="10" t="s">
        <v>85</v>
      </c>
      <c r="BB47" s="10" t="s">
        <v>85</v>
      </c>
      <c r="BC47" s="9">
        <v>0.783133</v>
      </c>
      <c r="BD47" s="10" t="s">
        <v>85</v>
      </c>
      <c r="BE47" s="10" t="s">
        <v>85</v>
      </c>
      <c r="BF47" s="9" t="s">
        <v>85</v>
      </c>
      <c r="BG47" s="6"/>
      <c r="BH47" s="6" t="str">
        <f t="shared" si="1"/>
        <v>5B_One_Acc</v>
      </c>
      <c r="BI47" s="6" t="str">
        <f t="shared" si="2"/>
        <v>8B_One_Acc</v>
      </c>
      <c r="BJ47" s="6" t="str">
        <f t="shared" si="3"/>
        <v>8B_One_Acc</v>
      </c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</row>
    <row r="48" ht="15.75" customHeight="1">
      <c r="A48" s="1" t="s">
        <v>142</v>
      </c>
      <c r="B48" s="9" t="s">
        <v>85</v>
      </c>
      <c r="C48" s="9" t="s">
        <v>85</v>
      </c>
      <c r="D48" s="9">
        <v>0.924198</v>
      </c>
      <c r="E48" s="9" t="s">
        <v>85</v>
      </c>
      <c r="F48" s="9" t="s">
        <v>85</v>
      </c>
      <c r="G48" s="9">
        <v>0.498542</v>
      </c>
      <c r="H48" s="9" t="s">
        <v>85</v>
      </c>
      <c r="I48" s="9" t="s">
        <v>85</v>
      </c>
      <c r="J48" s="9">
        <v>0.849368</v>
      </c>
      <c r="K48" s="9" t="s">
        <v>85</v>
      </c>
      <c r="L48" s="9" t="s">
        <v>85</v>
      </c>
      <c r="M48" s="9">
        <v>0.852284</v>
      </c>
      <c r="N48" s="9" t="s">
        <v>85</v>
      </c>
      <c r="O48" s="9" t="s">
        <v>85</v>
      </c>
      <c r="P48" s="9">
        <v>0.923226</v>
      </c>
      <c r="Q48" s="9" t="s">
        <v>85</v>
      </c>
      <c r="R48" s="9" t="s">
        <v>85</v>
      </c>
      <c r="S48" s="9">
        <v>0.924198</v>
      </c>
      <c r="T48" s="9" t="s">
        <v>85</v>
      </c>
      <c r="U48" s="9" t="s">
        <v>85</v>
      </c>
      <c r="V48" s="9">
        <v>0.940719</v>
      </c>
      <c r="W48" s="9" t="s">
        <v>85</v>
      </c>
      <c r="X48" s="9" t="s">
        <v>85</v>
      </c>
      <c r="Y48" s="9">
        <v>0.949466</v>
      </c>
      <c r="Z48" s="10" t="s">
        <v>85</v>
      </c>
      <c r="AA48" s="10" t="s">
        <v>85</v>
      </c>
      <c r="AB48" s="9">
        <v>0.924198</v>
      </c>
      <c r="AC48" s="9" t="s">
        <v>85</v>
      </c>
      <c r="AD48" s="9" t="s">
        <v>85</v>
      </c>
      <c r="AE48" s="9">
        <v>0.926142</v>
      </c>
      <c r="AF48" s="9" t="s">
        <v>85</v>
      </c>
      <c r="AG48" s="9" t="s">
        <v>85</v>
      </c>
      <c r="AH48" s="9">
        <v>0.891156</v>
      </c>
      <c r="AI48" s="9" t="s">
        <v>85</v>
      </c>
      <c r="AJ48" s="9" t="s">
        <v>85</v>
      </c>
      <c r="AK48" s="9">
        <v>0.909621</v>
      </c>
      <c r="AL48" s="9" t="s">
        <v>85</v>
      </c>
      <c r="AM48" s="9" t="s">
        <v>85</v>
      </c>
      <c r="AN48" s="9">
        <v>0.931973</v>
      </c>
      <c r="AO48" s="9" t="s">
        <v>85</v>
      </c>
      <c r="AP48" s="9" t="s">
        <v>85</v>
      </c>
      <c r="AQ48" s="9">
        <v>0.927114</v>
      </c>
      <c r="AR48" s="9" t="s">
        <v>85</v>
      </c>
      <c r="AS48" s="9" t="s">
        <v>85</v>
      </c>
      <c r="AT48" s="9">
        <v>0.8931</v>
      </c>
      <c r="AU48" s="9" t="s">
        <v>85</v>
      </c>
      <c r="AV48" s="9" t="s">
        <v>85</v>
      </c>
      <c r="AW48" s="9">
        <v>0.90379</v>
      </c>
      <c r="AX48" s="9" t="s">
        <v>85</v>
      </c>
      <c r="AY48" s="9" t="s">
        <v>85</v>
      </c>
      <c r="AZ48" s="9">
        <v>0.889213</v>
      </c>
      <c r="BA48" s="10" t="s">
        <v>85</v>
      </c>
      <c r="BB48" s="10" t="s">
        <v>85</v>
      </c>
      <c r="BC48" s="9">
        <v>0.918367</v>
      </c>
      <c r="BD48" s="10" t="s">
        <v>85</v>
      </c>
      <c r="BE48" s="10" t="s">
        <v>85</v>
      </c>
      <c r="BF48" s="9" t="s">
        <v>85</v>
      </c>
      <c r="BG48" s="6"/>
      <c r="BH48" s="6" t="str">
        <f t="shared" si="1"/>
        <v>8VB_One_Acc</v>
      </c>
      <c r="BI48" s="6" t="str">
        <f t="shared" si="2"/>
        <v>8V_One_Acc</v>
      </c>
      <c r="BJ48" s="6" t="str">
        <f t="shared" si="3"/>
        <v>12B_One_Acc</v>
      </c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</row>
    <row r="49" ht="15.75" customHeight="1">
      <c r="A49" s="1" t="s">
        <v>143</v>
      </c>
      <c r="B49" s="9" t="s">
        <v>85</v>
      </c>
      <c r="C49" s="9" t="s">
        <v>85</v>
      </c>
      <c r="D49" s="9">
        <v>0.709333</v>
      </c>
      <c r="E49" s="9" t="s">
        <v>85</v>
      </c>
      <c r="F49" s="9" t="s">
        <v>85</v>
      </c>
      <c r="G49" s="9">
        <v>0.333333</v>
      </c>
      <c r="H49" s="9" t="s">
        <v>85</v>
      </c>
      <c r="I49" s="9" t="s">
        <v>85</v>
      </c>
      <c r="J49" s="9">
        <v>0.592</v>
      </c>
      <c r="K49" s="9" t="s">
        <v>85</v>
      </c>
      <c r="L49" s="9" t="s">
        <v>85</v>
      </c>
      <c r="M49" s="9">
        <v>0.6</v>
      </c>
      <c r="N49" s="9" t="s">
        <v>85</v>
      </c>
      <c r="O49" s="9" t="s">
        <v>85</v>
      </c>
      <c r="P49" s="9">
        <v>0.674667</v>
      </c>
      <c r="Q49" s="9" t="s">
        <v>85</v>
      </c>
      <c r="R49" s="9" t="s">
        <v>85</v>
      </c>
      <c r="S49" s="9">
        <v>0.677333</v>
      </c>
      <c r="T49" s="9" t="s">
        <v>85</v>
      </c>
      <c r="U49" s="9" t="s">
        <v>85</v>
      </c>
      <c r="V49" s="9">
        <v>0.592</v>
      </c>
      <c r="W49" s="9" t="s">
        <v>85</v>
      </c>
      <c r="X49" s="9" t="s">
        <v>85</v>
      </c>
      <c r="Y49" s="9">
        <v>0.613333</v>
      </c>
      <c r="Z49" s="10" t="s">
        <v>85</v>
      </c>
      <c r="AA49" s="10" t="s">
        <v>85</v>
      </c>
      <c r="AB49" s="9">
        <v>0.650667</v>
      </c>
      <c r="AC49" s="9" t="s">
        <v>85</v>
      </c>
      <c r="AD49" s="9" t="s">
        <v>85</v>
      </c>
      <c r="AE49" s="9">
        <v>0.666667</v>
      </c>
      <c r="AF49" s="9" t="s">
        <v>85</v>
      </c>
      <c r="AG49" s="9" t="s">
        <v>85</v>
      </c>
      <c r="AH49" s="9">
        <v>0.616</v>
      </c>
      <c r="AI49" s="9" t="s">
        <v>85</v>
      </c>
      <c r="AJ49" s="9" t="s">
        <v>85</v>
      </c>
      <c r="AK49" s="9">
        <v>0.616</v>
      </c>
      <c r="AL49" s="9" t="s">
        <v>85</v>
      </c>
      <c r="AM49" s="9" t="s">
        <v>85</v>
      </c>
      <c r="AN49" s="9">
        <v>0.685333</v>
      </c>
      <c r="AO49" s="9" t="s">
        <v>85</v>
      </c>
      <c r="AP49" s="9" t="s">
        <v>85</v>
      </c>
      <c r="AQ49" s="9">
        <v>0.685333</v>
      </c>
      <c r="AR49" s="9" t="s">
        <v>85</v>
      </c>
      <c r="AS49" s="9" t="s">
        <v>85</v>
      </c>
      <c r="AT49" s="9">
        <v>0.6</v>
      </c>
      <c r="AU49" s="9" t="s">
        <v>85</v>
      </c>
      <c r="AV49" s="9" t="s">
        <v>85</v>
      </c>
      <c r="AW49" s="9">
        <v>0.637333</v>
      </c>
      <c r="AX49" s="9" t="s">
        <v>85</v>
      </c>
      <c r="AY49" s="9" t="s">
        <v>85</v>
      </c>
      <c r="AZ49" s="9">
        <v>0.634667</v>
      </c>
      <c r="BA49" s="10" t="s">
        <v>85</v>
      </c>
      <c r="BB49" s="10" t="s">
        <v>85</v>
      </c>
      <c r="BC49" s="9">
        <v>0.642667</v>
      </c>
      <c r="BD49" s="10" t="s">
        <v>85</v>
      </c>
      <c r="BE49" s="10" t="s">
        <v>85</v>
      </c>
      <c r="BF49" s="9" t="s">
        <v>85</v>
      </c>
      <c r="BG49" s="6"/>
      <c r="BH49" s="6" t="str">
        <f t="shared" si="1"/>
        <v>5B_One_Acc</v>
      </c>
      <c r="BI49" s="6" t="str">
        <f t="shared" si="2"/>
        <v>12B_One_Acc</v>
      </c>
      <c r="BJ49" s="6" t="str">
        <f t="shared" si="3"/>
        <v>12B_One_Acc</v>
      </c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</row>
    <row r="50" ht="15.75" customHeight="1">
      <c r="A50" s="1" t="s">
        <v>144</v>
      </c>
      <c r="B50" s="9" t="s">
        <v>85</v>
      </c>
      <c r="C50" s="9" t="s">
        <v>85</v>
      </c>
      <c r="D50" s="9">
        <v>0.540984</v>
      </c>
      <c r="E50" s="9" t="s">
        <v>85</v>
      </c>
      <c r="F50" s="9" t="s">
        <v>85</v>
      </c>
      <c r="G50" s="9">
        <v>0.540984</v>
      </c>
      <c r="H50" s="9" t="s">
        <v>85</v>
      </c>
      <c r="I50" s="9" t="s">
        <v>85</v>
      </c>
      <c r="J50" s="9">
        <v>0.540984</v>
      </c>
      <c r="K50" s="9" t="s">
        <v>85</v>
      </c>
      <c r="L50" s="9" t="s">
        <v>85</v>
      </c>
      <c r="M50" s="9">
        <v>0.540984</v>
      </c>
      <c r="N50" s="9" t="s">
        <v>85</v>
      </c>
      <c r="O50" s="9" t="s">
        <v>85</v>
      </c>
      <c r="P50" s="9">
        <v>0.540984</v>
      </c>
      <c r="Q50" s="9" t="s">
        <v>85</v>
      </c>
      <c r="R50" s="9" t="s">
        <v>85</v>
      </c>
      <c r="S50" s="9">
        <v>0.540984</v>
      </c>
      <c r="T50" s="9" t="s">
        <v>85</v>
      </c>
      <c r="U50" s="9" t="s">
        <v>85</v>
      </c>
      <c r="V50" s="9">
        <v>0.540984</v>
      </c>
      <c r="W50" s="9" t="s">
        <v>85</v>
      </c>
      <c r="X50" s="9" t="s">
        <v>85</v>
      </c>
      <c r="Y50" s="9">
        <v>0.540984</v>
      </c>
      <c r="Z50" s="10" t="s">
        <v>85</v>
      </c>
      <c r="AA50" s="10" t="s">
        <v>85</v>
      </c>
      <c r="AB50" s="9">
        <v>0.540984</v>
      </c>
      <c r="AC50" s="9" t="s">
        <v>85</v>
      </c>
      <c r="AD50" s="9" t="s">
        <v>85</v>
      </c>
      <c r="AE50" s="9">
        <v>0.540984</v>
      </c>
      <c r="AF50" s="9" t="s">
        <v>85</v>
      </c>
      <c r="AG50" s="9" t="s">
        <v>85</v>
      </c>
      <c r="AH50" s="9">
        <v>0.540984</v>
      </c>
      <c r="AI50" s="9" t="s">
        <v>85</v>
      </c>
      <c r="AJ50" s="9" t="s">
        <v>85</v>
      </c>
      <c r="AK50" s="9">
        <v>0.540984</v>
      </c>
      <c r="AL50" s="9" t="s">
        <v>85</v>
      </c>
      <c r="AM50" s="9" t="s">
        <v>85</v>
      </c>
      <c r="AN50" s="9">
        <v>0.540984</v>
      </c>
      <c r="AO50" s="9" t="s">
        <v>85</v>
      </c>
      <c r="AP50" s="9" t="s">
        <v>85</v>
      </c>
      <c r="AQ50" s="9">
        <v>0.540984</v>
      </c>
      <c r="AR50" s="9" t="s">
        <v>85</v>
      </c>
      <c r="AS50" s="9" t="s">
        <v>85</v>
      </c>
      <c r="AT50" s="9">
        <v>0.540984</v>
      </c>
      <c r="AU50" s="9" t="s">
        <v>85</v>
      </c>
      <c r="AV50" s="9" t="s">
        <v>85</v>
      </c>
      <c r="AW50" s="9">
        <v>0.540984</v>
      </c>
      <c r="AX50" s="9" t="s">
        <v>85</v>
      </c>
      <c r="AY50" s="9" t="s">
        <v>85</v>
      </c>
      <c r="AZ50" s="9">
        <v>0.540984</v>
      </c>
      <c r="BA50" s="10" t="s">
        <v>85</v>
      </c>
      <c r="BB50" s="10" t="s">
        <v>85</v>
      </c>
      <c r="BC50" s="9">
        <v>0.540984</v>
      </c>
      <c r="BD50" s="10" t="s">
        <v>85</v>
      </c>
      <c r="BE50" s="10" t="s">
        <v>85</v>
      </c>
      <c r="BF50" s="9" t="s">
        <v>85</v>
      </c>
      <c r="BG50" s="6"/>
      <c r="BH50" s="6" t="str">
        <f t="shared" si="1"/>
        <v>5B_One_Acc</v>
      </c>
      <c r="BI50" s="6" t="str">
        <f t="shared" si="2"/>
        <v>5B_One_Acc</v>
      </c>
      <c r="BJ50" s="6" t="str">
        <f t="shared" si="3"/>
        <v>5B_One_Acc</v>
      </c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</row>
    <row r="51" ht="15.75" customHeight="1">
      <c r="A51" s="1" t="s">
        <v>145</v>
      </c>
      <c r="B51" s="9" t="s">
        <v>85</v>
      </c>
      <c r="C51" s="9" t="s">
        <v>85</v>
      </c>
      <c r="D51" s="9">
        <v>0.60274</v>
      </c>
      <c r="E51" s="9" t="s">
        <v>85</v>
      </c>
      <c r="F51" s="9" t="s">
        <v>85</v>
      </c>
      <c r="G51" s="9">
        <v>0.260274</v>
      </c>
      <c r="H51" s="9" t="s">
        <v>85</v>
      </c>
      <c r="I51" s="9" t="s">
        <v>85</v>
      </c>
      <c r="J51" s="9">
        <v>0.589041</v>
      </c>
      <c r="K51" s="9" t="s">
        <v>85</v>
      </c>
      <c r="L51" s="9" t="s">
        <v>85</v>
      </c>
      <c r="M51" s="9">
        <v>0.630137</v>
      </c>
      <c r="N51" s="9" t="s">
        <v>85</v>
      </c>
      <c r="O51" s="9" t="s">
        <v>85</v>
      </c>
      <c r="P51" s="9">
        <v>0.630137</v>
      </c>
      <c r="Q51" s="9" t="s">
        <v>85</v>
      </c>
      <c r="R51" s="9" t="s">
        <v>85</v>
      </c>
      <c r="S51" s="9">
        <v>0.643836</v>
      </c>
      <c r="T51" s="9" t="s">
        <v>85</v>
      </c>
      <c r="U51" s="9" t="s">
        <v>85</v>
      </c>
      <c r="V51" s="9">
        <v>0.69863</v>
      </c>
      <c r="W51" s="9" t="s">
        <v>85</v>
      </c>
      <c r="X51" s="9" t="s">
        <v>85</v>
      </c>
      <c r="Y51" s="9">
        <v>0.589041</v>
      </c>
      <c r="Z51" s="10" t="s">
        <v>85</v>
      </c>
      <c r="AA51" s="10" t="s">
        <v>85</v>
      </c>
      <c r="AB51" s="9">
        <v>0.589041</v>
      </c>
      <c r="AC51" s="9" t="s">
        <v>85</v>
      </c>
      <c r="AD51" s="9" t="s">
        <v>85</v>
      </c>
      <c r="AE51" s="9">
        <v>0.60274</v>
      </c>
      <c r="AF51" s="9" t="s">
        <v>85</v>
      </c>
      <c r="AG51" s="9" t="s">
        <v>85</v>
      </c>
      <c r="AH51" s="9">
        <v>0.643836</v>
      </c>
      <c r="AI51" s="9" t="s">
        <v>85</v>
      </c>
      <c r="AJ51" s="9" t="s">
        <v>85</v>
      </c>
      <c r="AK51" s="9">
        <v>0.630137</v>
      </c>
      <c r="AL51" s="9" t="s">
        <v>85</v>
      </c>
      <c r="AM51" s="9" t="s">
        <v>85</v>
      </c>
      <c r="AN51" s="9">
        <v>0.630137</v>
      </c>
      <c r="AO51" s="9" t="s">
        <v>85</v>
      </c>
      <c r="AP51" s="9" t="s">
        <v>85</v>
      </c>
      <c r="AQ51" s="9">
        <v>0.589041</v>
      </c>
      <c r="AR51" s="9" t="s">
        <v>85</v>
      </c>
      <c r="AS51" s="9" t="s">
        <v>85</v>
      </c>
      <c r="AT51" s="9">
        <v>0.657534</v>
      </c>
      <c r="AU51" s="9" t="s">
        <v>85</v>
      </c>
      <c r="AV51" s="9" t="s">
        <v>85</v>
      </c>
      <c r="AW51" s="9">
        <v>0.616438</v>
      </c>
      <c r="AX51" s="9" t="s">
        <v>85</v>
      </c>
      <c r="AY51" s="9" t="s">
        <v>85</v>
      </c>
      <c r="AZ51" s="9">
        <v>0.589041</v>
      </c>
      <c r="BA51" s="10" t="s">
        <v>85</v>
      </c>
      <c r="BB51" s="10" t="s">
        <v>85</v>
      </c>
      <c r="BC51" s="9">
        <v>0.630137</v>
      </c>
      <c r="BD51" s="10" t="s">
        <v>85</v>
      </c>
      <c r="BE51" s="10" t="s">
        <v>85</v>
      </c>
      <c r="BF51" s="9" t="s">
        <v>85</v>
      </c>
      <c r="BG51" s="6"/>
      <c r="BH51" s="6" t="str">
        <f t="shared" si="1"/>
        <v>8V_One_Acc</v>
      </c>
      <c r="BI51" s="6" t="str">
        <f t="shared" si="2"/>
        <v>12V_One_Acc</v>
      </c>
      <c r="BJ51" s="6" t="str">
        <f t="shared" si="3"/>
        <v>8BN_One_Acc</v>
      </c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</row>
    <row r="52" ht="15.75" customHeight="1">
      <c r="A52" s="1" t="s">
        <v>146</v>
      </c>
      <c r="B52" s="9" t="s">
        <v>85</v>
      </c>
      <c r="C52" s="9" t="s">
        <v>85</v>
      </c>
      <c r="D52" s="9">
        <v>0.672921</v>
      </c>
      <c r="E52" s="9" t="s">
        <v>85</v>
      </c>
      <c r="F52" s="9" t="s">
        <v>85</v>
      </c>
      <c r="G52" s="9">
        <v>0.123241</v>
      </c>
      <c r="H52" s="9" t="s">
        <v>85</v>
      </c>
      <c r="I52" s="9" t="s">
        <v>85</v>
      </c>
      <c r="J52" s="9">
        <v>0.742004</v>
      </c>
      <c r="K52" s="9" t="s">
        <v>85</v>
      </c>
      <c r="L52" s="9" t="s">
        <v>85</v>
      </c>
      <c r="M52" s="9">
        <v>0.673774</v>
      </c>
      <c r="N52" s="9" t="s">
        <v>85</v>
      </c>
      <c r="O52" s="9" t="s">
        <v>85</v>
      </c>
      <c r="P52" s="9">
        <v>0.61791</v>
      </c>
      <c r="Q52" s="9" t="s">
        <v>85</v>
      </c>
      <c r="R52" s="9" t="s">
        <v>85</v>
      </c>
      <c r="S52" s="9">
        <v>0.732623</v>
      </c>
      <c r="T52" s="9" t="s">
        <v>85</v>
      </c>
      <c r="U52" s="9" t="s">
        <v>85</v>
      </c>
      <c r="V52" s="9">
        <v>0.502772</v>
      </c>
      <c r="W52" s="9" t="s">
        <v>85</v>
      </c>
      <c r="X52" s="9" t="s">
        <v>85</v>
      </c>
      <c r="Y52" s="9">
        <v>0.438806</v>
      </c>
      <c r="Z52" s="10" t="s">
        <v>85</v>
      </c>
      <c r="AA52" s="10" t="s">
        <v>85</v>
      </c>
      <c r="AB52" s="9">
        <v>0.710021</v>
      </c>
      <c r="AC52" s="9" t="s">
        <v>85</v>
      </c>
      <c r="AD52" s="9" t="s">
        <v>85</v>
      </c>
      <c r="AE52" s="9">
        <v>0.696802</v>
      </c>
      <c r="AF52" s="9" t="s">
        <v>85</v>
      </c>
      <c r="AG52" s="9" t="s">
        <v>85</v>
      </c>
      <c r="AH52" s="9">
        <v>0.580384</v>
      </c>
      <c r="AI52" s="9" t="s">
        <v>85</v>
      </c>
      <c r="AJ52" s="9" t="s">
        <v>85</v>
      </c>
      <c r="AK52" s="9">
        <v>0.486567</v>
      </c>
      <c r="AL52" s="9" t="s">
        <v>85</v>
      </c>
      <c r="AM52" s="9" t="s">
        <v>85</v>
      </c>
      <c r="AN52" s="9">
        <v>0.696802</v>
      </c>
      <c r="AO52" s="9" t="s">
        <v>85</v>
      </c>
      <c r="AP52" s="9" t="s">
        <v>85</v>
      </c>
      <c r="AQ52" s="9">
        <v>0.731343</v>
      </c>
      <c r="AR52" s="9" t="s">
        <v>85</v>
      </c>
      <c r="AS52" s="9" t="s">
        <v>85</v>
      </c>
      <c r="AT52" s="9">
        <v>0.55565</v>
      </c>
      <c r="AU52" s="9" t="s">
        <v>85</v>
      </c>
      <c r="AV52" s="9" t="s">
        <v>85</v>
      </c>
      <c r="AW52" s="9">
        <v>0.373987</v>
      </c>
      <c r="AX52" s="9" t="s">
        <v>85</v>
      </c>
      <c r="AY52" s="9" t="s">
        <v>85</v>
      </c>
      <c r="AZ52" s="9">
        <v>0.736034</v>
      </c>
      <c r="BA52" s="10" t="s">
        <v>85</v>
      </c>
      <c r="BB52" s="10" t="s">
        <v>85</v>
      </c>
      <c r="BC52" s="9">
        <v>0.499787</v>
      </c>
      <c r="BD52" s="10" t="s">
        <v>85</v>
      </c>
      <c r="BE52" s="10" t="s">
        <v>85</v>
      </c>
      <c r="BF52" s="9" t="s">
        <v>85</v>
      </c>
      <c r="BG52" s="6"/>
      <c r="BH52" s="6" t="str">
        <f t="shared" si="1"/>
        <v>5V_One_Acc</v>
      </c>
      <c r="BI52" s="6" t="str">
        <f t="shared" si="2"/>
        <v>20B_One_Acc</v>
      </c>
      <c r="BJ52" s="6" t="str">
        <f t="shared" si="3"/>
        <v>8BN_One_Acc</v>
      </c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</row>
    <row r="53" ht="15.75" customHeight="1">
      <c r="A53" s="1" t="s">
        <v>147</v>
      </c>
      <c r="B53" s="9" t="s">
        <v>85</v>
      </c>
      <c r="C53" s="9" t="s">
        <v>85</v>
      </c>
      <c r="D53" s="9">
        <v>0.95</v>
      </c>
      <c r="E53" s="9" t="s">
        <v>85</v>
      </c>
      <c r="F53" s="9" t="s">
        <v>85</v>
      </c>
      <c r="G53" s="9">
        <v>0.316667</v>
      </c>
      <c r="H53" s="9" t="s">
        <v>85</v>
      </c>
      <c r="I53" s="9" t="s">
        <v>85</v>
      </c>
      <c r="J53" s="9">
        <v>0.566667</v>
      </c>
      <c r="K53" s="9" t="s">
        <v>85</v>
      </c>
      <c r="L53" s="9" t="s">
        <v>85</v>
      </c>
      <c r="M53" s="9">
        <v>0.633333</v>
      </c>
      <c r="N53" s="9" t="s">
        <v>85</v>
      </c>
      <c r="O53" s="9" t="s">
        <v>85</v>
      </c>
      <c r="P53" s="9">
        <v>0.916667</v>
      </c>
      <c r="Q53" s="9" t="s">
        <v>85</v>
      </c>
      <c r="R53" s="9" t="s">
        <v>85</v>
      </c>
      <c r="S53" s="9">
        <v>0.916667</v>
      </c>
      <c r="T53" s="9" t="s">
        <v>85</v>
      </c>
      <c r="U53" s="9" t="s">
        <v>85</v>
      </c>
      <c r="V53" s="9">
        <v>0.6</v>
      </c>
      <c r="W53" s="9" t="s">
        <v>85</v>
      </c>
      <c r="X53" s="9" t="s">
        <v>85</v>
      </c>
      <c r="Y53" s="9">
        <v>0.566667</v>
      </c>
      <c r="Z53" s="10" t="s">
        <v>85</v>
      </c>
      <c r="AA53" s="10" t="s">
        <v>85</v>
      </c>
      <c r="AB53" s="9">
        <v>0.95</v>
      </c>
      <c r="AC53" s="9" t="s">
        <v>85</v>
      </c>
      <c r="AD53" s="9" t="s">
        <v>85</v>
      </c>
      <c r="AE53" s="9">
        <v>0.9</v>
      </c>
      <c r="AF53" s="9" t="s">
        <v>85</v>
      </c>
      <c r="AG53" s="9" t="s">
        <v>85</v>
      </c>
      <c r="AH53" s="9">
        <v>0.75</v>
      </c>
      <c r="AI53" s="9" t="s">
        <v>85</v>
      </c>
      <c r="AJ53" s="9" t="s">
        <v>85</v>
      </c>
      <c r="AK53" s="9">
        <v>0.883333</v>
      </c>
      <c r="AL53" s="9" t="s">
        <v>85</v>
      </c>
      <c r="AM53" s="9" t="s">
        <v>85</v>
      </c>
      <c r="AN53" s="9">
        <v>0.933333</v>
      </c>
      <c r="AO53" s="9" t="s">
        <v>85</v>
      </c>
      <c r="AP53" s="9" t="s">
        <v>85</v>
      </c>
      <c r="AQ53" s="9">
        <v>0.65</v>
      </c>
      <c r="AR53" s="9" t="s">
        <v>85</v>
      </c>
      <c r="AS53" s="9" t="s">
        <v>85</v>
      </c>
      <c r="AT53" s="9">
        <v>0.55</v>
      </c>
      <c r="AU53" s="9" t="s">
        <v>85</v>
      </c>
      <c r="AV53" s="9" t="s">
        <v>85</v>
      </c>
      <c r="AW53" s="9">
        <v>0.416667</v>
      </c>
      <c r="AX53" s="9" t="s">
        <v>85</v>
      </c>
      <c r="AY53" s="9" t="s">
        <v>85</v>
      </c>
      <c r="AZ53" s="9">
        <v>0.933333</v>
      </c>
      <c r="BA53" s="10" t="s">
        <v>85</v>
      </c>
      <c r="BB53" s="10" t="s">
        <v>85</v>
      </c>
      <c r="BC53" s="9">
        <v>0.55</v>
      </c>
      <c r="BD53" s="10" t="s">
        <v>85</v>
      </c>
      <c r="BE53" s="10" t="s">
        <v>85</v>
      </c>
      <c r="BF53" s="9" t="s">
        <v>85</v>
      </c>
      <c r="BG53" s="6"/>
      <c r="BH53" s="6" t="str">
        <f t="shared" si="1"/>
        <v>5B_One_Acc</v>
      </c>
      <c r="BI53" s="6" t="str">
        <f t="shared" si="2"/>
        <v>5B_One_Acc</v>
      </c>
      <c r="BJ53" s="6" t="str">
        <f t="shared" si="3"/>
        <v>12B_One_Acc</v>
      </c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</row>
    <row r="54" ht="15.75" customHeight="1">
      <c r="A54" s="1" t="s">
        <v>148</v>
      </c>
      <c r="B54" s="9" t="s">
        <v>85</v>
      </c>
      <c r="C54" s="9" t="s">
        <v>85</v>
      </c>
      <c r="D54" s="9">
        <v>0.526316</v>
      </c>
      <c r="E54" s="9" t="s">
        <v>85</v>
      </c>
      <c r="F54" s="9" t="s">
        <v>85</v>
      </c>
      <c r="G54" s="9">
        <v>0.514474</v>
      </c>
      <c r="H54" s="9" t="s">
        <v>85</v>
      </c>
      <c r="I54" s="9" t="s">
        <v>85</v>
      </c>
      <c r="J54" s="9">
        <v>0.572368</v>
      </c>
      <c r="K54" s="9" t="s">
        <v>85</v>
      </c>
      <c r="L54" s="9" t="s">
        <v>85</v>
      </c>
      <c r="M54" s="9">
        <v>0.610526</v>
      </c>
      <c r="N54" s="9" t="s">
        <v>85</v>
      </c>
      <c r="O54" s="9" t="s">
        <v>85</v>
      </c>
      <c r="P54" s="9">
        <v>0.596053</v>
      </c>
      <c r="Q54" s="9" t="s">
        <v>85</v>
      </c>
      <c r="R54" s="9" t="s">
        <v>85</v>
      </c>
      <c r="S54" s="9">
        <v>0.546053</v>
      </c>
      <c r="T54" s="9" t="s">
        <v>85</v>
      </c>
      <c r="U54" s="9" t="s">
        <v>85</v>
      </c>
      <c r="V54" s="9">
        <v>0.586842</v>
      </c>
      <c r="W54" s="9" t="s">
        <v>85</v>
      </c>
      <c r="X54" s="9" t="s">
        <v>85</v>
      </c>
      <c r="Y54" s="9">
        <v>0.586842</v>
      </c>
      <c r="Z54" s="10" t="s">
        <v>85</v>
      </c>
      <c r="AA54" s="10" t="s">
        <v>85</v>
      </c>
      <c r="AB54" s="9">
        <v>0.573684</v>
      </c>
      <c r="AC54" s="9" t="s">
        <v>85</v>
      </c>
      <c r="AD54" s="9" t="s">
        <v>85</v>
      </c>
      <c r="AE54" s="9">
        <v>0.586842</v>
      </c>
      <c r="AF54" s="9" t="s">
        <v>85</v>
      </c>
      <c r="AG54" s="9" t="s">
        <v>85</v>
      </c>
      <c r="AH54" s="9">
        <v>0.564474</v>
      </c>
      <c r="AI54" s="9" t="s">
        <v>85</v>
      </c>
      <c r="AJ54" s="9" t="s">
        <v>85</v>
      </c>
      <c r="AK54" s="9">
        <v>0.555263</v>
      </c>
      <c r="AL54" s="9" t="s">
        <v>85</v>
      </c>
      <c r="AM54" s="9" t="s">
        <v>85</v>
      </c>
      <c r="AN54" s="9">
        <v>0.584211</v>
      </c>
      <c r="AO54" s="9" t="s">
        <v>85</v>
      </c>
      <c r="AP54" s="9" t="s">
        <v>85</v>
      </c>
      <c r="AQ54" s="9">
        <v>0.610526</v>
      </c>
      <c r="AR54" s="9" t="s">
        <v>85</v>
      </c>
      <c r="AS54" s="9" t="s">
        <v>85</v>
      </c>
      <c r="AT54" s="9">
        <v>0.607895</v>
      </c>
      <c r="AU54" s="9" t="s">
        <v>85</v>
      </c>
      <c r="AV54" s="9" t="s">
        <v>85</v>
      </c>
      <c r="AW54" s="9">
        <v>0.617105</v>
      </c>
      <c r="AX54" s="9" t="s">
        <v>85</v>
      </c>
      <c r="AY54" s="9" t="s">
        <v>85</v>
      </c>
      <c r="AZ54" s="9">
        <v>0.607895</v>
      </c>
      <c r="BA54" s="10" t="s">
        <v>85</v>
      </c>
      <c r="BB54" s="10" t="s">
        <v>85</v>
      </c>
      <c r="BC54" s="9">
        <v>0.597368</v>
      </c>
      <c r="BD54" s="10" t="s">
        <v>85</v>
      </c>
      <c r="BE54" s="10" t="s">
        <v>85</v>
      </c>
      <c r="BF54" s="9" t="s">
        <v>85</v>
      </c>
      <c r="BG54" s="6"/>
      <c r="BH54" s="6" t="str">
        <f t="shared" si="1"/>
        <v>12VB_One_Acc</v>
      </c>
      <c r="BI54" s="6" t="str">
        <f t="shared" si="2"/>
        <v>5VB_One_Acc</v>
      </c>
      <c r="BJ54" s="6" t="str">
        <f t="shared" si="3"/>
        <v>5VB_One_Acc</v>
      </c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</row>
    <row r="55" ht="15.75" customHeight="1">
      <c r="A55" s="1" t="s">
        <v>149</v>
      </c>
      <c r="B55" s="9" t="s">
        <v>85</v>
      </c>
      <c r="C55" s="9" t="s">
        <v>85</v>
      </c>
      <c r="D55" s="9">
        <v>0.519481</v>
      </c>
      <c r="E55" s="9" t="s">
        <v>85</v>
      </c>
      <c r="F55" s="9" t="s">
        <v>85</v>
      </c>
      <c r="G55" s="9">
        <v>0.188312</v>
      </c>
      <c r="H55" s="9" t="s">
        <v>85</v>
      </c>
      <c r="I55" s="9" t="s">
        <v>85</v>
      </c>
      <c r="J55" s="9">
        <v>0.506494</v>
      </c>
      <c r="K55" s="9" t="s">
        <v>85</v>
      </c>
      <c r="L55" s="9" t="s">
        <v>85</v>
      </c>
      <c r="M55" s="9">
        <v>0.506494</v>
      </c>
      <c r="N55" s="9" t="s">
        <v>85</v>
      </c>
      <c r="O55" s="9" t="s">
        <v>85</v>
      </c>
      <c r="P55" s="9">
        <v>0.571429</v>
      </c>
      <c r="Q55" s="9" t="s">
        <v>85</v>
      </c>
      <c r="R55" s="9" t="s">
        <v>85</v>
      </c>
      <c r="S55" s="9">
        <v>0.512987</v>
      </c>
      <c r="T55" s="9" t="s">
        <v>85</v>
      </c>
      <c r="U55" s="9" t="s">
        <v>85</v>
      </c>
      <c r="V55" s="9">
        <v>0.564935</v>
      </c>
      <c r="W55" s="9" t="s">
        <v>85</v>
      </c>
      <c r="X55" s="9" t="s">
        <v>85</v>
      </c>
      <c r="Y55" s="9">
        <v>0.577922</v>
      </c>
      <c r="Z55" s="10" t="s">
        <v>85</v>
      </c>
      <c r="AA55" s="10" t="s">
        <v>85</v>
      </c>
      <c r="AB55" s="9">
        <v>0.597403</v>
      </c>
      <c r="AC55" s="9" t="s">
        <v>85</v>
      </c>
      <c r="AD55" s="9" t="s">
        <v>85</v>
      </c>
      <c r="AE55" s="9">
        <v>0.564935</v>
      </c>
      <c r="AF55" s="9" t="s">
        <v>85</v>
      </c>
      <c r="AG55" s="9" t="s">
        <v>85</v>
      </c>
      <c r="AH55" s="9">
        <v>0.564935</v>
      </c>
      <c r="AI55" s="9" t="s">
        <v>85</v>
      </c>
      <c r="AJ55" s="9" t="s">
        <v>85</v>
      </c>
      <c r="AK55" s="9">
        <v>0.558442</v>
      </c>
      <c r="AL55" s="9" t="s">
        <v>85</v>
      </c>
      <c r="AM55" s="9" t="s">
        <v>85</v>
      </c>
      <c r="AN55" s="9">
        <v>0.616883</v>
      </c>
      <c r="AO55" s="9" t="s">
        <v>85</v>
      </c>
      <c r="AP55" s="9" t="s">
        <v>85</v>
      </c>
      <c r="AQ55" s="9">
        <v>0.603896</v>
      </c>
      <c r="AR55" s="9" t="s">
        <v>85</v>
      </c>
      <c r="AS55" s="9" t="s">
        <v>85</v>
      </c>
      <c r="AT55" s="9">
        <v>0.577922</v>
      </c>
      <c r="AU55" s="9" t="s">
        <v>85</v>
      </c>
      <c r="AV55" s="9" t="s">
        <v>85</v>
      </c>
      <c r="AW55" s="9">
        <v>0.577922</v>
      </c>
      <c r="AX55" s="9" t="s">
        <v>85</v>
      </c>
      <c r="AY55" s="9" t="s">
        <v>85</v>
      </c>
      <c r="AZ55" s="9">
        <v>0.62987</v>
      </c>
      <c r="BA55" s="10" t="s">
        <v>85</v>
      </c>
      <c r="BB55" s="10" t="s">
        <v>85</v>
      </c>
      <c r="BC55" s="9">
        <v>0.564935</v>
      </c>
      <c r="BD55" s="10" t="s">
        <v>85</v>
      </c>
      <c r="BE55" s="10" t="s">
        <v>85</v>
      </c>
      <c r="BF55" s="9" t="s">
        <v>85</v>
      </c>
      <c r="BG55" s="6"/>
      <c r="BH55" s="6" t="str">
        <f t="shared" si="1"/>
        <v>20B_One_Acc</v>
      </c>
      <c r="BI55" s="6" t="str">
        <f t="shared" si="2"/>
        <v>12B_One_Acc</v>
      </c>
      <c r="BJ55" s="6" t="str">
        <f t="shared" si="3"/>
        <v>12BN_One_Acc</v>
      </c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</row>
    <row r="56" ht="15.75" customHeight="1">
      <c r="A56" s="1" t="s">
        <v>150</v>
      </c>
      <c r="B56" s="9" t="s">
        <v>85</v>
      </c>
      <c r="C56" s="9" t="s">
        <v>85</v>
      </c>
      <c r="D56" s="9">
        <v>0.666667</v>
      </c>
      <c r="E56" s="9" t="s">
        <v>85</v>
      </c>
      <c r="F56" s="9" t="s">
        <v>85</v>
      </c>
      <c r="G56" s="9">
        <v>0.570447</v>
      </c>
      <c r="H56" s="9" t="s">
        <v>85</v>
      </c>
      <c r="I56" s="9" t="s">
        <v>85</v>
      </c>
      <c r="J56" s="9">
        <v>0.790378</v>
      </c>
      <c r="K56" s="9" t="s">
        <v>85</v>
      </c>
      <c r="L56" s="9" t="s">
        <v>85</v>
      </c>
      <c r="M56" s="9">
        <v>0.75945</v>
      </c>
      <c r="N56" s="9" t="s">
        <v>85</v>
      </c>
      <c r="O56" s="9" t="s">
        <v>85</v>
      </c>
      <c r="P56" s="9">
        <v>0.762887</v>
      </c>
      <c r="Q56" s="9" t="s">
        <v>85</v>
      </c>
      <c r="R56" s="9" t="s">
        <v>85</v>
      </c>
      <c r="S56" s="9">
        <v>0.718213</v>
      </c>
      <c r="T56" s="9" t="s">
        <v>85</v>
      </c>
      <c r="U56" s="9" t="s">
        <v>85</v>
      </c>
      <c r="V56" s="9">
        <v>0.766323</v>
      </c>
      <c r="W56" s="9" t="s">
        <v>85</v>
      </c>
      <c r="X56" s="9" t="s">
        <v>85</v>
      </c>
      <c r="Y56" s="9">
        <v>0.766323</v>
      </c>
      <c r="Z56" s="10" t="s">
        <v>85</v>
      </c>
      <c r="AA56" s="10" t="s">
        <v>85</v>
      </c>
      <c r="AB56" s="9">
        <v>0.725086</v>
      </c>
      <c r="AC56" s="9" t="s">
        <v>85</v>
      </c>
      <c r="AD56" s="9" t="s">
        <v>85</v>
      </c>
      <c r="AE56" s="9">
        <v>0.728522</v>
      </c>
      <c r="AF56" s="9" t="s">
        <v>85</v>
      </c>
      <c r="AG56" s="9" t="s">
        <v>85</v>
      </c>
      <c r="AH56" s="9">
        <v>0.800687</v>
      </c>
      <c r="AI56" s="9" t="s">
        <v>85</v>
      </c>
      <c r="AJ56" s="9" t="s">
        <v>85</v>
      </c>
      <c r="AK56" s="9">
        <v>0.570447</v>
      </c>
      <c r="AL56" s="9" t="s">
        <v>85</v>
      </c>
      <c r="AM56" s="9" t="s">
        <v>85</v>
      </c>
      <c r="AN56" s="9">
        <v>0.71134</v>
      </c>
      <c r="AO56" s="9" t="s">
        <v>85</v>
      </c>
      <c r="AP56" s="9" t="s">
        <v>85</v>
      </c>
      <c r="AQ56" s="9">
        <v>0.728522</v>
      </c>
      <c r="AR56" s="9" t="s">
        <v>85</v>
      </c>
      <c r="AS56" s="9" t="s">
        <v>85</v>
      </c>
      <c r="AT56" s="9">
        <v>0.800687</v>
      </c>
      <c r="AU56" s="9" t="s">
        <v>85</v>
      </c>
      <c r="AV56" s="9" t="s">
        <v>85</v>
      </c>
      <c r="AW56" s="9">
        <v>0.790378</v>
      </c>
      <c r="AX56" s="9" t="s">
        <v>85</v>
      </c>
      <c r="AY56" s="9" t="s">
        <v>85</v>
      </c>
      <c r="AZ56" s="9">
        <v>0.683849</v>
      </c>
      <c r="BA56" s="10" t="s">
        <v>85</v>
      </c>
      <c r="BB56" s="10" t="s">
        <v>85</v>
      </c>
      <c r="BC56" s="9">
        <v>0.817869</v>
      </c>
      <c r="BD56" s="10" t="s">
        <v>85</v>
      </c>
      <c r="BE56" s="10" t="s">
        <v>85</v>
      </c>
      <c r="BF56" s="9" t="s">
        <v>85</v>
      </c>
      <c r="BG56" s="6"/>
      <c r="BH56" s="6" t="str">
        <f t="shared" si="1"/>
        <v>20V_One_Acc</v>
      </c>
      <c r="BI56" s="6" t="str">
        <f t="shared" si="2"/>
        <v>10V_One_Acc</v>
      </c>
      <c r="BJ56" s="6" t="str">
        <f t="shared" si="3"/>
        <v>10V_One_Acc</v>
      </c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</row>
    <row r="57" ht="15.75" customHeight="1">
      <c r="A57" s="1" t="s">
        <v>151</v>
      </c>
      <c r="B57" s="9" t="s">
        <v>85</v>
      </c>
      <c r="C57" s="9" t="s">
        <v>85</v>
      </c>
      <c r="D57" s="9">
        <v>0.525974</v>
      </c>
      <c r="E57" s="9" t="s">
        <v>85</v>
      </c>
      <c r="F57" s="9" t="s">
        <v>85</v>
      </c>
      <c r="G57" s="9">
        <v>0.272727</v>
      </c>
      <c r="H57" s="9" t="s">
        <v>85</v>
      </c>
      <c r="I57" s="9" t="s">
        <v>85</v>
      </c>
      <c r="J57" s="9">
        <v>0.590909</v>
      </c>
      <c r="K57" s="9" t="s">
        <v>85</v>
      </c>
      <c r="L57" s="9" t="s">
        <v>85</v>
      </c>
      <c r="M57" s="9">
        <v>0.558442</v>
      </c>
      <c r="N57" s="9" t="s">
        <v>85</v>
      </c>
      <c r="O57" s="9" t="s">
        <v>85</v>
      </c>
      <c r="P57" s="9">
        <v>0.545455</v>
      </c>
      <c r="Q57" s="9" t="s">
        <v>85</v>
      </c>
      <c r="R57" s="9" t="s">
        <v>85</v>
      </c>
      <c r="S57" s="9">
        <v>0.474026</v>
      </c>
      <c r="T57" s="9" t="s">
        <v>85</v>
      </c>
      <c r="U57" s="9" t="s">
        <v>85</v>
      </c>
      <c r="V57" s="9">
        <v>0.558442</v>
      </c>
      <c r="W57" s="9" t="s">
        <v>85</v>
      </c>
      <c r="X57" s="9" t="s">
        <v>85</v>
      </c>
      <c r="Y57" s="9">
        <v>0.558442</v>
      </c>
      <c r="Z57" s="10" t="s">
        <v>85</v>
      </c>
      <c r="AA57" s="10" t="s">
        <v>85</v>
      </c>
      <c r="AB57" s="9">
        <v>0.506494</v>
      </c>
      <c r="AC57" s="9" t="s">
        <v>85</v>
      </c>
      <c r="AD57" s="9" t="s">
        <v>85</v>
      </c>
      <c r="AE57" s="9">
        <v>0.519481</v>
      </c>
      <c r="AF57" s="9" t="s">
        <v>85</v>
      </c>
      <c r="AG57" s="9" t="s">
        <v>85</v>
      </c>
      <c r="AH57" s="9">
        <v>0.571429</v>
      </c>
      <c r="AI57" s="9" t="s">
        <v>85</v>
      </c>
      <c r="AJ57" s="9" t="s">
        <v>85</v>
      </c>
      <c r="AK57" s="9">
        <v>0.558442</v>
      </c>
      <c r="AL57" s="9" t="s">
        <v>85</v>
      </c>
      <c r="AM57" s="9" t="s">
        <v>85</v>
      </c>
      <c r="AN57" s="9">
        <v>0.506494</v>
      </c>
      <c r="AO57" s="9" t="s">
        <v>85</v>
      </c>
      <c r="AP57" s="9" t="s">
        <v>85</v>
      </c>
      <c r="AQ57" s="9">
        <v>0.590909</v>
      </c>
      <c r="AR57" s="9" t="s">
        <v>85</v>
      </c>
      <c r="AS57" s="9" t="s">
        <v>85</v>
      </c>
      <c r="AT57" s="9">
        <v>0.558442</v>
      </c>
      <c r="AU57" s="9" t="s">
        <v>85</v>
      </c>
      <c r="AV57" s="9" t="s">
        <v>85</v>
      </c>
      <c r="AW57" s="9">
        <v>0.558442</v>
      </c>
      <c r="AX57" s="9" t="s">
        <v>85</v>
      </c>
      <c r="AY57" s="9" t="s">
        <v>85</v>
      </c>
      <c r="AZ57" s="9">
        <v>0.538961</v>
      </c>
      <c r="BA57" s="10" t="s">
        <v>85</v>
      </c>
      <c r="BB57" s="10" t="s">
        <v>85</v>
      </c>
      <c r="BC57" s="9">
        <v>0.558442</v>
      </c>
      <c r="BD57" s="10" t="s">
        <v>85</v>
      </c>
      <c r="BE57" s="10" t="s">
        <v>85</v>
      </c>
      <c r="BF57" s="9" t="s">
        <v>85</v>
      </c>
      <c r="BG57" s="6"/>
      <c r="BH57" s="6" t="str">
        <f t="shared" si="1"/>
        <v>5V_One_Acc</v>
      </c>
      <c r="BI57" s="6" t="str">
        <f t="shared" si="2"/>
        <v>5V_One_Acc</v>
      </c>
      <c r="BJ57" s="6" t="str">
        <f t="shared" si="3"/>
        <v>10V_One_Acc</v>
      </c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</row>
    <row r="58" ht="15.75" customHeight="1">
      <c r="A58" s="1" t="s">
        <v>152</v>
      </c>
      <c r="B58" s="9" t="s">
        <v>85</v>
      </c>
      <c r="C58" s="9" t="s">
        <v>85</v>
      </c>
      <c r="D58" s="9">
        <v>0.822268</v>
      </c>
      <c r="E58" s="9" t="s">
        <v>85</v>
      </c>
      <c r="F58" s="9" t="s">
        <v>85</v>
      </c>
      <c r="G58" s="9">
        <v>0.188866</v>
      </c>
      <c r="H58" s="9" t="s">
        <v>85</v>
      </c>
      <c r="I58" s="9" t="s">
        <v>85</v>
      </c>
      <c r="J58" s="9">
        <v>0.858969</v>
      </c>
      <c r="K58" s="9" t="s">
        <v>85</v>
      </c>
      <c r="L58" s="9" t="s">
        <v>85</v>
      </c>
      <c r="M58" s="9">
        <v>0.854021</v>
      </c>
      <c r="N58" s="9" t="s">
        <v>85</v>
      </c>
      <c r="O58" s="9" t="s">
        <v>85</v>
      </c>
      <c r="P58" s="9">
        <v>0.863505</v>
      </c>
      <c r="Q58" s="9" t="s">
        <v>85</v>
      </c>
      <c r="R58" s="9" t="s">
        <v>85</v>
      </c>
      <c r="S58" s="9">
        <v>0.85732</v>
      </c>
      <c r="T58" s="9" t="s">
        <v>85</v>
      </c>
      <c r="U58" s="9" t="s">
        <v>85</v>
      </c>
      <c r="V58" s="9">
        <v>0.875052</v>
      </c>
      <c r="W58" s="9" t="s">
        <v>85</v>
      </c>
      <c r="X58" s="9" t="s">
        <v>85</v>
      </c>
      <c r="Y58" s="9">
        <v>0.86268</v>
      </c>
      <c r="Z58" s="10" t="s">
        <v>85</v>
      </c>
      <c r="AA58" s="10" t="s">
        <v>85</v>
      </c>
      <c r="AB58" s="9">
        <v>0.863505</v>
      </c>
      <c r="AC58" s="9" t="s">
        <v>85</v>
      </c>
      <c r="AD58" s="9" t="s">
        <v>85</v>
      </c>
      <c r="AE58" s="9">
        <v>0.861031</v>
      </c>
      <c r="AF58" s="9" t="s">
        <v>85</v>
      </c>
      <c r="AG58" s="9" t="s">
        <v>85</v>
      </c>
      <c r="AH58" s="9">
        <v>0.852371</v>
      </c>
      <c r="AI58" s="9" t="s">
        <v>85</v>
      </c>
      <c r="AJ58" s="9" t="s">
        <v>85</v>
      </c>
      <c r="AK58" s="9">
        <v>0.870103</v>
      </c>
      <c r="AL58" s="9" t="s">
        <v>85</v>
      </c>
      <c r="AM58" s="9" t="s">
        <v>85</v>
      </c>
      <c r="AN58" s="9">
        <v>0.863093</v>
      </c>
      <c r="AO58" s="9" t="s">
        <v>85</v>
      </c>
      <c r="AP58" s="9" t="s">
        <v>85</v>
      </c>
      <c r="AQ58" s="9">
        <v>0.862268</v>
      </c>
      <c r="AR58" s="9" t="s">
        <v>85</v>
      </c>
      <c r="AS58" s="9" t="s">
        <v>85</v>
      </c>
      <c r="AT58" s="9">
        <v>0.863918</v>
      </c>
      <c r="AU58" s="9" t="s">
        <v>85</v>
      </c>
      <c r="AV58" s="9" t="s">
        <v>85</v>
      </c>
      <c r="AW58" s="9">
        <v>0.872577</v>
      </c>
      <c r="AX58" s="9" t="s">
        <v>85</v>
      </c>
      <c r="AY58" s="9" t="s">
        <v>85</v>
      </c>
      <c r="AZ58" s="9">
        <v>0.819381</v>
      </c>
      <c r="BA58" s="10" t="s">
        <v>85</v>
      </c>
      <c r="BB58" s="10" t="s">
        <v>85</v>
      </c>
      <c r="BC58" s="9">
        <v>0.890722</v>
      </c>
      <c r="BD58" s="10" t="s">
        <v>85</v>
      </c>
      <c r="BE58" s="10" t="s">
        <v>85</v>
      </c>
      <c r="BF58" s="9" t="s">
        <v>85</v>
      </c>
      <c r="BG58" s="6"/>
      <c r="BH58" s="6" t="str">
        <f t="shared" si="1"/>
        <v>20V_One_Acc</v>
      </c>
      <c r="BI58" s="6" t="str">
        <f t="shared" si="2"/>
        <v>8V_One_Acc</v>
      </c>
      <c r="BJ58" s="6" t="str">
        <f t="shared" si="3"/>
        <v>12VB_One_Acc</v>
      </c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</row>
    <row r="59" ht="15.75" customHeight="1">
      <c r="A59" s="1" t="s">
        <v>153</v>
      </c>
      <c r="B59" s="9" t="s">
        <v>85</v>
      </c>
      <c r="C59" s="9" t="s">
        <v>85</v>
      </c>
      <c r="D59" s="9">
        <v>0.766186</v>
      </c>
      <c r="E59" s="9" t="s">
        <v>85</v>
      </c>
      <c r="F59" s="9" t="s">
        <v>85</v>
      </c>
      <c r="G59" s="9">
        <v>0.172371</v>
      </c>
      <c r="H59" s="9" t="s">
        <v>85</v>
      </c>
      <c r="I59" s="9" t="s">
        <v>85</v>
      </c>
      <c r="J59" s="9">
        <v>0.794227</v>
      </c>
      <c r="K59" s="9" t="s">
        <v>85</v>
      </c>
      <c r="L59" s="9" t="s">
        <v>85</v>
      </c>
      <c r="M59" s="9">
        <v>0.797938</v>
      </c>
      <c r="N59" s="9" t="s">
        <v>85</v>
      </c>
      <c r="O59" s="9" t="s">
        <v>85</v>
      </c>
      <c r="P59" s="9">
        <v>0.814433</v>
      </c>
      <c r="Q59" s="9" t="s">
        <v>85</v>
      </c>
      <c r="R59" s="9" t="s">
        <v>85</v>
      </c>
      <c r="S59" s="9">
        <v>0.803299</v>
      </c>
      <c r="T59" s="9" t="s">
        <v>85</v>
      </c>
      <c r="U59" s="9" t="s">
        <v>85</v>
      </c>
      <c r="V59" s="9">
        <v>0.814845</v>
      </c>
      <c r="W59" s="9" t="s">
        <v>85</v>
      </c>
      <c r="X59" s="9" t="s">
        <v>85</v>
      </c>
      <c r="Y59" s="9">
        <v>0.795876</v>
      </c>
      <c r="Z59" s="10" t="s">
        <v>85</v>
      </c>
      <c r="AA59" s="10" t="s">
        <v>85</v>
      </c>
      <c r="AB59" s="9">
        <v>0.785567</v>
      </c>
      <c r="AC59" s="9" t="s">
        <v>85</v>
      </c>
      <c r="AD59" s="9" t="s">
        <v>85</v>
      </c>
      <c r="AE59" s="9">
        <v>0.806186</v>
      </c>
      <c r="AF59" s="9" t="s">
        <v>85</v>
      </c>
      <c r="AG59" s="9" t="s">
        <v>85</v>
      </c>
      <c r="AH59" s="9">
        <v>0.732371</v>
      </c>
      <c r="AI59" s="9" t="s">
        <v>85</v>
      </c>
      <c r="AJ59" s="9" t="s">
        <v>85</v>
      </c>
      <c r="AK59" s="9">
        <v>0.849897</v>
      </c>
      <c r="AL59" s="9" t="s">
        <v>85</v>
      </c>
      <c r="AM59" s="9" t="s">
        <v>85</v>
      </c>
      <c r="AN59" s="9">
        <v>0.804948</v>
      </c>
      <c r="AO59" s="9" t="s">
        <v>85</v>
      </c>
      <c r="AP59" s="9" t="s">
        <v>85</v>
      </c>
      <c r="AQ59" s="9">
        <v>0.813608</v>
      </c>
      <c r="AR59" s="9" t="s">
        <v>85</v>
      </c>
      <c r="AS59" s="9" t="s">
        <v>85</v>
      </c>
      <c r="AT59" s="9">
        <v>0.798351</v>
      </c>
      <c r="AU59" s="9" t="s">
        <v>85</v>
      </c>
      <c r="AV59" s="9" t="s">
        <v>85</v>
      </c>
      <c r="AW59" s="9">
        <v>0.835052</v>
      </c>
      <c r="AX59" s="9" t="s">
        <v>85</v>
      </c>
      <c r="AY59" s="9" t="s">
        <v>85</v>
      </c>
      <c r="AZ59" s="9">
        <v>0.816082</v>
      </c>
      <c r="BA59" s="10" t="s">
        <v>85</v>
      </c>
      <c r="BB59" s="10" t="s">
        <v>85</v>
      </c>
      <c r="BC59" s="9">
        <v>0.840825</v>
      </c>
      <c r="BD59" s="10" t="s">
        <v>85</v>
      </c>
      <c r="BE59" s="10" t="s">
        <v>85</v>
      </c>
      <c r="BF59" s="9" t="s">
        <v>85</v>
      </c>
      <c r="BG59" s="6"/>
      <c r="BH59" s="6" t="str">
        <f t="shared" si="1"/>
        <v>10VB_One_Acc</v>
      </c>
      <c r="BI59" s="6" t="str">
        <f t="shared" si="2"/>
        <v>20V_One_Acc</v>
      </c>
      <c r="BJ59" s="6" t="str">
        <f t="shared" si="3"/>
        <v>12VB_One_Acc</v>
      </c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</row>
    <row r="60" ht="15.75" customHeight="1">
      <c r="A60" s="1" t="s">
        <v>154</v>
      </c>
      <c r="B60" s="9" t="s">
        <v>85</v>
      </c>
      <c r="C60" s="9" t="s">
        <v>85</v>
      </c>
      <c r="D60" s="9">
        <v>0.789936</v>
      </c>
      <c r="E60" s="9" t="s">
        <v>85</v>
      </c>
      <c r="F60" s="9" t="s">
        <v>85</v>
      </c>
      <c r="G60" s="9">
        <v>0.539137</v>
      </c>
      <c r="H60" s="9" t="s">
        <v>85</v>
      </c>
      <c r="I60" s="9" t="s">
        <v>85</v>
      </c>
      <c r="J60" s="9">
        <v>0.841054</v>
      </c>
      <c r="K60" s="9" t="s">
        <v>85</v>
      </c>
      <c r="L60" s="9" t="s">
        <v>85</v>
      </c>
      <c r="M60" s="9">
        <v>0.828275</v>
      </c>
      <c r="N60" s="9" t="s">
        <v>85</v>
      </c>
      <c r="O60" s="9" t="s">
        <v>85</v>
      </c>
      <c r="P60" s="9">
        <v>0.698083</v>
      </c>
      <c r="Q60" s="9" t="s">
        <v>85</v>
      </c>
      <c r="R60" s="9" t="s">
        <v>85</v>
      </c>
      <c r="S60" s="9">
        <v>0.770767</v>
      </c>
      <c r="T60" s="9" t="s">
        <v>85</v>
      </c>
      <c r="U60" s="9" t="s">
        <v>85</v>
      </c>
      <c r="V60" s="9">
        <v>0.833067</v>
      </c>
      <c r="W60" s="9" t="s">
        <v>85</v>
      </c>
      <c r="X60" s="9" t="s">
        <v>85</v>
      </c>
      <c r="Y60" s="9">
        <v>0.802716</v>
      </c>
      <c r="Z60" s="10" t="s">
        <v>85</v>
      </c>
      <c r="AA60" s="10" t="s">
        <v>85</v>
      </c>
      <c r="AB60" s="9">
        <v>0.759585</v>
      </c>
      <c r="AC60" s="9" t="s">
        <v>85</v>
      </c>
      <c r="AD60" s="9" t="s">
        <v>85</v>
      </c>
      <c r="AE60" s="9">
        <v>0.741214</v>
      </c>
      <c r="AF60" s="9" t="s">
        <v>85</v>
      </c>
      <c r="AG60" s="9" t="s">
        <v>85</v>
      </c>
      <c r="AH60" s="9">
        <v>0.829872</v>
      </c>
      <c r="AI60" s="9" t="s">
        <v>85</v>
      </c>
      <c r="AJ60" s="9" t="s">
        <v>85</v>
      </c>
      <c r="AK60" s="9">
        <v>0.83147</v>
      </c>
      <c r="AL60" s="9" t="s">
        <v>85</v>
      </c>
      <c r="AM60" s="9" t="s">
        <v>85</v>
      </c>
      <c r="AN60" s="9">
        <v>0.798722</v>
      </c>
      <c r="AO60" s="9" t="s">
        <v>85</v>
      </c>
      <c r="AP60" s="9" t="s">
        <v>85</v>
      </c>
      <c r="AQ60" s="9">
        <v>0.783546</v>
      </c>
      <c r="AR60" s="9" t="s">
        <v>85</v>
      </c>
      <c r="AS60" s="9" t="s">
        <v>85</v>
      </c>
      <c r="AT60" s="9">
        <v>0.826677</v>
      </c>
      <c r="AU60" s="9" t="s">
        <v>85</v>
      </c>
      <c r="AV60" s="9" t="s">
        <v>85</v>
      </c>
      <c r="AW60" s="9">
        <v>0.826677</v>
      </c>
      <c r="AX60" s="9" t="s">
        <v>85</v>
      </c>
      <c r="AY60" s="9" t="s">
        <v>85</v>
      </c>
      <c r="AZ60" s="9">
        <v>0.724441</v>
      </c>
      <c r="BA60" s="10" t="s">
        <v>85</v>
      </c>
      <c r="BB60" s="10" t="s">
        <v>85</v>
      </c>
      <c r="BC60" s="9">
        <v>0.807508</v>
      </c>
      <c r="BD60" s="10" t="s">
        <v>85</v>
      </c>
      <c r="BE60" s="10" t="s">
        <v>85</v>
      </c>
      <c r="BF60" s="9" t="s">
        <v>85</v>
      </c>
      <c r="BG60" s="6"/>
      <c r="BH60" s="6" t="str">
        <f t="shared" si="1"/>
        <v>5V_One_Acc</v>
      </c>
      <c r="BI60" s="6" t="str">
        <f t="shared" si="2"/>
        <v>8V_One_Acc</v>
      </c>
      <c r="BJ60" s="6" t="str">
        <f t="shared" si="3"/>
        <v>10VB_One_Acc</v>
      </c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</row>
    <row r="61" ht="15.75" customHeight="1">
      <c r="A61" s="1" t="s">
        <v>155</v>
      </c>
      <c r="B61" s="9" t="s">
        <v>85</v>
      </c>
      <c r="C61" s="9" t="s">
        <v>85</v>
      </c>
      <c r="D61" s="9">
        <v>0.4</v>
      </c>
      <c r="E61" s="9" t="s">
        <v>85</v>
      </c>
      <c r="F61" s="9" t="s">
        <v>85</v>
      </c>
      <c r="G61" s="9">
        <v>0.4</v>
      </c>
      <c r="H61" s="9" t="s">
        <v>85</v>
      </c>
      <c r="I61" s="9" t="s">
        <v>85</v>
      </c>
      <c r="J61" s="9">
        <v>0.4</v>
      </c>
      <c r="K61" s="9" t="s">
        <v>85</v>
      </c>
      <c r="L61" s="9" t="s">
        <v>85</v>
      </c>
      <c r="M61" s="9">
        <v>0.4</v>
      </c>
      <c r="N61" s="9" t="s">
        <v>85</v>
      </c>
      <c r="O61" s="9" t="s">
        <v>85</v>
      </c>
      <c r="P61" s="9">
        <v>0.4</v>
      </c>
      <c r="Q61" s="9" t="s">
        <v>85</v>
      </c>
      <c r="R61" s="9" t="s">
        <v>85</v>
      </c>
      <c r="S61" s="9">
        <v>0.4</v>
      </c>
      <c r="T61" s="9" t="s">
        <v>85</v>
      </c>
      <c r="U61" s="9" t="s">
        <v>85</v>
      </c>
      <c r="V61" s="9">
        <v>0.4</v>
      </c>
      <c r="W61" s="9" t="s">
        <v>85</v>
      </c>
      <c r="X61" s="9" t="s">
        <v>85</v>
      </c>
      <c r="Y61" s="9">
        <v>0.4</v>
      </c>
      <c r="Z61" s="10" t="s">
        <v>85</v>
      </c>
      <c r="AA61" s="10" t="s">
        <v>85</v>
      </c>
      <c r="AB61" s="9">
        <v>0.4</v>
      </c>
      <c r="AC61" s="9" t="s">
        <v>85</v>
      </c>
      <c r="AD61" s="9" t="s">
        <v>85</v>
      </c>
      <c r="AE61" s="9">
        <v>0.4</v>
      </c>
      <c r="AF61" s="9" t="s">
        <v>85</v>
      </c>
      <c r="AG61" s="9" t="s">
        <v>85</v>
      </c>
      <c r="AH61" s="9">
        <v>0.4</v>
      </c>
      <c r="AI61" s="9" t="s">
        <v>85</v>
      </c>
      <c r="AJ61" s="9" t="s">
        <v>85</v>
      </c>
      <c r="AK61" s="9">
        <v>0.4</v>
      </c>
      <c r="AL61" s="9" t="s">
        <v>85</v>
      </c>
      <c r="AM61" s="9" t="s">
        <v>85</v>
      </c>
      <c r="AN61" s="9">
        <v>0.4</v>
      </c>
      <c r="AO61" s="9" t="s">
        <v>85</v>
      </c>
      <c r="AP61" s="9" t="s">
        <v>85</v>
      </c>
      <c r="AQ61" s="9">
        <v>0.5</v>
      </c>
      <c r="AR61" s="9" t="s">
        <v>85</v>
      </c>
      <c r="AS61" s="9" t="s">
        <v>85</v>
      </c>
      <c r="AT61" s="9">
        <v>0.3</v>
      </c>
      <c r="AU61" s="9" t="s">
        <v>85</v>
      </c>
      <c r="AV61" s="9" t="s">
        <v>85</v>
      </c>
      <c r="AW61" s="9">
        <v>0.4</v>
      </c>
      <c r="AX61" s="9" t="s">
        <v>85</v>
      </c>
      <c r="AY61" s="9" t="s">
        <v>85</v>
      </c>
      <c r="AZ61" s="9">
        <v>0.4</v>
      </c>
      <c r="BA61" s="10" t="s">
        <v>85</v>
      </c>
      <c r="BB61" s="10" t="s">
        <v>85</v>
      </c>
      <c r="BC61" s="9">
        <v>0.4</v>
      </c>
      <c r="BD61" s="10" t="s">
        <v>85</v>
      </c>
      <c r="BE61" s="10" t="s">
        <v>85</v>
      </c>
      <c r="BF61" s="9" t="s">
        <v>85</v>
      </c>
      <c r="BG61" s="6"/>
      <c r="BH61" s="6" t="str">
        <f t="shared" si="1"/>
        <v>12BN_One_Acc</v>
      </c>
      <c r="BI61" s="6" t="str">
        <f t="shared" si="2"/>
        <v>5B_One_Acc</v>
      </c>
      <c r="BJ61" s="6" t="str">
        <f t="shared" si="3"/>
        <v>5B_One_Acc</v>
      </c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</row>
    <row r="62" ht="15.75" customHeight="1">
      <c r="A62" s="1" t="s">
        <v>156</v>
      </c>
      <c r="B62" s="9" t="s">
        <v>85</v>
      </c>
      <c r="C62" s="9" t="s">
        <v>85</v>
      </c>
      <c r="D62" s="9">
        <v>0.421488</v>
      </c>
      <c r="E62" s="9" t="s">
        <v>85</v>
      </c>
      <c r="F62" s="9" t="s">
        <v>85</v>
      </c>
      <c r="G62" s="9">
        <v>0.181818</v>
      </c>
      <c r="H62" s="9" t="s">
        <v>85</v>
      </c>
      <c r="I62" s="9" t="s">
        <v>85</v>
      </c>
      <c r="J62" s="9">
        <v>0.450413</v>
      </c>
      <c r="K62" s="9" t="s">
        <v>85</v>
      </c>
      <c r="L62" s="9" t="s">
        <v>85</v>
      </c>
      <c r="M62" s="9">
        <v>0.409091</v>
      </c>
      <c r="N62" s="9" t="s">
        <v>85</v>
      </c>
      <c r="O62" s="9" t="s">
        <v>85</v>
      </c>
      <c r="P62" s="9">
        <v>0.404959</v>
      </c>
      <c r="Q62" s="9" t="s">
        <v>85</v>
      </c>
      <c r="R62" s="9" t="s">
        <v>85</v>
      </c>
      <c r="S62" s="9">
        <v>0.404959</v>
      </c>
      <c r="T62" s="9" t="s">
        <v>85</v>
      </c>
      <c r="U62" s="9" t="s">
        <v>85</v>
      </c>
      <c r="V62" s="9">
        <v>0.46281</v>
      </c>
      <c r="W62" s="9" t="s">
        <v>85</v>
      </c>
      <c r="X62" s="9" t="s">
        <v>85</v>
      </c>
      <c r="Y62" s="9">
        <v>0.454545</v>
      </c>
      <c r="Z62" s="10" t="s">
        <v>85</v>
      </c>
      <c r="AA62" s="10" t="s">
        <v>85</v>
      </c>
      <c r="AB62" s="9">
        <v>0.495868</v>
      </c>
      <c r="AC62" s="9" t="s">
        <v>85</v>
      </c>
      <c r="AD62" s="9" t="s">
        <v>85</v>
      </c>
      <c r="AE62" s="9">
        <v>0.487603</v>
      </c>
      <c r="AF62" s="9" t="s">
        <v>85</v>
      </c>
      <c r="AG62" s="9" t="s">
        <v>85</v>
      </c>
      <c r="AH62" s="9">
        <v>0.5</v>
      </c>
      <c r="AI62" s="9" t="s">
        <v>85</v>
      </c>
      <c r="AJ62" s="9" t="s">
        <v>85</v>
      </c>
      <c r="AK62" s="9">
        <v>0.454545</v>
      </c>
      <c r="AL62" s="9" t="s">
        <v>85</v>
      </c>
      <c r="AM62" s="9" t="s">
        <v>85</v>
      </c>
      <c r="AN62" s="9">
        <v>0.508264</v>
      </c>
      <c r="AO62" s="9" t="s">
        <v>85</v>
      </c>
      <c r="AP62" s="9" t="s">
        <v>85</v>
      </c>
      <c r="AQ62" s="9">
        <v>0.5</v>
      </c>
      <c r="AR62" s="9" t="s">
        <v>85</v>
      </c>
      <c r="AS62" s="9" t="s">
        <v>85</v>
      </c>
      <c r="AT62" s="9">
        <v>0.479339</v>
      </c>
      <c r="AU62" s="9" t="s">
        <v>85</v>
      </c>
      <c r="AV62" s="9" t="s">
        <v>85</v>
      </c>
      <c r="AW62" s="9">
        <v>0.479339</v>
      </c>
      <c r="AX62" s="9" t="s">
        <v>85</v>
      </c>
      <c r="AY62" s="9" t="s">
        <v>85</v>
      </c>
      <c r="AZ62" s="9">
        <v>0.479339</v>
      </c>
      <c r="BA62" s="10" t="s">
        <v>85</v>
      </c>
      <c r="BB62" s="10" t="s">
        <v>85</v>
      </c>
      <c r="BC62" s="9">
        <v>0.495868</v>
      </c>
      <c r="BD62" s="10" t="s">
        <v>85</v>
      </c>
      <c r="BE62" s="10" t="s">
        <v>85</v>
      </c>
      <c r="BF62" s="9" t="s">
        <v>85</v>
      </c>
      <c r="BG62" s="6"/>
      <c r="BH62" s="6" t="str">
        <f t="shared" si="1"/>
        <v>12B_One_Acc</v>
      </c>
      <c r="BI62" s="6" t="str">
        <f t="shared" si="2"/>
        <v>10V_One_Acc</v>
      </c>
      <c r="BJ62" s="6" t="str">
        <f t="shared" si="3"/>
        <v>10V_One_Acc</v>
      </c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</row>
    <row r="63" ht="15.75" customHeight="1">
      <c r="A63" s="1" t="s">
        <v>157</v>
      </c>
      <c r="B63" s="9" t="s">
        <v>85</v>
      </c>
      <c r="C63" s="9" t="s">
        <v>85</v>
      </c>
      <c r="D63" s="9">
        <v>0.744755</v>
      </c>
      <c r="E63" s="9" t="s">
        <v>85</v>
      </c>
      <c r="F63" s="9" t="s">
        <v>85</v>
      </c>
      <c r="G63" s="9">
        <v>0.613054</v>
      </c>
      <c r="H63" s="9" t="s">
        <v>85</v>
      </c>
      <c r="I63" s="9" t="s">
        <v>85</v>
      </c>
      <c r="J63" s="9">
        <v>0.791375</v>
      </c>
      <c r="K63" s="9" t="s">
        <v>85</v>
      </c>
      <c r="L63" s="9" t="s">
        <v>85</v>
      </c>
      <c r="M63" s="9">
        <v>0.749417</v>
      </c>
      <c r="N63" s="9" t="s">
        <v>85</v>
      </c>
      <c r="O63" s="9" t="s">
        <v>85</v>
      </c>
      <c r="P63" s="9">
        <v>0.731935</v>
      </c>
      <c r="Q63" s="9" t="s">
        <v>85</v>
      </c>
      <c r="R63" s="9" t="s">
        <v>85</v>
      </c>
      <c r="S63" s="9">
        <v>0.713287</v>
      </c>
      <c r="T63" s="9" t="s">
        <v>85</v>
      </c>
      <c r="U63" s="9" t="s">
        <v>85</v>
      </c>
      <c r="V63" s="9">
        <v>0.763403</v>
      </c>
      <c r="W63" s="9" t="s">
        <v>85</v>
      </c>
      <c r="X63" s="9" t="s">
        <v>85</v>
      </c>
      <c r="Y63" s="9">
        <v>0.758741</v>
      </c>
      <c r="Z63" s="10" t="s">
        <v>85</v>
      </c>
      <c r="AA63" s="10" t="s">
        <v>85</v>
      </c>
      <c r="AB63" s="9">
        <v>0.740093</v>
      </c>
      <c r="AC63" s="9" t="s">
        <v>85</v>
      </c>
      <c r="AD63" s="9" t="s">
        <v>85</v>
      </c>
      <c r="AE63" s="9">
        <v>0.761072</v>
      </c>
      <c r="AF63" s="9" t="s">
        <v>85</v>
      </c>
      <c r="AG63" s="9" t="s">
        <v>85</v>
      </c>
      <c r="AH63" s="9">
        <v>0.754079</v>
      </c>
      <c r="AI63" s="9" t="s">
        <v>85</v>
      </c>
      <c r="AJ63" s="9" t="s">
        <v>85</v>
      </c>
      <c r="AK63" s="9">
        <v>0.772727</v>
      </c>
      <c r="AL63" s="9" t="s">
        <v>85</v>
      </c>
      <c r="AM63" s="9" t="s">
        <v>85</v>
      </c>
      <c r="AN63" s="9">
        <v>0.750583</v>
      </c>
      <c r="AO63" s="9" t="s">
        <v>85</v>
      </c>
      <c r="AP63" s="9" t="s">
        <v>85</v>
      </c>
      <c r="AQ63" s="9">
        <v>0.729604</v>
      </c>
      <c r="AR63" s="9" t="s">
        <v>85</v>
      </c>
      <c r="AS63" s="9" t="s">
        <v>85</v>
      </c>
      <c r="AT63" s="9">
        <v>0.789044</v>
      </c>
      <c r="AU63" s="9" t="s">
        <v>85</v>
      </c>
      <c r="AV63" s="9" t="s">
        <v>85</v>
      </c>
      <c r="AW63" s="9">
        <v>0.765734</v>
      </c>
      <c r="AX63" s="9" t="s">
        <v>85</v>
      </c>
      <c r="AY63" s="9" t="s">
        <v>85</v>
      </c>
      <c r="AZ63" s="9">
        <v>0.75641</v>
      </c>
      <c r="BA63" s="10" t="s">
        <v>85</v>
      </c>
      <c r="BB63" s="10" t="s">
        <v>85</v>
      </c>
      <c r="BC63" s="9">
        <v>0.763403</v>
      </c>
      <c r="BD63" s="10" t="s">
        <v>85</v>
      </c>
      <c r="BE63" s="10" t="s">
        <v>85</v>
      </c>
      <c r="BF63" s="9" t="s">
        <v>85</v>
      </c>
      <c r="BG63" s="6"/>
      <c r="BH63" s="6" t="str">
        <f t="shared" si="1"/>
        <v>5V_One_Acc</v>
      </c>
      <c r="BI63" s="6" t="str">
        <f t="shared" si="2"/>
        <v>12V_One_Acc</v>
      </c>
      <c r="BJ63" s="6" t="str">
        <f t="shared" si="3"/>
        <v>10VB_One_Acc</v>
      </c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</row>
    <row r="64" ht="15.75" customHeight="1">
      <c r="A64" s="1" t="s">
        <v>158</v>
      </c>
      <c r="B64" s="9" t="s">
        <v>85</v>
      </c>
      <c r="C64" s="9" t="s">
        <v>85</v>
      </c>
      <c r="D64" s="9">
        <v>0.141878</v>
      </c>
      <c r="E64" s="9" t="s">
        <v>85</v>
      </c>
      <c r="F64" s="9" t="s">
        <v>85</v>
      </c>
      <c r="G64" s="9">
        <v>0.068565</v>
      </c>
      <c r="H64" s="9" t="s">
        <v>85</v>
      </c>
      <c r="I64" s="9" t="s">
        <v>85</v>
      </c>
      <c r="J64" s="9">
        <v>0.160338</v>
      </c>
      <c r="K64" s="9" t="s">
        <v>85</v>
      </c>
      <c r="L64" s="9" t="s">
        <v>85</v>
      </c>
      <c r="M64" s="9">
        <v>0.1577</v>
      </c>
      <c r="N64" s="9" t="s">
        <v>85</v>
      </c>
      <c r="O64" s="9" t="s">
        <v>85</v>
      </c>
      <c r="P64" s="9">
        <v>0.144515</v>
      </c>
      <c r="Q64" s="9" t="s">
        <v>85</v>
      </c>
      <c r="R64" s="9" t="s">
        <v>85</v>
      </c>
      <c r="S64" s="9">
        <v>0.159283</v>
      </c>
      <c r="T64" s="9" t="s">
        <v>85</v>
      </c>
      <c r="U64" s="9" t="s">
        <v>85</v>
      </c>
      <c r="V64" s="9">
        <v>0.165084</v>
      </c>
      <c r="W64" s="9" t="s">
        <v>85</v>
      </c>
      <c r="X64" s="9" t="s">
        <v>85</v>
      </c>
      <c r="Y64" s="9">
        <v>0.145042</v>
      </c>
      <c r="Z64" s="10" t="s">
        <v>85</v>
      </c>
      <c r="AA64" s="10" t="s">
        <v>85</v>
      </c>
      <c r="AB64" s="9">
        <v>0.144515</v>
      </c>
      <c r="AC64" s="9" t="s">
        <v>85</v>
      </c>
      <c r="AD64" s="9" t="s">
        <v>85</v>
      </c>
      <c r="AE64" s="9">
        <v>0.142405</v>
      </c>
      <c r="AF64" s="9" t="s">
        <v>85</v>
      </c>
      <c r="AG64" s="9" t="s">
        <v>85</v>
      </c>
      <c r="AH64" s="9">
        <v>0.159283</v>
      </c>
      <c r="AI64" s="9" t="s">
        <v>85</v>
      </c>
      <c r="AJ64" s="9" t="s">
        <v>85</v>
      </c>
      <c r="AK64" s="9">
        <v>0.112869</v>
      </c>
      <c r="AL64" s="9" t="s">
        <v>85</v>
      </c>
      <c r="AM64" s="9" t="s">
        <v>85</v>
      </c>
      <c r="AN64" s="9">
        <v>0.151899</v>
      </c>
      <c r="AO64" s="9" t="s">
        <v>85</v>
      </c>
      <c r="AP64" s="9" t="s">
        <v>85</v>
      </c>
      <c r="AQ64" s="9">
        <v>0.158755</v>
      </c>
      <c r="AR64" s="9" t="s">
        <v>85</v>
      </c>
      <c r="AS64" s="9" t="s">
        <v>85</v>
      </c>
      <c r="AT64" s="9">
        <v>0.150844</v>
      </c>
      <c r="AU64" s="9" t="s">
        <v>85</v>
      </c>
      <c r="AV64" s="9" t="s">
        <v>85</v>
      </c>
      <c r="AW64" s="9">
        <v>0.162447</v>
      </c>
      <c r="AX64" s="9" t="s">
        <v>85</v>
      </c>
      <c r="AY64" s="9" t="s">
        <v>85</v>
      </c>
      <c r="AZ64" s="9">
        <v>0.112869</v>
      </c>
      <c r="BA64" s="10" t="s">
        <v>85</v>
      </c>
      <c r="BB64" s="10" t="s">
        <v>85</v>
      </c>
      <c r="BC64" s="9">
        <v>0.112869</v>
      </c>
      <c r="BD64" s="10" t="s">
        <v>85</v>
      </c>
      <c r="BE64" s="10" t="s">
        <v>85</v>
      </c>
      <c r="BF64" s="9" t="s">
        <v>85</v>
      </c>
      <c r="BG64" s="6"/>
      <c r="BH64" s="6" t="str">
        <f t="shared" si="1"/>
        <v>8V_One_Acc</v>
      </c>
      <c r="BI64" s="6" t="str">
        <f t="shared" si="2"/>
        <v>12VB_One_Acc</v>
      </c>
      <c r="BJ64" s="6" t="str">
        <f t="shared" si="3"/>
        <v>5V_One_Acc</v>
      </c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</row>
    <row r="65" ht="15.75" customHeight="1">
      <c r="A65" s="1" t="s">
        <v>159</v>
      </c>
      <c r="B65" s="9" t="s">
        <v>85</v>
      </c>
      <c r="C65" s="9" t="s">
        <v>85</v>
      </c>
      <c r="D65" s="9">
        <v>0.125</v>
      </c>
      <c r="E65" s="9" t="s">
        <v>85</v>
      </c>
      <c r="F65" s="9" t="s">
        <v>85</v>
      </c>
      <c r="G65" s="9">
        <v>0.019231</v>
      </c>
      <c r="H65" s="9" t="s">
        <v>85</v>
      </c>
      <c r="I65" s="9" t="s">
        <v>85</v>
      </c>
      <c r="J65" s="9">
        <v>0.115385</v>
      </c>
      <c r="K65" s="9" t="s">
        <v>85</v>
      </c>
      <c r="L65" s="9" t="s">
        <v>85</v>
      </c>
      <c r="M65" s="9">
        <v>0.081731</v>
      </c>
      <c r="N65" s="9" t="s">
        <v>85</v>
      </c>
      <c r="O65" s="9" t="s">
        <v>85</v>
      </c>
      <c r="P65" s="9">
        <v>0.100962</v>
      </c>
      <c r="Q65" s="9" t="s">
        <v>85</v>
      </c>
      <c r="R65" s="9" t="s">
        <v>85</v>
      </c>
      <c r="S65" s="9">
        <v>0.067308</v>
      </c>
      <c r="T65" s="9" t="s">
        <v>85</v>
      </c>
      <c r="U65" s="9" t="s">
        <v>85</v>
      </c>
      <c r="V65" s="9">
        <v>0.0625</v>
      </c>
      <c r="W65" s="9" t="s">
        <v>85</v>
      </c>
      <c r="X65" s="9" t="s">
        <v>85</v>
      </c>
      <c r="Y65" s="9">
        <v>0.0625</v>
      </c>
      <c r="Z65" s="10" t="s">
        <v>85</v>
      </c>
      <c r="AA65" s="10" t="s">
        <v>85</v>
      </c>
      <c r="AB65" s="9">
        <v>0.081731</v>
      </c>
      <c r="AC65" s="9" t="s">
        <v>85</v>
      </c>
      <c r="AD65" s="9" t="s">
        <v>85</v>
      </c>
      <c r="AE65" s="9">
        <v>0.072115</v>
      </c>
      <c r="AF65" s="9" t="s">
        <v>85</v>
      </c>
      <c r="AG65" s="9" t="s">
        <v>85</v>
      </c>
      <c r="AH65" s="9">
        <v>0.096154</v>
      </c>
      <c r="AI65" s="9" t="s">
        <v>85</v>
      </c>
      <c r="AJ65" s="9" t="s">
        <v>85</v>
      </c>
      <c r="AK65" s="9">
        <v>0.057692</v>
      </c>
      <c r="AL65" s="9" t="s">
        <v>85</v>
      </c>
      <c r="AM65" s="9" t="s">
        <v>85</v>
      </c>
      <c r="AN65" s="9">
        <v>0.072115</v>
      </c>
      <c r="AO65" s="9" t="s">
        <v>85</v>
      </c>
      <c r="AP65" s="9" t="s">
        <v>85</v>
      </c>
      <c r="AQ65" s="9">
        <v>0.076923</v>
      </c>
      <c r="AR65" s="9" t="s">
        <v>85</v>
      </c>
      <c r="AS65" s="9" t="s">
        <v>85</v>
      </c>
      <c r="AT65" s="9">
        <v>0.043269</v>
      </c>
      <c r="AU65" s="9" t="s">
        <v>85</v>
      </c>
      <c r="AV65" s="9" t="s">
        <v>85</v>
      </c>
      <c r="AW65" s="9">
        <v>0.043269</v>
      </c>
      <c r="AX65" s="9" t="s">
        <v>85</v>
      </c>
      <c r="AY65" s="9" t="s">
        <v>85</v>
      </c>
      <c r="AZ65" s="9">
        <v>0.076923</v>
      </c>
      <c r="BA65" s="10" t="s">
        <v>85</v>
      </c>
      <c r="BB65" s="10" t="s">
        <v>85</v>
      </c>
      <c r="BC65" s="9">
        <v>0.057692</v>
      </c>
      <c r="BD65" s="10" t="s">
        <v>85</v>
      </c>
      <c r="BE65" s="10" t="s">
        <v>85</v>
      </c>
      <c r="BF65" s="9" t="s">
        <v>85</v>
      </c>
      <c r="BG65" s="6"/>
      <c r="BH65" s="6" t="str">
        <f t="shared" si="1"/>
        <v>5B_One_Acc</v>
      </c>
      <c r="BI65" s="6" t="str">
        <f t="shared" si="2"/>
        <v>5V_One_Acc</v>
      </c>
      <c r="BJ65" s="6" t="str">
        <f t="shared" si="3"/>
        <v>8B_One_Acc</v>
      </c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</row>
    <row r="66" ht="15.75" customHeight="1">
      <c r="A66" s="1" t="s">
        <v>160</v>
      </c>
      <c r="B66" s="9" t="s">
        <v>85</v>
      </c>
      <c r="C66" s="9" t="s">
        <v>85</v>
      </c>
      <c r="D66" s="9">
        <v>0.072115</v>
      </c>
      <c r="E66" s="9" t="s">
        <v>85</v>
      </c>
      <c r="F66" s="9" t="s">
        <v>85</v>
      </c>
      <c r="G66" s="9">
        <v>0.019231</v>
      </c>
      <c r="H66" s="9" t="s">
        <v>85</v>
      </c>
      <c r="I66" s="9" t="s">
        <v>85</v>
      </c>
      <c r="J66" s="9">
        <v>0.149038</v>
      </c>
      <c r="K66" s="9" t="s">
        <v>85</v>
      </c>
      <c r="L66" s="9" t="s">
        <v>85</v>
      </c>
      <c r="M66" s="9">
        <v>0.173077</v>
      </c>
      <c r="N66" s="9" t="s">
        <v>85</v>
      </c>
      <c r="O66" s="9" t="s">
        <v>85</v>
      </c>
      <c r="P66" s="9">
        <v>0.043269</v>
      </c>
      <c r="Q66" s="9" t="s">
        <v>85</v>
      </c>
      <c r="R66" s="9" t="s">
        <v>85</v>
      </c>
      <c r="S66" s="9">
        <v>0.072115</v>
      </c>
      <c r="T66" s="9" t="s">
        <v>85</v>
      </c>
      <c r="U66" s="9" t="s">
        <v>85</v>
      </c>
      <c r="V66" s="9">
        <v>0.125</v>
      </c>
      <c r="W66" s="9" t="s">
        <v>85</v>
      </c>
      <c r="X66" s="9" t="s">
        <v>85</v>
      </c>
      <c r="Y66" s="9">
        <v>0.043269</v>
      </c>
      <c r="Z66" s="10" t="s">
        <v>85</v>
      </c>
      <c r="AA66" s="10" t="s">
        <v>85</v>
      </c>
      <c r="AB66" s="9">
        <v>0.038462</v>
      </c>
      <c r="AC66" s="9" t="s">
        <v>85</v>
      </c>
      <c r="AD66" s="9" t="s">
        <v>85</v>
      </c>
      <c r="AE66" s="9">
        <v>0.072115</v>
      </c>
      <c r="AF66" s="9" t="s">
        <v>85</v>
      </c>
      <c r="AG66" s="9" t="s">
        <v>85</v>
      </c>
      <c r="AH66" s="9">
        <v>0.096154</v>
      </c>
      <c r="AI66" s="9" t="s">
        <v>85</v>
      </c>
      <c r="AJ66" s="9" t="s">
        <v>85</v>
      </c>
      <c r="AK66" s="9">
        <v>0.019231</v>
      </c>
      <c r="AL66" s="9" t="s">
        <v>85</v>
      </c>
      <c r="AM66" s="9" t="s">
        <v>85</v>
      </c>
      <c r="AN66" s="9">
        <v>0.052885</v>
      </c>
      <c r="AO66" s="9" t="s">
        <v>85</v>
      </c>
      <c r="AP66" s="9" t="s">
        <v>85</v>
      </c>
      <c r="AQ66" s="9">
        <v>0.057692</v>
      </c>
      <c r="AR66" s="9" t="s">
        <v>85</v>
      </c>
      <c r="AS66" s="9" t="s">
        <v>85</v>
      </c>
      <c r="AT66" s="9">
        <v>0.043269</v>
      </c>
      <c r="AU66" s="9" t="s">
        <v>85</v>
      </c>
      <c r="AV66" s="9" t="s">
        <v>85</v>
      </c>
      <c r="AW66" s="9">
        <v>0.019231</v>
      </c>
      <c r="AX66" s="9" t="s">
        <v>85</v>
      </c>
      <c r="AY66" s="9" t="s">
        <v>85</v>
      </c>
      <c r="AZ66" s="9">
        <v>0.072115</v>
      </c>
      <c r="BA66" s="10" t="s">
        <v>85</v>
      </c>
      <c r="BB66" s="10" t="s">
        <v>85</v>
      </c>
      <c r="BC66" s="9">
        <v>0.024038</v>
      </c>
      <c r="BD66" s="10" t="s">
        <v>85</v>
      </c>
      <c r="BE66" s="10" t="s">
        <v>85</v>
      </c>
      <c r="BF66" s="9" t="s">
        <v>85</v>
      </c>
      <c r="BG66" s="6"/>
      <c r="BH66" s="6" t="str">
        <f t="shared" si="1"/>
        <v>5VB_One_Acc</v>
      </c>
      <c r="BI66" s="6" t="str">
        <f t="shared" si="2"/>
        <v>5V_One_Acc</v>
      </c>
      <c r="BJ66" s="6" t="str">
        <f t="shared" si="3"/>
        <v>8V_One_Acc</v>
      </c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</row>
    <row r="67" ht="15.75" customHeight="1">
      <c r="A67" s="1" t="s">
        <v>161</v>
      </c>
      <c r="B67" s="9" t="s">
        <v>85</v>
      </c>
      <c r="C67" s="9" t="s">
        <v>85</v>
      </c>
      <c r="D67" s="9">
        <v>0.100962</v>
      </c>
      <c r="E67" s="9" t="s">
        <v>85</v>
      </c>
      <c r="F67" s="9" t="s">
        <v>85</v>
      </c>
      <c r="G67" s="9">
        <v>0.019231</v>
      </c>
      <c r="H67" s="9" t="s">
        <v>85</v>
      </c>
      <c r="I67" s="9" t="s">
        <v>85</v>
      </c>
      <c r="J67" s="9">
        <v>0.067308</v>
      </c>
      <c r="K67" s="9" t="s">
        <v>85</v>
      </c>
      <c r="L67" s="9" t="s">
        <v>85</v>
      </c>
      <c r="M67" s="9">
        <v>0.0625</v>
      </c>
      <c r="N67" s="9" t="s">
        <v>85</v>
      </c>
      <c r="O67" s="9" t="s">
        <v>85</v>
      </c>
      <c r="P67" s="9">
        <v>0.057692</v>
      </c>
      <c r="Q67" s="9" t="s">
        <v>85</v>
      </c>
      <c r="R67" s="9" t="s">
        <v>85</v>
      </c>
      <c r="S67" s="9">
        <v>0.028846</v>
      </c>
      <c r="T67" s="9" t="s">
        <v>85</v>
      </c>
      <c r="U67" s="9" t="s">
        <v>85</v>
      </c>
      <c r="V67" s="9">
        <v>0.067308</v>
      </c>
      <c r="W67" s="9" t="s">
        <v>85</v>
      </c>
      <c r="X67" s="9" t="s">
        <v>85</v>
      </c>
      <c r="Y67" s="9">
        <v>0.043269</v>
      </c>
      <c r="Z67" s="10" t="s">
        <v>85</v>
      </c>
      <c r="AA67" s="10" t="s">
        <v>85</v>
      </c>
      <c r="AB67" s="9">
        <v>0.038462</v>
      </c>
      <c r="AC67" s="9" t="s">
        <v>85</v>
      </c>
      <c r="AD67" s="9" t="s">
        <v>85</v>
      </c>
      <c r="AE67" s="9">
        <v>0.052885</v>
      </c>
      <c r="AF67" s="9" t="s">
        <v>85</v>
      </c>
      <c r="AG67" s="9" t="s">
        <v>85</v>
      </c>
      <c r="AH67" s="9">
        <v>0.057692</v>
      </c>
      <c r="AI67" s="9" t="s">
        <v>85</v>
      </c>
      <c r="AJ67" s="9" t="s">
        <v>85</v>
      </c>
      <c r="AK67" s="9">
        <v>0.028846</v>
      </c>
      <c r="AL67" s="9" t="s">
        <v>85</v>
      </c>
      <c r="AM67" s="9" t="s">
        <v>85</v>
      </c>
      <c r="AN67" s="9">
        <v>0.038462</v>
      </c>
      <c r="AO67" s="9" t="s">
        <v>85</v>
      </c>
      <c r="AP67" s="9" t="s">
        <v>85</v>
      </c>
      <c r="AQ67" s="9">
        <v>0.057692</v>
      </c>
      <c r="AR67" s="9" t="s">
        <v>85</v>
      </c>
      <c r="AS67" s="9" t="s">
        <v>85</v>
      </c>
      <c r="AT67" s="9">
        <v>0.043269</v>
      </c>
      <c r="AU67" s="9" t="s">
        <v>85</v>
      </c>
      <c r="AV67" s="9" t="s">
        <v>85</v>
      </c>
      <c r="AW67" s="9">
        <v>0.028846</v>
      </c>
      <c r="AX67" s="9" t="s">
        <v>85</v>
      </c>
      <c r="AY67" s="9" t="s">
        <v>85</v>
      </c>
      <c r="AZ67" s="9">
        <v>0.076923</v>
      </c>
      <c r="BA67" s="10" t="s">
        <v>85</v>
      </c>
      <c r="BB67" s="10" t="s">
        <v>85</v>
      </c>
      <c r="BC67" s="9">
        <v>0.019231</v>
      </c>
      <c r="BD67" s="10" t="s">
        <v>85</v>
      </c>
      <c r="BE67" s="10" t="s">
        <v>85</v>
      </c>
      <c r="BF67" s="9" t="s">
        <v>85</v>
      </c>
      <c r="BG67" s="6"/>
      <c r="BH67" s="6" t="str">
        <f t="shared" si="1"/>
        <v>5B_One_Acc</v>
      </c>
      <c r="BI67" s="6" t="str">
        <f t="shared" si="2"/>
        <v>20B_One_Acc</v>
      </c>
      <c r="BJ67" s="6" t="str">
        <f t="shared" si="3"/>
        <v>5V_One_Acc</v>
      </c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</row>
    <row r="68" ht="15.75" customHeight="1">
      <c r="A68" s="1" t="s">
        <v>162</v>
      </c>
      <c r="B68" s="9" t="s">
        <v>85</v>
      </c>
      <c r="C68" s="9" t="s">
        <v>85</v>
      </c>
      <c r="D68" s="9">
        <v>0.971429</v>
      </c>
      <c r="E68" s="9" t="s">
        <v>85</v>
      </c>
      <c r="F68" s="9" t="s">
        <v>85</v>
      </c>
      <c r="G68" s="9">
        <v>0.095238</v>
      </c>
      <c r="H68" s="9" t="s">
        <v>85</v>
      </c>
      <c r="I68" s="9" t="s">
        <v>85</v>
      </c>
      <c r="J68" s="9">
        <v>0.990476</v>
      </c>
      <c r="K68" s="9" t="s">
        <v>85</v>
      </c>
      <c r="L68" s="9" t="s">
        <v>85</v>
      </c>
      <c r="M68" s="9">
        <v>0.990476</v>
      </c>
      <c r="N68" s="9" t="s">
        <v>85</v>
      </c>
      <c r="O68" s="9" t="s">
        <v>85</v>
      </c>
      <c r="P68" s="9">
        <v>1.0</v>
      </c>
      <c r="Q68" s="9" t="s">
        <v>85</v>
      </c>
      <c r="R68" s="9" t="s">
        <v>85</v>
      </c>
      <c r="S68" s="9">
        <v>1.0</v>
      </c>
      <c r="T68" s="9" t="s">
        <v>85</v>
      </c>
      <c r="U68" s="9" t="s">
        <v>85</v>
      </c>
      <c r="V68" s="9">
        <v>0.990476</v>
      </c>
      <c r="W68" s="9" t="s">
        <v>85</v>
      </c>
      <c r="X68" s="9" t="s">
        <v>85</v>
      </c>
      <c r="Y68" s="9">
        <v>0.971429</v>
      </c>
      <c r="Z68" s="10" t="s">
        <v>85</v>
      </c>
      <c r="AA68" s="10" t="s">
        <v>85</v>
      </c>
      <c r="AB68" s="9">
        <v>1.0</v>
      </c>
      <c r="AC68" s="9" t="s">
        <v>85</v>
      </c>
      <c r="AD68" s="9" t="s">
        <v>85</v>
      </c>
      <c r="AE68" s="9">
        <v>0.990476</v>
      </c>
      <c r="AF68" s="9" t="s">
        <v>85</v>
      </c>
      <c r="AG68" s="9" t="s">
        <v>85</v>
      </c>
      <c r="AH68" s="9">
        <v>0.990476</v>
      </c>
      <c r="AI68" s="9" t="s">
        <v>85</v>
      </c>
      <c r="AJ68" s="9" t="s">
        <v>85</v>
      </c>
      <c r="AK68" s="9">
        <v>0.961905</v>
      </c>
      <c r="AL68" s="9" t="s">
        <v>85</v>
      </c>
      <c r="AM68" s="9" t="s">
        <v>85</v>
      </c>
      <c r="AN68" s="9">
        <v>0.933333</v>
      </c>
      <c r="AO68" s="9" t="s">
        <v>85</v>
      </c>
      <c r="AP68" s="9" t="s">
        <v>85</v>
      </c>
      <c r="AQ68" s="9">
        <v>1.0</v>
      </c>
      <c r="AR68" s="9" t="s">
        <v>85</v>
      </c>
      <c r="AS68" s="9" t="s">
        <v>85</v>
      </c>
      <c r="AT68" s="9">
        <v>0.990476</v>
      </c>
      <c r="AU68" s="9" t="s">
        <v>85</v>
      </c>
      <c r="AV68" s="9" t="s">
        <v>85</v>
      </c>
      <c r="AW68" s="9">
        <v>0.980952</v>
      </c>
      <c r="AX68" s="9" t="s">
        <v>85</v>
      </c>
      <c r="AY68" s="9" t="s">
        <v>85</v>
      </c>
      <c r="AZ68" s="9">
        <v>1.0</v>
      </c>
      <c r="BA68" s="10" t="s">
        <v>85</v>
      </c>
      <c r="BB68" s="10" t="s">
        <v>85</v>
      </c>
      <c r="BC68" s="9">
        <v>0.990476</v>
      </c>
      <c r="BD68" s="10" t="s">
        <v>85</v>
      </c>
      <c r="BE68" s="10" t="s">
        <v>85</v>
      </c>
      <c r="BF68" s="9" t="s">
        <v>85</v>
      </c>
      <c r="BG68" s="6"/>
      <c r="BH68" s="6" t="str">
        <f t="shared" si="1"/>
        <v>8B_One_Acc</v>
      </c>
      <c r="BI68" s="6" t="str">
        <f t="shared" si="2"/>
        <v>8B_One_Acc</v>
      </c>
      <c r="BJ68" s="6" t="str">
        <f t="shared" si="3"/>
        <v>8B_One_Acc</v>
      </c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</row>
    <row r="69" ht="15.75" customHeight="1">
      <c r="A69" s="1" t="s">
        <v>163</v>
      </c>
      <c r="B69" s="9" t="s">
        <v>85</v>
      </c>
      <c r="C69" s="9" t="s">
        <v>85</v>
      </c>
      <c r="D69" s="9">
        <v>0.834146</v>
      </c>
      <c r="E69" s="9" t="s">
        <v>85</v>
      </c>
      <c r="F69" s="9" t="s">
        <v>85</v>
      </c>
      <c r="G69" s="9">
        <v>0.487805</v>
      </c>
      <c r="H69" s="9" t="s">
        <v>85</v>
      </c>
      <c r="I69" s="9" t="s">
        <v>85</v>
      </c>
      <c r="J69" s="9">
        <v>0.868293</v>
      </c>
      <c r="K69" s="9" t="s">
        <v>85</v>
      </c>
      <c r="L69" s="9" t="s">
        <v>85</v>
      </c>
      <c r="M69" s="9">
        <v>0.839024</v>
      </c>
      <c r="N69" s="9" t="s">
        <v>85</v>
      </c>
      <c r="O69" s="9" t="s">
        <v>85</v>
      </c>
      <c r="P69" s="9">
        <v>0.809756</v>
      </c>
      <c r="Q69" s="9" t="s">
        <v>85</v>
      </c>
      <c r="R69" s="9" t="s">
        <v>85</v>
      </c>
      <c r="S69" s="9">
        <v>0.809756</v>
      </c>
      <c r="T69" s="9" t="s">
        <v>85</v>
      </c>
      <c r="U69" s="9" t="s">
        <v>85</v>
      </c>
      <c r="V69" s="9">
        <v>0.848781</v>
      </c>
      <c r="W69" s="9" t="s">
        <v>85</v>
      </c>
      <c r="X69" s="9" t="s">
        <v>85</v>
      </c>
      <c r="Y69" s="9">
        <v>0.848781</v>
      </c>
      <c r="Z69" s="10" t="s">
        <v>85</v>
      </c>
      <c r="AA69" s="10" t="s">
        <v>85</v>
      </c>
      <c r="AB69" s="9">
        <v>0.829268</v>
      </c>
      <c r="AC69" s="9" t="s">
        <v>85</v>
      </c>
      <c r="AD69" s="9" t="s">
        <v>85</v>
      </c>
      <c r="AE69" s="9">
        <v>0.82439</v>
      </c>
      <c r="AF69" s="9" t="s">
        <v>85</v>
      </c>
      <c r="AG69" s="9" t="s">
        <v>85</v>
      </c>
      <c r="AH69" s="9">
        <v>0.843902</v>
      </c>
      <c r="AI69" s="9" t="s">
        <v>85</v>
      </c>
      <c r="AJ69" s="9" t="s">
        <v>85</v>
      </c>
      <c r="AK69" s="9">
        <v>0.843902</v>
      </c>
      <c r="AL69" s="9" t="s">
        <v>85</v>
      </c>
      <c r="AM69" s="9" t="s">
        <v>85</v>
      </c>
      <c r="AN69" s="9">
        <v>0.848781</v>
      </c>
      <c r="AO69" s="9" t="s">
        <v>85</v>
      </c>
      <c r="AP69" s="9" t="s">
        <v>85</v>
      </c>
      <c r="AQ69" s="9">
        <v>0.82439</v>
      </c>
      <c r="AR69" s="9" t="s">
        <v>85</v>
      </c>
      <c r="AS69" s="9" t="s">
        <v>85</v>
      </c>
      <c r="AT69" s="9">
        <v>0.834146</v>
      </c>
      <c r="AU69" s="9" t="s">
        <v>85</v>
      </c>
      <c r="AV69" s="9" t="s">
        <v>85</v>
      </c>
      <c r="AW69" s="9">
        <v>0.848781</v>
      </c>
      <c r="AX69" s="9" t="s">
        <v>85</v>
      </c>
      <c r="AY69" s="9" t="s">
        <v>85</v>
      </c>
      <c r="AZ69" s="9">
        <v>0.839024</v>
      </c>
      <c r="BA69" s="10" t="s">
        <v>85</v>
      </c>
      <c r="BB69" s="10" t="s">
        <v>85</v>
      </c>
      <c r="BC69" s="9">
        <v>0.843902</v>
      </c>
      <c r="BD69" s="10" t="s">
        <v>85</v>
      </c>
      <c r="BE69" s="10" t="s">
        <v>85</v>
      </c>
      <c r="BF69" s="9" t="s">
        <v>85</v>
      </c>
      <c r="BG69" s="6"/>
      <c r="BH69" s="6" t="str">
        <f t="shared" si="1"/>
        <v>5V_One_Acc</v>
      </c>
      <c r="BI69" s="6" t="str">
        <f t="shared" si="2"/>
        <v>8V_One_Acc</v>
      </c>
      <c r="BJ69" s="6" t="str">
        <f t="shared" si="3"/>
        <v>8V_One_Acc</v>
      </c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</row>
    <row r="70" ht="15.75" customHeight="1">
      <c r="A70" s="1" t="s">
        <v>164</v>
      </c>
      <c r="B70" s="9" t="s">
        <v>85</v>
      </c>
      <c r="C70" s="9" t="s">
        <v>85</v>
      </c>
      <c r="D70" s="9">
        <v>0.797251</v>
      </c>
      <c r="E70" s="9" t="s">
        <v>85</v>
      </c>
      <c r="F70" s="9" t="s">
        <v>85</v>
      </c>
      <c r="G70" s="9">
        <v>0.683849</v>
      </c>
      <c r="H70" s="9" t="s">
        <v>85</v>
      </c>
      <c r="I70" s="9" t="s">
        <v>85</v>
      </c>
      <c r="J70" s="9">
        <v>0.862543</v>
      </c>
      <c r="K70" s="9" t="s">
        <v>85</v>
      </c>
      <c r="L70" s="9" t="s">
        <v>85</v>
      </c>
      <c r="M70" s="9">
        <v>0.848797</v>
      </c>
      <c r="N70" s="9" t="s">
        <v>85</v>
      </c>
      <c r="O70" s="9" t="s">
        <v>85</v>
      </c>
      <c r="P70" s="9">
        <v>0.821306</v>
      </c>
      <c r="Q70" s="9" t="s">
        <v>85</v>
      </c>
      <c r="R70" s="9" t="s">
        <v>85</v>
      </c>
      <c r="S70" s="9">
        <v>0.814433</v>
      </c>
      <c r="T70" s="9" t="s">
        <v>85</v>
      </c>
      <c r="U70" s="9" t="s">
        <v>85</v>
      </c>
      <c r="V70" s="9">
        <v>0.828179</v>
      </c>
      <c r="W70" s="9" t="s">
        <v>85</v>
      </c>
      <c r="X70" s="9" t="s">
        <v>85</v>
      </c>
      <c r="Y70" s="9">
        <v>0.821306</v>
      </c>
      <c r="Z70" s="10" t="s">
        <v>85</v>
      </c>
      <c r="AA70" s="10" t="s">
        <v>85</v>
      </c>
      <c r="AB70" s="9">
        <v>0.793814</v>
      </c>
      <c r="AC70" s="9" t="s">
        <v>85</v>
      </c>
      <c r="AD70" s="9" t="s">
        <v>85</v>
      </c>
      <c r="AE70" s="9">
        <v>0.793814</v>
      </c>
      <c r="AF70" s="9" t="s">
        <v>85</v>
      </c>
      <c r="AG70" s="9" t="s">
        <v>85</v>
      </c>
      <c r="AH70" s="9">
        <v>0.821306</v>
      </c>
      <c r="AI70" s="9" t="s">
        <v>85</v>
      </c>
      <c r="AJ70" s="9" t="s">
        <v>85</v>
      </c>
      <c r="AK70" s="9">
        <v>0.845361</v>
      </c>
      <c r="AL70" s="9" t="s">
        <v>85</v>
      </c>
      <c r="AM70" s="9" t="s">
        <v>85</v>
      </c>
      <c r="AN70" s="9">
        <v>0.845361</v>
      </c>
      <c r="AO70" s="9" t="s">
        <v>85</v>
      </c>
      <c r="AP70" s="9" t="s">
        <v>85</v>
      </c>
      <c r="AQ70" s="9">
        <v>0.848797</v>
      </c>
      <c r="AR70" s="9" t="s">
        <v>85</v>
      </c>
      <c r="AS70" s="9" t="s">
        <v>85</v>
      </c>
      <c r="AT70" s="9">
        <v>0.848797</v>
      </c>
      <c r="AU70" s="9" t="s">
        <v>85</v>
      </c>
      <c r="AV70" s="9" t="s">
        <v>85</v>
      </c>
      <c r="AW70" s="9">
        <v>0.862543</v>
      </c>
      <c r="AX70" s="9" t="s">
        <v>85</v>
      </c>
      <c r="AY70" s="9" t="s">
        <v>85</v>
      </c>
      <c r="AZ70" s="9">
        <v>0.841924</v>
      </c>
      <c r="BA70" s="10" t="s">
        <v>85</v>
      </c>
      <c r="BB70" s="10" t="s">
        <v>85</v>
      </c>
      <c r="BC70" s="9">
        <v>0.80756</v>
      </c>
      <c r="BD70" s="10" t="s">
        <v>85</v>
      </c>
      <c r="BE70" s="10" t="s">
        <v>85</v>
      </c>
      <c r="BF70" s="9" t="s">
        <v>85</v>
      </c>
      <c r="BG70" s="6"/>
      <c r="BH70" s="6" t="str">
        <f t="shared" si="1"/>
        <v>5V_One_Acc</v>
      </c>
      <c r="BI70" s="6" t="str">
        <f t="shared" si="2"/>
        <v>5V_One_Acc</v>
      </c>
      <c r="BJ70" s="6" t="str">
        <f t="shared" si="3"/>
        <v>5VB_One_Acc</v>
      </c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</row>
    <row r="71" ht="15.75" customHeight="1">
      <c r="A71" s="1" t="s">
        <v>165</v>
      </c>
      <c r="B71" s="9" t="s">
        <v>85</v>
      </c>
      <c r="C71" s="9" t="s">
        <v>85</v>
      </c>
      <c r="D71" s="9">
        <v>0.760976</v>
      </c>
      <c r="E71" s="9" t="s">
        <v>85</v>
      </c>
      <c r="F71" s="9" t="s">
        <v>85</v>
      </c>
      <c r="G71" s="9">
        <v>0.35122</v>
      </c>
      <c r="H71" s="9" t="s">
        <v>85</v>
      </c>
      <c r="I71" s="9" t="s">
        <v>85</v>
      </c>
      <c r="J71" s="9">
        <v>0.795122</v>
      </c>
      <c r="K71" s="9" t="s">
        <v>85</v>
      </c>
      <c r="L71" s="9" t="s">
        <v>85</v>
      </c>
      <c r="M71" s="9">
        <v>0.8</v>
      </c>
      <c r="N71" s="9" t="s">
        <v>85</v>
      </c>
      <c r="O71" s="9" t="s">
        <v>85</v>
      </c>
      <c r="P71" s="9">
        <v>0.765854</v>
      </c>
      <c r="Q71" s="9" t="s">
        <v>85</v>
      </c>
      <c r="R71" s="9" t="s">
        <v>85</v>
      </c>
      <c r="S71" s="9">
        <v>0.770732</v>
      </c>
      <c r="T71" s="9" t="s">
        <v>85</v>
      </c>
      <c r="U71" s="9" t="s">
        <v>85</v>
      </c>
      <c r="V71" s="9">
        <v>0.804878</v>
      </c>
      <c r="W71" s="9" t="s">
        <v>85</v>
      </c>
      <c r="X71" s="9" t="s">
        <v>85</v>
      </c>
      <c r="Y71" s="9">
        <v>0.809756</v>
      </c>
      <c r="Z71" s="10" t="s">
        <v>85</v>
      </c>
      <c r="AA71" s="10" t="s">
        <v>85</v>
      </c>
      <c r="AB71" s="9">
        <v>0.760976</v>
      </c>
      <c r="AC71" s="9" t="s">
        <v>85</v>
      </c>
      <c r="AD71" s="9" t="s">
        <v>85</v>
      </c>
      <c r="AE71" s="9">
        <v>0.765854</v>
      </c>
      <c r="AF71" s="9" t="s">
        <v>85</v>
      </c>
      <c r="AG71" s="9" t="s">
        <v>85</v>
      </c>
      <c r="AH71" s="9">
        <v>0.765854</v>
      </c>
      <c r="AI71" s="9" t="s">
        <v>85</v>
      </c>
      <c r="AJ71" s="9" t="s">
        <v>85</v>
      </c>
      <c r="AK71" s="9">
        <v>0.780488</v>
      </c>
      <c r="AL71" s="9" t="s">
        <v>85</v>
      </c>
      <c r="AM71" s="9" t="s">
        <v>85</v>
      </c>
      <c r="AN71" s="9">
        <v>0.77561</v>
      </c>
      <c r="AO71" s="9" t="s">
        <v>85</v>
      </c>
      <c r="AP71" s="9" t="s">
        <v>85</v>
      </c>
      <c r="AQ71" s="9">
        <v>0.770732</v>
      </c>
      <c r="AR71" s="9" t="s">
        <v>85</v>
      </c>
      <c r="AS71" s="9" t="s">
        <v>85</v>
      </c>
      <c r="AT71" s="9">
        <v>0.785366</v>
      </c>
      <c r="AU71" s="9" t="s">
        <v>85</v>
      </c>
      <c r="AV71" s="9" t="s">
        <v>85</v>
      </c>
      <c r="AW71" s="9">
        <v>0.678049</v>
      </c>
      <c r="AX71" s="9" t="s">
        <v>85</v>
      </c>
      <c r="AY71" s="9" t="s">
        <v>85</v>
      </c>
      <c r="AZ71" s="9">
        <v>0.77561</v>
      </c>
      <c r="BA71" s="10" t="s">
        <v>85</v>
      </c>
      <c r="BB71" s="10" t="s">
        <v>85</v>
      </c>
      <c r="BC71" s="9">
        <v>0.795122</v>
      </c>
      <c r="BD71" s="10" t="s">
        <v>85</v>
      </c>
      <c r="BE71" s="10" t="s">
        <v>85</v>
      </c>
      <c r="BF71" s="9" t="s">
        <v>85</v>
      </c>
      <c r="BG71" s="6"/>
      <c r="BH71" s="6" t="str">
        <f t="shared" si="1"/>
        <v>8VB_One_Acc</v>
      </c>
      <c r="BI71" s="6" t="str">
        <f t="shared" si="2"/>
        <v>8V_One_Acc</v>
      </c>
      <c r="BJ71" s="6" t="str">
        <f t="shared" si="3"/>
        <v>5VB_One_Acc</v>
      </c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</row>
    <row r="72" ht="15.75" customHeight="1">
      <c r="A72" s="1" t="s">
        <v>166</v>
      </c>
      <c r="B72" s="9" t="s">
        <v>85</v>
      </c>
      <c r="C72" s="9" t="s">
        <v>85</v>
      </c>
      <c r="D72" s="9">
        <v>0.6</v>
      </c>
      <c r="E72" s="9" t="s">
        <v>85</v>
      </c>
      <c r="F72" s="9" t="s">
        <v>85</v>
      </c>
      <c r="G72" s="9">
        <v>0.12</v>
      </c>
      <c r="H72" s="9" t="s">
        <v>85</v>
      </c>
      <c r="I72" s="9" t="s">
        <v>85</v>
      </c>
      <c r="J72" s="9">
        <v>0.6</v>
      </c>
      <c r="K72" s="9" t="s">
        <v>85</v>
      </c>
      <c r="L72" s="9" t="s">
        <v>85</v>
      </c>
      <c r="M72" s="9">
        <v>0.54</v>
      </c>
      <c r="N72" s="9" t="s">
        <v>85</v>
      </c>
      <c r="O72" s="9" t="s">
        <v>85</v>
      </c>
      <c r="P72" s="9">
        <v>0.64</v>
      </c>
      <c r="Q72" s="9" t="s">
        <v>85</v>
      </c>
      <c r="R72" s="9" t="s">
        <v>85</v>
      </c>
      <c r="S72" s="9">
        <v>0.525333</v>
      </c>
      <c r="T72" s="9" t="s">
        <v>85</v>
      </c>
      <c r="U72" s="9" t="s">
        <v>85</v>
      </c>
      <c r="V72" s="9">
        <v>0.56</v>
      </c>
      <c r="W72" s="9" t="s">
        <v>85</v>
      </c>
      <c r="X72" s="9" t="s">
        <v>85</v>
      </c>
      <c r="Y72" s="9">
        <v>0.58</v>
      </c>
      <c r="Z72" s="10" t="s">
        <v>85</v>
      </c>
      <c r="AA72" s="10" t="s">
        <v>85</v>
      </c>
      <c r="AB72" s="9">
        <v>0.68</v>
      </c>
      <c r="AC72" s="9" t="s">
        <v>85</v>
      </c>
      <c r="AD72" s="9" t="s">
        <v>85</v>
      </c>
      <c r="AE72" s="9">
        <v>0.6</v>
      </c>
      <c r="AF72" s="9" t="s">
        <v>85</v>
      </c>
      <c r="AG72" s="9" t="s">
        <v>85</v>
      </c>
      <c r="AH72" s="9">
        <v>0.66</v>
      </c>
      <c r="AI72" s="9" t="s">
        <v>85</v>
      </c>
      <c r="AJ72" s="9" t="s">
        <v>85</v>
      </c>
      <c r="AK72" s="9">
        <v>0.68</v>
      </c>
      <c r="AL72" s="9" t="s">
        <v>85</v>
      </c>
      <c r="AM72" s="9" t="s">
        <v>85</v>
      </c>
      <c r="AN72" s="9">
        <v>0.64</v>
      </c>
      <c r="AO72" s="9" t="s">
        <v>85</v>
      </c>
      <c r="AP72" s="9" t="s">
        <v>85</v>
      </c>
      <c r="AQ72" s="9">
        <v>0.62</v>
      </c>
      <c r="AR72" s="9" t="s">
        <v>85</v>
      </c>
      <c r="AS72" s="9" t="s">
        <v>85</v>
      </c>
      <c r="AT72" s="9">
        <v>0.66</v>
      </c>
      <c r="AU72" s="9" t="s">
        <v>85</v>
      </c>
      <c r="AV72" s="9" t="s">
        <v>85</v>
      </c>
      <c r="AW72" s="9">
        <v>0.66</v>
      </c>
      <c r="AX72" s="9" t="s">
        <v>85</v>
      </c>
      <c r="AY72" s="9" t="s">
        <v>85</v>
      </c>
      <c r="AZ72" s="9">
        <v>0.62</v>
      </c>
      <c r="BA72" s="10" t="s">
        <v>85</v>
      </c>
      <c r="BB72" s="10" t="s">
        <v>85</v>
      </c>
      <c r="BC72" s="9">
        <v>0.72</v>
      </c>
      <c r="BD72" s="10" t="s">
        <v>85</v>
      </c>
      <c r="BE72" s="10" t="s">
        <v>85</v>
      </c>
      <c r="BF72" s="9" t="s">
        <v>85</v>
      </c>
      <c r="BG72" s="6"/>
      <c r="BH72" s="6" t="str">
        <f t="shared" si="1"/>
        <v>20V_One_Acc</v>
      </c>
      <c r="BI72" s="6" t="str">
        <f t="shared" si="2"/>
        <v>10B_One_Acc</v>
      </c>
      <c r="BJ72" s="6" t="str">
        <f t="shared" si="3"/>
        <v>10B_One_Acc</v>
      </c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</row>
    <row r="73" ht="15.75" customHeight="1">
      <c r="A73" s="1" t="s">
        <v>167</v>
      </c>
      <c r="B73" s="9" t="s">
        <v>85</v>
      </c>
      <c r="C73" s="9" t="s">
        <v>85</v>
      </c>
      <c r="D73" s="9">
        <v>0.576</v>
      </c>
      <c r="E73" s="9" t="s">
        <v>85</v>
      </c>
      <c r="F73" s="9" t="s">
        <v>85</v>
      </c>
      <c r="G73" s="9">
        <v>0.333333</v>
      </c>
      <c r="H73" s="9" t="s">
        <v>85</v>
      </c>
      <c r="I73" s="9" t="s">
        <v>85</v>
      </c>
      <c r="J73" s="9">
        <v>0.469333</v>
      </c>
      <c r="K73" s="9" t="s">
        <v>85</v>
      </c>
      <c r="L73" s="9" t="s">
        <v>85</v>
      </c>
      <c r="M73" s="9">
        <v>0.448</v>
      </c>
      <c r="N73" s="9" t="s">
        <v>85</v>
      </c>
      <c r="O73" s="9" t="s">
        <v>85</v>
      </c>
      <c r="P73" s="9">
        <v>0.552</v>
      </c>
      <c r="Q73" s="9" t="s">
        <v>85</v>
      </c>
      <c r="R73" s="9" t="s">
        <v>85</v>
      </c>
      <c r="S73" s="9">
        <v>0.7</v>
      </c>
      <c r="T73" s="9" t="s">
        <v>85</v>
      </c>
      <c r="U73" s="9" t="s">
        <v>85</v>
      </c>
      <c r="V73" s="9">
        <v>0.418667</v>
      </c>
      <c r="W73" s="9" t="s">
        <v>85</v>
      </c>
      <c r="X73" s="9" t="s">
        <v>85</v>
      </c>
      <c r="Y73" s="9">
        <v>0.448</v>
      </c>
      <c r="Z73" s="10" t="s">
        <v>85</v>
      </c>
      <c r="AA73" s="10" t="s">
        <v>85</v>
      </c>
      <c r="AB73" s="9">
        <v>0.554667</v>
      </c>
      <c r="AC73" s="9" t="s">
        <v>85</v>
      </c>
      <c r="AD73" s="9" t="s">
        <v>85</v>
      </c>
      <c r="AE73" s="9">
        <v>0.592</v>
      </c>
      <c r="AF73" s="9" t="s">
        <v>85</v>
      </c>
      <c r="AG73" s="9" t="s">
        <v>85</v>
      </c>
      <c r="AH73" s="9">
        <v>0.48</v>
      </c>
      <c r="AI73" s="9" t="s">
        <v>85</v>
      </c>
      <c r="AJ73" s="9" t="s">
        <v>85</v>
      </c>
      <c r="AK73" s="9">
        <v>0.453333</v>
      </c>
      <c r="AL73" s="9" t="s">
        <v>85</v>
      </c>
      <c r="AM73" s="9" t="s">
        <v>85</v>
      </c>
      <c r="AN73" s="9">
        <v>0.533333</v>
      </c>
      <c r="AO73" s="9" t="s">
        <v>85</v>
      </c>
      <c r="AP73" s="9" t="s">
        <v>85</v>
      </c>
      <c r="AQ73" s="9">
        <v>0.621333</v>
      </c>
      <c r="AR73" s="9" t="s">
        <v>85</v>
      </c>
      <c r="AS73" s="9" t="s">
        <v>85</v>
      </c>
      <c r="AT73" s="9">
        <v>0.456</v>
      </c>
      <c r="AU73" s="9" t="s">
        <v>85</v>
      </c>
      <c r="AV73" s="9" t="s">
        <v>85</v>
      </c>
      <c r="AW73" s="9">
        <v>0.461333</v>
      </c>
      <c r="AX73" s="9" t="s">
        <v>85</v>
      </c>
      <c r="AY73" s="9" t="s">
        <v>85</v>
      </c>
      <c r="AZ73" s="9">
        <v>0.538667</v>
      </c>
      <c r="BA73" s="10" t="s">
        <v>85</v>
      </c>
      <c r="BB73" s="10" t="s">
        <v>85</v>
      </c>
      <c r="BC73" s="9">
        <v>0.466667</v>
      </c>
      <c r="BD73" s="10" t="s">
        <v>85</v>
      </c>
      <c r="BE73" s="10" t="s">
        <v>85</v>
      </c>
      <c r="BF73" s="9" t="s">
        <v>85</v>
      </c>
      <c r="BG73" s="6"/>
      <c r="BH73" s="6" t="str">
        <f t="shared" si="1"/>
        <v>8BN_One_Acc</v>
      </c>
      <c r="BI73" s="6" t="str">
        <f t="shared" si="2"/>
        <v>12BN_One_Acc</v>
      </c>
      <c r="BJ73" s="6" t="str">
        <f t="shared" si="3"/>
        <v>10BN_One_Acc</v>
      </c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</row>
    <row r="74" ht="15.75" customHeight="1">
      <c r="A74" s="1" t="s">
        <v>168</v>
      </c>
      <c r="B74" s="9" t="s">
        <v>85</v>
      </c>
      <c r="C74" s="9" t="s">
        <v>85</v>
      </c>
      <c r="D74" s="9">
        <v>0.84</v>
      </c>
      <c r="E74" s="9" t="s">
        <v>85</v>
      </c>
      <c r="F74" s="9" t="s">
        <v>85</v>
      </c>
      <c r="G74" s="9">
        <v>0.35</v>
      </c>
      <c r="H74" s="9" t="s">
        <v>85</v>
      </c>
      <c r="I74" s="9" t="s">
        <v>85</v>
      </c>
      <c r="J74" s="9">
        <v>0.896667</v>
      </c>
      <c r="K74" s="9" t="s">
        <v>85</v>
      </c>
      <c r="L74" s="9" t="s">
        <v>85</v>
      </c>
      <c r="M74" s="9">
        <v>0.903333</v>
      </c>
      <c r="N74" s="9" t="s">
        <v>85</v>
      </c>
      <c r="O74" s="9" t="s">
        <v>85</v>
      </c>
      <c r="P74" s="9">
        <v>0.86</v>
      </c>
      <c r="Q74" s="9" t="s">
        <v>85</v>
      </c>
      <c r="R74" s="9" t="s">
        <v>85</v>
      </c>
      <c r="S74" s="9">
        <v>0.858333</v>
      </c>
      <c r="T74" s="9" t="s">
        <v>85</v>
      </c>
      <c r="U74" s="9" t="s">
        <v>85</v>
      </c>
      <c r="V74" s="9">
        <v>0.92</v>
      </c>
      <c r="W74" s="9" t="s">
        <v>85</v>
      </c>
      <c r="X74" s="9" t="s">
        <v>85</v>
      </c>
      <c r="Y74" s="9">
        <v>0.916667</v>
      </c>
      <c r="Z74" s="10" t="s">
        <v>85</v>
      </c>
      <c r="AA74" s="10" t="s">
        <v>85</v>
      </c>
      <c r="AB74" s="9">
        <v>0.87</v>
      </c>
      <c r="AC74" s="9" t="s">
        <v>85</v>
      </c>
      <c r="AD74" s="9" t="s">
        <v>85</v>
      </c>
      <c r="AE74" s="9">
        <v>0.856667</v>
      </c>
      <c r="AF74" s="9" t="s">
        <v>85</v>
      </c>
      <c r="AG74" s="9" t="s">
        <v>85</v>
      </c>
      <c r="AH74" s="9">
        <v>0.913333</v>
      </c>
      <c r="AI74" s="9" t="s">
        <v>85</v>
      </c>
      <c r="AJ74" s="9" t="s">
        <v>85</v>
      </c>
      <c r="AK74" s="9">
        <v>0.913333</v>
      </c>
      <c r="AL74" s="9" t="s">
        <v>85</v>
      </c>
      <c r="AM74" s="9" t="s">
        <v>85</v>
      </c>
      <c r="AN74" s="9">
        <v>0.846667</v>
      </c>
      <c r="AO74" s="9" t="s">
        <v>85</v>
      </c>
      <c r="AP74" s="9" t="s">
        <v>85</v>
      </c>
      <c r="AQ74" s="9">
        <v>0.856667</v>
      </c>
      <c r="AR74" s="9" t="s">
        <v>85</v>
      </c>
      <c r="AS74" s="9" t="s">
        <v>85</v>
      </c>
      <c r="AT74" s="9">
        <v>0.906667</v>
      </c>
      <c r="AU74" s="9" t="s">
        <v>85</v>
      </c>
      <c r="AV74" s="9" t="s">
        <v>85</v>
      </c>
      <c r="AW74" s="9">
        <v>0.916667</v>
      </c>
      <c r="AX74" s="9" t="s">
        <v>85</v>
      </c>
      <c r="AY74" s="9" t="s">
        <v>85</v>
      </c>
      <c r="AZ74" s="9">
        <v>0.871667</v>
      </c>
      <c r="BA74" s="10" t="s">
        <v>85</v>
      </c>
      <c r="BB74" s="10" t="s">
        <v>85</v>
      </c>
      <c r="BC74" s="9">
        <v>0.926667</v>
      </c>
      <c r="BD74" s="10" t="s">
        <v>85</v>
      </c>
      <c r="BE74" s="10" t="s">
        <v>85</v>
      </c>
      <c r="BF74" s="9" t="s">
        <v>85</v>
      </c>
      <c r="BG74" s="6"/>
      <c r="BH74" s="6" t="str">
        <f t="shared" si="1"/>
        <v>20V_One_Acc</v>
      </c>
      <c r="BI74" s="6" t="str">
        <f t="shared" si="2"/>
        <v>8V_One_Acc</v>
      </c>
      <c r="BJ74" s="6" t="str">
        <f t="shared" si="3"/>
        <v>8VB_One_Acc</v>
      </c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</row>
    <row r="75" ht="15.75" customHeight="1">
      <c r="A75" s="1" t="s">
        <v>169</v>
      </c>
      <c r="B75" s="9" t="s">
        <v>85</v>
      </c>
      <c r="C75" s="9" t="s">
        <v>85</v>
      </c>
      <c r="D75" s="9">
        <v>0.442222</v>
      </c>
      <c r="E75" s="9" t="s">
        <v>85</v>
      </c>
      <c r="F75" s="9" t="s">
        <v>85</v>
      </c>
      <c r="G75" s="9">
        <v>0.166667</v>
      </c>
      <c r="H75" s="9" t="s">
        <v>85</v>
      </c>
      <c r="I75" s="9" t="s">
        <v>85</v>
      </c>
      <c r="J75" s="9">
        <v>0.637778</v>
      </c>
      <c r="K75" s="9" t="s">
        <v>85</v>
      </c>
      <c r="L75" s="9" t="s">
        <v>85</v>
      </c>
      <c r="M75" s="9">
        <v>0.515556</v>
      </c>
      <c r="N75" s="9" t="s">
        <v>85</v>
      </c>
      <c r="O75" s="9" t="s">
        <v>85</v>
      </c>
      <c r="P75" s="9">
        <v>0.466667</v>
      </c>
      <c r="Q75" s="9" t="s">
        <v>85</v>
      </c>
      <c r="R75" s="9" t="s">
        <v>85</v>
      </c>
      <c r="S75" s="9">
        <v>0.346667</v>
      </c>
      <c r="T75" s="9" t="s">
        <v>85</v>
      </c>
      <c r="U75" s="9" t="s">
        <v>85</v>
      </c>
      <c r="V75" s="9">
        <v>0.355556</v>
      </c>
      <c r="W75" s="9" t="s">
        <v>85</v>
      </c>
      <c r="X75" s="9" t="s">
        <v>85</v>
      </c>
      <c r="Y75" s="9">
        <v>0.286667</v>
      </c>
      <c r="Z75" s="10" t="s">
        <v>85</v>
      </c>
      <c r="AA75" s="10" t="s">
        <v>85</v>
      </c>
      <c r="AB75" s="9">
        <v>0.395556</v>
      </c>
      <c r="AC75" s="9" t="s">
        <v>85</v>
      </c>
      <c r="AD75" s="9" t="s">
        <v>85</v>
      </c>
      <c r="AE75" s="9">
        <v>0.373333</v>
      </c>
      <c r="AF75" s="9" t="s">
        <v>85</v>
      </c>
      <c r="AG75" s="9" t="s">
        <v>85</v>
      </c>
      <c r="AH75" s="9">
        <v>0.362222</v>
      </c>
      <c r="AI75" s="9" t="s">
        <v>85</v>
      </c>
      <c r="AJ75" s="9" t="s">
        <v>85</v>
      </c>
      <c r="AK75" s="9">
        <v>0.442222</v>
      </c>
      <c r="AL75" s="9" t="s">
        <v>85</v>
      </c>
      <c r="AM75" s="9" t="s">
        <v>85</v>
      </c>
      <c r="AN75" s="9">
        <v>0.504444</v>
      </c>
      <c r="AO75" s="9" t="s">
        <v>85</v>
      </c>
      <c r="AP75" s="9" t="s">
        <v>85</v>
      </c>
      <c r="AQ75" s="9">
        <v>0.351111</v>
      </c>
      <c r="AR75" s="9" t="s">
        <v>85</v>
      </c>
      <c r="AS75" s="9" t="s">
        <v>85</v>
      </c>
      <c r="AT75" s="9">
        <v>0.493333</v>
      </c>
      <c r="AU75" s="9" t="s">
        <v>85</v>
      </c>
      <c r="AV75" s="9" t="s">
        <v>85</v>
      </c>
      <c r="AW75" s="9">
        <v>0.491111</v>
      </c>
      <c r="AX75" s="9" t="s">
        <v>85</v>
      </c>
      <c r="AY75" s="9" t="s">
        <v>85</v>
      </c>
      <c r="AZ75" s="9">
        <v>0.264444</v>
      </c>
      <c r="BA75" s="10" t="s">
        <v>85</v>
      </c>
      <c r="BB75" s="10" t="s">
        <v>85</v>
      </c>
      <c r="BC75" s="9">
        <v>0.262222</v>
      </c>
      <c r="BD75" s="10" t="s">
        <v>85</v>
      </c>
      <c r="BE75" s="10" t="s">
        <v>85</v>
      </c>
      <c r="BF75" s="9" t="s">
        <v>85</v>
      </c>
      <c r="BG75" s="6"/>
      <c r="BH75" s="6" t="str">
        <f t="shared" si="1"/>
        <v>5V_One_Acc</v>
      </c>
      <c r="BI75" s="6" t="str">
        <f t="shared" si="2"/>
        <v>5VB_One_Acc</v>
      </c>
      <c r="BJ75" s="6" t="str">
        <f t="shared" si="3"/>
        <v>12B_One_Acc</v>
      </c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</row>
    <row r="76" ht="15.75" customHeight="1">
      <c r="A76" s="1" t="s">
        <v>170</v>
      </c>
      <c r="B76" s="9" t="s">
        <v>85</v>
      </c>
      <c r="C76" s="9" t="s">
        <v>85</v>
      </c>
      <c r="D76" s="9">
        <v>0.737778</v>
      </c>
      <c r="E76" s="9" t="s">
        <v>85</v>
      </c>
      <c r="F76" s="9" t="s">
        <v>85</v>
      </c>
      <c r="G76" s="9">
        <v>0.2</v>
      </c>
      <c r="H76" s="9" t="s">
        <v>85</v>
      </c>
      <c r="I76" s="9" t="s">
        <v>85</v>
      </c>
      <c r="J76" s="9">
        <v>0.846667</v>
      </c>
      <c r="K76" s="9" t="s">
        <v>85</v>
      </c>
      <c r="L76" s="9" t="s">
        <v>85</v>
      </c>
      <c r="M76" s="9">
        <v>0.833333</v>
      </c>
      <c r="N76" s="9" t="s">
        <v>85</v>
      </c>
      <c r="O76" s="9" t="s">
        <v>85</v>
      </c>
      <c r="P76" s="9">
        <v>0.793333</v>
      </c>
      <c r="Q76" s="9" t="s">
        <v>85</v>
      </c>
      <c r="R76" s="9" t="s">
        <v>85</v>
      </c>
      <c r="S76" s="9">
        <v>0.757778</v>
      </c>
      <c r="T76" s="9" t="s">
        <v>85</v>
      </c>
      <c r="U76" s="9" t="s">
        <v>85</v>
      </c>
      <c r="V76" s="9">
        <v>0.822222</v>
      </c>
      <c r="W76" s="9" t="s">
        <v>85</v>
      </c>
      <c r="X76" s="9" t="s">
        <v>85</v>
      </c>
      <c r="Y76" s="9">
        <v>0.815556</v>
      </c>
      <c r="Z76" s="10" t="s">
        <v>85</v>
      </c>
      <c r="AA76" s="10" t="s">
        <v>85</v>
      </c>
      <c r="AB76" s="9">
        <v>0.773333</v>
      </c>
      <c r="AC76" s="9" t="s">
        <v>85</v>
      </c>
      <c r="AD76" s="9" t="s">
        <v>85</v>
      </c>
      <c r="AE76" s="9">
        <v>0.771111</v>
      </c>
      <c r="AF76" s="9" t="s">
        <v>85</v>
      </c>
      <c r="AG76" s="9" t="s">
        <v>85</v>
      </c>
      <c r="AH76" s="9">
        <v>0.851111</v>
      </c>
      <c r="AI76" s="9" t="s">
        <v>85</v>
      </c>
      <c r="AJ76" s="9" t="s">
        <v>85</v>
      </c>
      <c r="AK76" s="9">
        <v>0.784444</v>
      </c>
      <c r="AL76" s="9" t="s">
        <v>85</v>
      </c>
      <c r="AM76" s="9" t="s">
        <v>85</v>
      </c>
      <c r="AN76" s="9">
        <v>0.755556</v>
      </c>
      <c r="AO76" s="9" t="s">
        <v>85</v>
      </c>
      <c r="AP76" s="9" t="s">
        <v>85</v>
      </c>
      <c r="AQ76" s="9">
        <v>0.684444</v>
      </c>
      <c r="AR76" s="9" t="s">
        <v>85</v>
      </c>
      <c r="AS76" s="9" t="s">
        <v>85</v>
      </c>
      <c r="AT76" s="9">
        <v>0.855556</v>
      </c>
      <c r="AU76" s="9" t="s">
        <v>85</v>
      </c>
      <c r="AV76" s="9" t="s">
        <v>85</v>
      </c>
      <c r="AW76" s="9">
        <v>0.831111</v>
      </c>
      <c r="AX76" s="9" t="s">
        <v>85</v>
      </c>
      <c r="AY76" s="9" t="s">
        <v>85</v>
      </c>
      <c r="AZ76" s="9">
        <v>0.735556</v>
      </c>
      <c r="BA76" s="10" t="s">
        <v>85</v>
      </c>
      <c r="BB76" s="10" t="s">
        <v>85</v>
      </c>
      <c r="BC76" s="9">
        <v>0.824444</v>
      </c>
      <c r="BD76" s="10" t="s">
        <v>85</v>
      </c>
      <c r="BE76" s="10" t="s">
        <v>85</v>
      </c>
      <c r="BF76" s="9" t="s">
        <v>85</v>
      </c>
      <c r="BG76" s="6"/>
      <c r="BH76" s="6" t="str">
        <f t="shared" si="1"/>
        <v>12V_One_Acc</v>
      </c>
      <c r="BI76" s="6" t="str">
        <f t="shared" si="2"/>
        <v>10V_One_Acc</v>
      </c>
      <c r="BJ76" s="6" t="str">
        <f t="shared" si="3"/>
        <v>5V_One_Acc</v>
      </c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</row>
    <row r="77" ht="15.75" customHeight="1">
      <c r="A77" s="1" t="s">
        <v>171</v>
      </c>
      <c r="B77" s="9" t="s">
        <v>85</v>
      </c>
      <c r="C77" s="9" t="s">
        <v>85</v>
      </c>
      <c r="D77" s="9">
        <v>0.505556</v>
      </c>
      <c r="E77" s="9" t="s">
        <v>85</v>
      </c>
      <c r="F77" s="9" t="s">
        <v>85</v>
      </c>
      <c r="G77" s="9">
        <v>0.5</v>
      </c>
      <c r="H77" s="9" t="s">
        <v>85</v>
      </c>
      <c r="I77" s="9" t="s">
        <v>85</v>
      </c>
      <c r="J77" s="9">
        <v>0.511111</v>
      </c>
      <c r="K77" s="9" t="s">
        <v>85</v>
      </c>
      <c r="L77" s="9" t="s">
        <v>85</v>
      </c>
      <c r="M77" s="9">
        <v>0.5</v>
      </c>
      <c r="N77" s="9" t="s">
        <v>85</v>
      </c>
      <c r="O77" s="9" t="s">
        <v>85</v>
      </c>
      <c r="P77" s="9">
        <v>0.533333</v>
      </c>
      <c r="Q77" s="9" t="s">
        <v>85</v>
      </c>
      <c r="R77" s="9" t="s">
        <v>85</v>
      </c>
      <c r="S77" s="9">
        <v>0.544444</v>
      </c>
      <c r="T77" s="9" t="s">
        <v>85</v>
      </c>
      <c r="U77" s="9" t="s">
        <v>85</v>
      </c>
      <c r="V77" s="9">
        <v>0.522222</v>
      </c>
      <c r="W77" s="9" t="s">
        <v>85</v>
      </c>
      <c r="X77" s="9" t="s">
        <v>85</v>
      </c>
      <c r="Y77" s="9">
        <v>0.5</v>
      </c>
      <c r="Z77" s="10" t="s">
        <v>85</v>
      </c>
      <c r="AA77" s="10" t="s">
        <v>85</v>
      </c>
      <c r="AB77" s="9">
        <v>0.494444</v>
      </c>
      <c r="AC77" s="9" t="s">
        <v>85</v>
      </c>
      <c r="AD77" s="9" t="s">
        <v>85</v>
      </c>
      <c r="AE77" s="9">
        <v>0.577778</v>
      </c>
      <c r="AF77" s="9" t="s">
        <v>85</v>
      </c>
      <c r="AG77" s="9" t="s">
        <v>85</v>
      </c>
      <c r="AH77" s="9">
        <v>0.511111</v>
      </c>
      <c r="AI77" s="9" t="s">
        <v>85</v>
      </c>
      <c r="AJ77" s="9" t="s">
        <v>85</v>
      </c>
      <c r="AK77" s="9">
        <v>0.527778</v>
      </c>
      <c r="AL77" s="9" t="s">
        <v>85</v>
      </c>
      <c r="AM77" s="9" t="s">
        <v>85</v>
      </c>
      <c r="AN77" s="9">
        <v>0.5</v>
      </c>
      <c r="AO77" s="9" t="s">
        <v>85</v>
      </c>
      <c r="AP77" s="9" t="s">
        <v>85</v>
      </c>
      <c r="AQ77" s="9">
        <v>0.5</v>
      </c>
      <c r="AR77" s="9" t="s">
        <v>85</v>
      </c>
      <c r="AS77" s="9" t="s">
        <v>85</v>
      </c>
      <c r="AT77" s="9">
        <v>0.466667</v>
      </c>
      <c r="AU77" s="9" t="s">
        <v>85</v>
      </c>
      <c r="AV77" s="9" t="s">
        <v>85</v>
      </c>
      <c r="AW77" s="9">
        <v>0.477778</v>
      </c>
      <c r="AX77" s="9" t="s">
        <v>85</v>
      </c>
      <c r="AY77" s="9" t="s">
        <v>85</v>
      </c>
      <c r="AZ77" s="9">
        <v>0.544444</v>
      </c>
      <c r="BA77" s="10" t="s">
        <v>85</v>
      </c>
      <c r="BB77" s="10" t="s">
        <v>85</v>
      </c>
      <c r="BC77" s="9">
        <v>0.5</v>
      </c>
      <c r="BD77" s="10" t="s">
        <v>85</v>
      </c>
      <c r="BE77" s="10" t="s">
        <v>85</v>
      </c>
      <c r="BF77" s="9" t="s">
        <v>85</v>
      </c>
      <c r="BG77" s="6"/>
      <c r="BH77" s="6" t="str">
        <f t="shared" si="1"/>
        <v>10BN_One_Acc</v>
      </c>
      <c r="BI77" s="6" t="str">
        <f t="shared" si="2"/>
        <v>8BN_One_Acc</v>
      </c>
      <c r="BJ77" s="6" t="str">
        <f t="shared" si="3"/>
        <v>8BN_One_Acc</v>
      </c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</row>
    <row r="78" ht="15.75" customHeight="1">
      <c r="A78" s="1" t="s">
        <v>172</v>
      </c>
      <c r="B78" s="9" t="s">
        <v>85</v>
      </c>
      <c r="C78" s="9" t="s">
        <v>85</v>
      </c>
      <c r="D78" s="9">
        <v>0.165</v>
      </c>
      <c r="E78" s="9" t="s">
        <v>85</v>
      </c>
      <c r="F78" s="9" t="s">
        <v>85</v>
      </c>
      <c r="G78" s="9">
        <v>0.016667</v>
      </c>
      <c r="H78" s="9" t="s">
        <v>85</v>
      </c>
      <c r="I78" s="9" t="s">
        <v>85</v>
      </c>
      <c r="J78" s="9">
        <v>0.405</v>
      </c>
      <c r="K78" s="9" t="s">
        <v>85</v>
      </c>
      <c r="L78" s="9" t="s">
        <v>85</v>
      </c>
      <c r="M78" s="9">
        <v>0.26</v>
      </c>
      <c r="N78" s="9" t="s">
        <v>85</v>
      </c>
      <c r="O78" s="9" t="s">
        <v>85</v>
      </c>
      <c r="P78" s="9">
        <v>0.4</v>
      </c>
      <c r="Q78" s="9" t="s">
        <v>85</v>
      </c>
      <c r="R78" s="9" t="s">
        <v>85</v>
      </c>
      <c r="S78" s="9">
        <v>0.35</v>
      </c>
      <c r="T78" s="9" t="s">
        <v>85</v>
      </c>
      <c r="U78" s="9" t="s">
        <v>85</v>
      </c>
      <c r="V78" s="9">
        <v>0.47</v>
      </c>
      <c r="W78" s="9" t="s">
        <v>85</v>
      </c>
      <c r="X78" s="9" t="s">
        <v>85</v>
      </c>
      <c r="Y78" s="9">
        <v>0.326667</v>
      </c>
      <c r="Z78" s="10" t="s">
        <v>85</v>
      </c>
      <c r="AA78" s="10" t="s">
        <v>85</v>
      </c>
      <c r="AB78" s="9">
        <v>0.618333</v>
      </c>
      <c r="AC78" s="9" t="s">
        <v>85</v>
      </c>
      <c r="AD78" s="9" t="s">
        <v>85</v>
      </c>
      <c r="AE78" s="9">
        <v>0.62</v>
      </c>
      <c r="AF78" s="9" t="s">
        <v>85</v>
      </c>
      <c r="AG78" s="9" t="s">
        <v>85</v>
      </c>
      <c r="AH78" s="9">
        <v>0.236667</v>
      </c>
      <c r="AI78" s="9" t="s">
        <v>85</v>
      </c>
      <c r="AJ78" s="9" t="s">
        <v>85</v>
      </c>
      <c r="AK78" s="9">
        <v>0.465</v>
      </c>
      <c r="AL78" s="9" t="s">
        <v>85</v>
      </c>
      <c r="AM78" s="9" t="s">
        <v>85</v>
      </c>
      <c r="AN78" s="9">
        <v>0.395</v>
      </c>
      <c r="AO78" s="9" t="s">
        <v>85</v>
      </c>
      <c r="AP78" s="9" t="s">
        <v>85</v>
      </c>
      <c r="AQ78" s="9">
        <v>0.411667</v>
      </c>
      <c r="AR78" s="9" t="s">
        <v>85</v>
      </c>
      <c r="AS78" s="9" t="s">
        <v>85</v>
      </c>
      <c r="AT78" s="9">
        <v>0.38</v>
      </c>
      <c r="AU78" s="9" t="s">
        <v>85</v>
      </c>
      <c r="AV78" s="9" t="s">
        <v>85</v>
      </c>
      <c r="AW78" s="9">
        <v>0.463333</v>
      </c>
      <c r="AX78" s="9" t="s">
        <v>85</v>
      </c>
      <c r="AY78" s="9" t="s">
        <v>85</v>
      </c>
      <c r="AZ78" s="9">
        <v>0.41</v>
      </c>
      <c r="BA78" s="10" t="s">
        <v>85</v>
      </c>
      <c r="BB78" s="10" t="s">
        <v>85</v>
      </c>
      <c r="BC78" s="9">
        <v>0.381667</v>
      </c>
      <c r="BD78" s="10" t="s">
        <v>85</v>
      </c>
      <c r="BE78" s="10" t="s">
        <v>85</v>
      </c>
      <c r="BF78" s="9" t="s">
        <v>85</v>
      </c>
      <c r="BG78" s="6"/>
      <c r="BH78" s="6" t="str">
        <f t="shared" si="1"/>
        <v>10BN_One_Acc</v>
      </c>
      <c r="BI78" s="6" t="str">
        <f t="shared" si="2"/>
        <v>10B_One_Acc</v>
      </c>
      <c r="BJ78" s="6" t="str">
        <f t="shared" si="3"/>
        <v>8V_One_Acc</v>
      </c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</row>
    <row r="79" ht="15.75" customHeight="1">
      <c r="A79" s="1" t="s">
        <v>173</v>
      </c>
      <c r="B79" s="9" t="s">
        <v>85</v>
      </c>
      <c r="C79" s="9" t="s">
        <v>85</v>
      </c>
      <c r="D79" s="9">
        <v>0.629333</v>
      </c>
      <c r="E79" s="9" t="s">
        <v>85</v>
      </c>
      <c r="F79" s="9" t="s">
        <v>85</v>
      </c>
      <c r="G79" s="9">
        <v>0.333333</v>
      </c>
      <c r="H79" s="9" t="s">
        <v>85</v>
      </c>
      <c r="I79" s="9" t="s">
        <v>85</v>
      </c>
      <c r="J79" s="9">
        <v>0.752</v>
      </c>
      <c r="K79" s="9" t="s">
        <v>85</v>
      </c>
      <c r="L79" s="9" t="s">
        <v>85</v>
      </c>
      <c r="M79" s="9">
        <v>0.754667</v>
      </c>
      <c r="N79" s="9" t="s">
        <v>85</v>
      </c>
      <c r="O79" s="9" t="s">
        <v>85</v>
      </c>
      <c r="P79" s="9">
        <v>0.52</v>
      </c>
      <c r="Q79" s="9" t="s">
        <v>85</v>
      </c>
      <c r="R79" s="9" t="s">
        <v>85</v>
      </c>
      <c r="S79" s="9">
        <v>0.442667</v>
      </c>
      <c r="T79" s="9" t="s">
        <v>85</v>
      </c>
      <c r="U79" s="9" t="s">
        <v>85</v>
      </c>
      <c r="V79" s="9">
        <v>0.805333</v>
      </c>
      <c r="W79" s="9" t="s">
        <v>85</v>
      </c>
      <c r="X79" s="9" t="s">
        <v>85</v>
      </c>
      <c r="Y79" s="9">
        <v>0.797333</v>
      </c>
      <c r="Z79" s="10" t="s">
        <v>85</v>
      </c>
      <c r="AA79" s="10" t="s">
        <v>85</v>
      </c>
      <c r="AB79" s="9">
        <v>0.624</v>
      </c>
      <c r="AC79" s="9" t="s">
        <v>85</v>
      </c>
      <c r="AD79" s="9" t="s">
        <v>85</v>
      </c>
      <c r="AE79" s="9">
        <v>0.64</v>
      </c>
      <c r="AF79" s="9" t="s">
        <v>85</v>
      </c>
      <c r="AG79" s="9" t="s">
        <v>85</v>
      </c>
      <c r="AH79" s="9">
        <v>0.792</v>
      </c>
      <c r="AI79" s="9" t="s">
        <v>85</v>
      </c>
      <c r="AJ79" s="9" t="s">
        <v>85</v>
      </c>
      <c r="AK79" s="9">
        <v>0.789333</v>
      </c>
      <c r="AL79" s="9" t="s">
        <v>85</v>
      </c>
      <c r="AM79" s="9" t="s">
        <v>85</v>
      </c>
      <c r="AN79" s="9">
        <v>0.616</v>
      </c>
      <c r="AO79" s="9" t="s">
        <v>85</v>
      </c>
      <c r="AP79" s="9" t="s">
        <v>85</v>
      </c>
      <c r="AQ79" s="9">
        <v>0.632</v>
      </c>
      <c r="AR79" s="9" t="s">
        <v>85</v>
      </c>
      <c r="AS79" s="9" t="s">
        <v>85</v>
      </c>
      <c r="AT79" s="9">
        <v>0.781333</v>
      </c>
      <c r="AU79" s="9" t="s">
        <v>85</v>
      </c>
      <c r="AV79" s="9" t="s">
        <v>85</v>
      </c>
      <c r="AW79" s="9">
        <v>0.768</v>
      </c>
      <c r="AX79" s="9" t="s">
        <v>85</v>
      </c>
      <c r="AY79" s="9" t="s">
        <v>85</v>
      </c>
      <c r="AZ79" s="9">
        <v>0.664</v>
      </c>
      <c r="BA79" s="10" t="s">
        <v>85</v>
      </c>
      <c r="BB79" s="10" t="s">
        <v>85</v>
      </c>
      <c r="BC79" s="9">
        <v>0.786667</v>
      </c>
      <c r="BD79" s="10" t="s">
        <v>85</v>
      </c>
      <c r="BE79" s="10" t="s">
        <v>85</v>
      </c>
      <c r="BF79" s="9" t="s">
        <v>85</v>
      </c>
      <c r="BG79" s="6"/>
      <c r="BH79" s="6" t="str">
        <f t="shared" si="1"/>
        <v>8V_One_Acc</v>
      </c>
      <c r="BI79" s="6" t="str">
        <f t="shared" si="2"/>
        <v>8VB_One_Acc</v>
      </c>
      <c r="BJ79" s="6" t="str">
        <f t="shared" si="3"/>
        <v>10V_One_Acc</v>
      </c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</row>
    <row r="80" ht="15.75" customHeight="1">
      <c r="A80" s="1" t="s">
        <v>174</v>
      </c>
      <c r="B80" s="9" t="s">
        <v>85</v>
      </c>
      <c r="C80" s="9" t="s">
        <v>85</v>
      </c>
      <c r="D80" s="9">
        <v>0.96</v>
      </c>
      <c r="E80" s="9" t="s">
        <v>85</v>
      </c>
      <c r="F80" s="9" t="s">
        <v>85</v>
      </c>
      <c r="G80" s="9">
        <v>0.34</v>
      </c>
      <c r="H80" s="9" t="s">
        <v>85</v>
      </c>
      <c r="I80" s="9" t="s">
        <v>85</v>
      </c>
      <c r="J80" s="9">
        <v>0.906667</v>
      </c>
      <c r="K80" s="9" t="s">
        <v>85</v>
      </c>
      <c r="L80" s="9" t="s">
        <v>85</v>
      </c>
      <c r="M80" s="9">
        <v>0.946667</v>
      </c>
      <c r="N80" s="9" t="s">
        <v>85</v>
      </c>
      <c r="O80" s="9" t="s">
        <v>85</v>
      </c>
      <c r="P80" s="9">
        <v>0.926667</v>
      </c>
      <c r="Q80" s="9" t="s">
        <v>85</v>
      </c>
      <c r="R80" s="9" t="s">
        <v>85</v>
      </c>
      <c r="S80" s="9">
        <v>0.933333</v>
      </c>
      <c r="T80" s="9" t="s">
        <v>85</v>
      </c>
      <c r="U80" s="9" t="s">
        <v>85</v>
      </c>
      <c r="V80" s="9">
        <v>0.34</v>
      </c>
      <c r="W80" s="9" t="s">
        <v>85</v>
      </c>
      <c r="X80" s="9" t="s">
        <v>85</v>
      </c>
      <c r="Y80" s="9">
        <v>0.946667</v>
      </c>
      <c r="Z80" s="10" t="s">
        <v>85</v>
      </c>
      <c r="AA80" s="10" t="s">
        <v>85</v>
      </c>
      <c r="AB80" s="9">
        <v>0.92</v>
      </c>
      <c r="AC80" s="9" t="s">
        <v>85</v>
      </c>
      <c r="AD80" s="9" t="s">
        <v>85</v>
      </c>
      <c r="AE80" s="9">
        <v>0.94</v>
      </c>
      <c r="AF80" s="9" t="s">
        <v>85</v>
      </c>
      <c r="AG80" s="9" t="s">
        <v>85</v>
      </c>
      <c r="AH80" s="9">
        <v>0.42</v>
      </c>
      <c r="AI80" s="9" t="s">
        <v>85</v>
      </c>
      <c r="AJ80" s="9" t="s">
        <v>85</v>
      </c>
      <c r="AK80" s="9">
        <v>0.966667</v>
      </c>
      <c r="AL80" s="9" t="s">
        <v>85</v>
      </c>
      <c r="AM80" s="9" t="s">
        <v>85</v>
      </c>
      <c r="AN80" s="9">
        <v>0.933333</v>
      </c>
      <c r="AO80" s="9" t="s">
        <v>85</v>
      </c>
      <c r="AP80" s="9" t="s">
        <v>85</v>
      </c>
      <c r="AQ80" s="9">
        <v>0.933333</v>
      </c>
      <c r="AR80" s="9" t="s">
        <v>85</v>
      </c>
      <c r="AS80" s="9" t="s">
        <v>85</v>
      </c>
      <c r="AT80" s="9">
        <v>0.373333</v>
      </c>
      <c r="AU80" s="9" t="s">
        <v>85</v>
      </c>
      <c r="AV80" s="9" t="s">
        <v>85</v>
      </c>
      <c r="AW80" s="9">
        <v>0.94</v>
      </c>
      <c r="AX80" s="9" t="s">
        <v>85</v>
      </c>
      <c r="AY80" s="9" t="s">
        <v>85</v>
      </c>
      <c r="AZ80" s="9">
        <v>0.706667</v>
      </c>
      <c r="BA80" s="10" t="s">
        <v>85</v>
      </c>
      <c r="BB80" s="10" t="s">
        <v>85</v>
      </c>
      <c r="BC80" s="9">
        <v>0.826667</v>
      </c>
      <c r="BD80" s="10" t="s">
        <v>85</v>
      </c>
      <c r="BE80" s="10" t="s">
        <v>85</v>
      </c>
      <c r="BF80" s="9" t="s">
        <v>85</v>
      </c>
      <c r="BG80" s="6"/>
      <c r="BH80" s="6" t="str">
        <f t="shared" si="1"/>
        <v>10VB_One_Acc</v>
      </c>
      <c r="BI80" s="6" t="str">
        <f t="shared" si="2"/>
        <v>5B_One_Acc</v>
      </c>
      <c r="BJ80" s="6" t="str">
        <f t="shared" si="3"/>
        <v>5VB_One_Acc</v>
      </c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</row>
    <row r="81" ht="15.75" customHeight="1">
      <c r="A81" s="1" t="s">
        <v>175</v>
      </c>
      <c r="B81" s="9" t="s">
        <v>85</v>
      </c>
      <c r="C81" s="9" t="s">
        <v>85</v>
      </c>
      <c r="D81" s="9">
        <v>0.557404</v>
      </c>
      <c r="E81" s="9" t="s">
        <v>85</v>
      </c>
      <c r="F81" s="9" t="s">
        <v>85</v>
      </c>
      <c r="G81" s="9">
        <v>0.570715</v>
      </c>
      <c r="H81" s="9" t="s">
        <v>85</v>
      </c>
      <c r="I81" s="9" t="s">
        <v>85</v>
      </c>
      <c r="J81" s="9">
        <v>0.607321</v>
      </c>
      <c r="K81" s="9" t="s">
        <v>85</v>
      </c>
      <c r="L81" s="9" t="s">
        <v>85</v>
      </c>
      <c r="M81" s="9">
        <v>0.627288</v>
      </c>
      <c r="N81" s="9" t="s">
        <v>85</v>
      </c>
      <c r="O81" s="9" t="s">
        <v>85</v>
      </c>
      <c r="P81" s="9">
        <v>0.673877</v>
      </c>
      <c r="Q81" s="9" t="s">
        <v>85</v>
      </c>
      <c r="R81" s="9" t="s">
        <v>85</v>
      </c>
      <c r="S81" s="9">
        <v>0.65391</v>
      </c>
      <c r="T81" s="9" t="s">
        <v>85</v>
      </c>
      <c r="U81" s="9" t="s">
        <v>85</v>
      </c>
      <c r="V81" s="9">
        <v>0.524126</v>
      </c>
      <c r="W81" s="9" t="s">
        <v>85</v>
      </c>
      <c r="X81" s="9" t="s">
        <v>85</v>
      </c>
      <c r="Y81" s="9">
        <v>0.550749</v>
      </c>
      <c r="Z81" s="10" t="s">
        <v>85</v>
      </c>
      <c r="AA81" s="10" t="s">
        <v>85</v>
      </c>
      <c r="AB81" s="9">
        <v>0.580699</v>
      </c>
      <c r="AC81" s="9" t="s">
        <v>85</v>
      </c>
      <c r="AD81" s="9" t="s">
        <v>85</v>
      </c>
      <c r="AE81" s="9">
        <v>0.552413</v>
      </c>
      <c r="AF81" s="9" t="s">
        <v>85</v>
      </c>
      <c r="AG81" s="9" t="s">
        <v>85</v>
      </c>
      <c r="AH81" s="9">
        <v>0.552413</v>
      </c>
      <c r="AI81" s="9" t="s">
        <v>85</v>
      </c>
      <c r="AJ81" s="9" t="s">
        <v>85</v>
      </c>
      <c r="AK81" s="9">
        <v>0.580699</v>
      </c>
      <c r="AL81" s="9" t="s">
        <v>85</v>
      </c>
      <c r="AM81" s="9" t="s">
        <v>85</v>
      </c>
      <c r="AN81" s="9">
        <v>0.603993</v>
      </c>
      <c r="AO81" s="9" t="s">
        <v>85</v>
      </c>
      <c r="AP81" s="9" t="s">
        <v>85</v>
      </c>
      <c r="AQ81" s="9">
        <v>0.499168</v>
      </c>
      <c r="AR81" s="9" t="s">
        <v>85</v>
      </c>
      <c r="AS81" s="9" t="s">
        <v>85</v>
      </c>
      <c r="AT81" s="9">
        <v>0.630616</v>
      </c>
      <c r="AU81" s="9" t="s">
        <v>85</v>
      </c>
      <c r="AV81" s="9" t="s">
        <v>85</v>
      </c>
      <c r="AW81" s="9">
        <v>0.677205</v>
      </c>
      <c r="AX81" s="9" t="s">
        <v>85</v>
      </c>
      <c r="AY81" s="9" t="s">
        <v>85</v>
      </c>
      <c r="AZ81" s="9">
        <v>0.49584</v>
      </c>
      <c r="BA81" s="10" t="s">
        <v>85</v>
      </c>
      <c r="BB81" s="10" t="s">
        <v>85</v>
      </c>
      <c r="BC81" s="9">
        <v>0.667221</v>
      </c>
      <c r="BD81" s="10" t="s">
        <v>85</v>
      </c>
      <c r="BE81" s="10" t="s">
        <v>85</v>
      </c>
      <c r="BF81" s="9" t="s">
        <v>85</v>
      </c>
      <c r="BG81" s="6"/>
      <c r="BH81" s="6" t="str">
        <f t="shared" si="1"/>
        <v>12VB_One_Acc</v>
      </c>
      <c r="BI81" s="6" t="str">
        <f t="shared" si="2"/>
        <v>8B_One_Acc</v>
      </c>
      <c r="BJ81" s="6" t="str">
        <f t="shared" si="3"/>
        <v>20V_One_Acc</v>
      </c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</row>
    <row r="82" ht="15.75" customHeight="1">
      <c r="A82" s="1" t="s">
        <v>176</v>
      </c>
      <c r="B82" s="9" t="s">
        <v>85</v>
      </c>
      <c r="C82" s="9" t="s">
        <v>85</v>
      </c>
      <c r="D82" s="9">
        <v>0.743966</v>
      </c>
      <c r="E82" s="9" t="s">
        <v>85</v>
      </c>
      <c r="F82" s="9" t="s">
        <v>85</v>
      </c>
      <c r="G82" s="9">
        <v>0.616999</v>
      </c>
      <c r="H82" s="9" t="s">
        <v>85</v>
      </c>
      <c r="I82" s="9" t="s">
        <v>85</v>
      </c>
      <c r="J82" s="9">
        <v>0.766002</v>
      </c>
      <c r="K82" s="9" t="s">
        <v>85</v>
      </c>
      <c r="L82" s="9" t="s">
        <v>85</v>
      </c>
      <c r="M82" s="9">
        <v>0.767051</v>
      </c>
      <c r="N82" s="9" t="s">
        <v>85</v>
      </c>
      <c r="O82" s="9" t="s">
        <v>85</v>
      </c>
      <c r="P82" s="9">
        <v>0.796432</v>
      </c>
      <c r="Q82" s="9" t="s">
        <v>85</v>
      </c>
      <c r="R82" s="9" t="s">
        <v>85</v>
      </c>
      <c r="S82" s="9">
        <v>0.797482</v>
      </c>
      <c r="T82" s="9" t="s">
        <v>85</v>
      </c>
      <c r="U82" s="9" t="s">
        <v>85</v>
      </c>
      <c r="V82" s="9">
        <v>0.779643</v>
      </c>
      <c r="W82" s="9" t="s">
        <v>85</v>
      </c>
      <c r="X82" s="9" t="s">
        <v>85</v>
      </c>
      <c r="Y82" s="9">
        <v>0.782791</v>
      </c>
      <c r="Z82" s="10" t="s">
        <v>85</v>
      </c>
      <c r="AA82" s="10" t="s">
        <v>85</v>
      </c>
      <c r="AB82" s="9">
        <v>0.779643</v>
      </c>
      <c r="AC82" s="9" t="s">
        <v>85</v>
      </c>
      <c r="AD82" s="9" t="s">
        <v>85</v>
      </c>
      <c r="AE82" s="9">
        <v>0.776495</v>
      </c>
      <c r="AF82" s="9" t="s">
        <v>85</v>
      </c>
      <c r="AG82" s="9" t="s">
        <v>85</v>
      </c>
      <c r="AH82" s="9">
        <v>0.755509</v>
      </c>
      <c r="AI82" s="9" t="s">
        <v>85</v>
      </c>
      <c r="AJ82" s="9" t="s">
        <v>85</v>
      </c>
      <c r="AK82" s="9">
        <v>0.743966</v>
      </c>
      <c r="AL82" s="9" t="s">
        <v>85</v>
      </c>
      <c r="AM82" s="9" t="s">
        <v>85</v>
      </c>
      <c r="AN82" s="9">
        <v>0.796432</v>
      </c>
      <c r="AO82" s="9" t="s">
        <v>85</v>
      </c>
      <c r="AP82" s="9" t="s">
        <v>85</v>
      </c>
      <c r="AQ82" s="9">
        <v>0.795383</v>
      </c>
      <c r="AR82" s="9" t="s">
        <v>85</v>
      </c>
      <c r="AS82" s="9" t="s">
        <v>85</v>
      </c>
      <c r="AT82" s="9">
        <v>0.795383</v>
      </c>
      <c r="AU82" s="9" t="s">
        <v>85</v>
      </c>
      <c r="AV82" s="9" t="s">
        <v>85</v>
      </c>
      <c r="AW82" s="9">
        <v>0.798531</v>
      </c>
      <c r="AX82" s="9" t="s">
        <v>85</v>
      </c>
      <c r="AY82" s="9" t="s">
        <v>85</v>
      </c>
      <c r="AZ82" s="9">
        <v>0.78489</v>
      </c>
      <c r="BA82" s="10" t="s">
        <v>85</v>
      </c>
      <c r="BB82" s="10" t="s">
        <v>85</v>
      </c>
      <c r="BC82" s="9">
        <v>0.803778</v>
      </c>
      <c r="BD82" s="10" t="s">
        <v>85</v>
      </c>
      <c r="BE82" s="10" t="s">
        <v>85</v>
      </c>
      <c r="BF82" s="9" t="s">
        <v>85</v>
      </c>
      <c r="BG82" s="6"/>
      <c r="BH82" s="6" t="str">
        <f t="shared" si="1"/>
        <v>20V_One_Acc</v>
      </c>
      <c r="BI82" s="6" t="str">
        <f t="shared" si="2"/>
        <v>12VB_One_Acc</v>
      </c>
      <c r="BJ82" s="6" t="str">
        <f t="shared" si="3"/>
        <v>8BN_One_Acc</v>
      </c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</row>
    <row r="83" ht="15.75" customHeight="1">
      <c r="A83" s="1" t="s">
        <v>177</v>
      </c>
      <c r="B83" s="9" t="s">
        <v>85</v>
      </c>
      <c r="C83" s="9" t="s">
        <v>85</v>
      </c>
      <c r="D83" s="9">
        <v>0.927635</v>
      </c>
      <c r="E83" s="9" t="s">
        <v>85</v>
      </c>
      <c r="F83" s="9" t="s">
        <v>85</v>
      </c>
      <c r="G83" s="9">
        <v>0.577222</v>
      </c>
      <c r="H83" s="9" t="s">
        <v>85</v>
      </c>
      <c r="I83" s="9" t="s">
        <v>85</v>
      </c>
      <c r="J83" s="9">
        <v>0.930792</v>
      </c>
      <c r="K83" s="9" t="s">
        <v>85</v>
      </c>
      <c r="L83" s="9" t="s">
        <v>85</v>
      </c>
      <c r="M83" s="9">
        <v>0.932127</v>
      </c>
      <c r="N83" s="9" t="s">
        <v>85</v>
      </c>
      <c r="O83" s="9" t="s">
        <v>85</v>
      </c>
      <c r="P83" s="9">
        <v>0.93407</v>
      </c>
      <c r="Q83" s="9" t="s">
        <v>85</v>
      </c>
      <c r="R83" s="9" t="s">
        <v>85</v>
      </c>
      <c r="S83" s="9">
        <v>0.934677</v>
      </c>
      <c r="T83" s="9" t="s">
        <v>85</v>
      </c>
      <c r="U83" s="9" t="s">
        <v>85</v>
      </c>
      <c r="V83" s="9">
        <v>0.934556</v>
      </c>
      <c r="W83" s="9" t="s">
        <v>85</v>
      </c>
      <c r="X83" s="9" t="s">
        <v>85</v>
      </c>
      <c r="Y83" s="9">
        <v>0.937227</v>
      </c>
      <c r="Z83" s="10" t="s">
        <v>85</v>
      </c>
      <c r="AA83" s="10" t="s">
        <v>85</v>
      </c>
      <c r="AB83" s="9">
        <v>0.934556</v>
      </c>
      <c r="AC83" s="9" t="s">
        <v>85</v>
      </c>
      <c r="AD83" s="9" t="s">
        <v>85</v>
      </c>
      <c r="AE83" s="9">
        <v>0.930792</v>
      </c>
      <c r="AF83" s="9" t="s">
        <v>85</v>
      </c>
      <c r="AG83" s="9" t="s">
        <v>85</v>
      </c>
      <c r="AH83" s="9">
        <v>0.937834</v>
      </c>
      <c r="AI83" s="9" t="s">
        <v>85</v>
      </c>
      <c r="AJ83" s="9" t="s">
        <v>85</v>
      </c>
      <c r="AK83" s="9">
        <v>0.939412</v>
      </c>
      <c r="AL83" s="9" t="s">
        <v>85</v>
      </c>
      <c r="AM83" s="9" t="s">
        <v>85</v>
      </c>
      <c r="AN83" s="9">
        <v>0.941234</v>
      </c>
      <c r="AO83" s="9" t="s">
        <v>85</v>
      </c>
      <c r="AP83" s="9" t="s">
        <v>85</v>
      </c>
      <c r="AQ83" s="9">
        <v>0.93577</v>
      </c>
      <c r="AR83" s="9" t="s">
        <v>85</v>
      </c>
      <c r="AS83" s="9" t="s">
        <v>85</v>
      </c>
      <c r="AT83" s="9">
        <v>0.95034</v>
      </c>
      <c r="AU83" s="9" t="s">
        <v>85</v>
      </c>
      <c r="AV83" s="9" t="s">
        <v>85</v>
      </c>
      <c r="AW83" s="9">
        <v>0.953254</v>
      </c>
      <c r="AX83" s="9" t="s">
        <v>85</v>
      </c>
      <c r="AY83" s="9" t="s">
        <v>85</v>
      </c>
      <c r="AZ83" s="9">
        <v>0.940869</v>
      </c>
      <c r="BA83" s="10" t="s">
        <v>85</v>
      </c>
      <c r="BB83" s="10" t="s">
        <v>85</v>
      </c>
      <c r="BC83" s="9">
        <v>0.954104</v>
      </c>
      <c r="BD83" s="10" t="s">
        <v>85</v>
      </c>
      <c r="BE83" s="10" t="s">
        <v>85</v>
      </c>
      <c r="BF83" s="9" t="s">
        <v>85</v>
      </c>
      <c r="BG83" s="6"/>
      <c r="BH83" s="6" t="str">
        <f t="shared" si="1"/>
        <v>20V_One_Acc</v>
      </c>
      <c r="BI83" s="6" t="str">
        <f t="shared" si="2"/>
        <v>12VB_One_Acc</v>
      </c>
      <c r="BJ83" s="6" t="str">
        <f t="shared" si="3"/>
        <v>12V_One_Acc</v>
      </c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</row>
    <row r="84" ht="15.75" customHeight="1">
      <c r="A84" s="1" t="s">
        <v>178</v>
      </c>
      <c r="B84" s="9" t="s">
        <v>85</v>
      </c>
      <c r="C84" s="9" t="s">
        <v>85</v>
      </c>
      <c r="D84" s="9">
        <v>0.908108</v>
      </c>
      <c r="E84" s="9" t="s">
        <v>85</v>
      </c>
      <c r="F84" s="9" t="s">
        <v>85</v>
      </c>
      <c r="G84" s="9">
        <v>0.643243</v>
      </c>
      <c r="H84" s="9" t="s">
        <v>85</v>
      </c>
      <c r="I84" s="9" t="s">
        <v>85</v>
      </c>
      <c r="J84" s="9">
        <v>0.910811</v>
      </c>
      <c r="K84" s="9" t="s">
        <v>85</v>
      </c>
      <c r="L84" s="9" t="s">
        <v>85</v>
      </c>
      <c r="M84" s="9">
        <v>0.913514</v>
      </c>
      <c r="N84" s="9" t="s">
        <v>85</v>
      </c>
      <c r="O84" s="9" t="s">
        <v>85</v>
      </c>
      <c r="P84" s="9">
        <v>0.92973</v>
      </c>
      <c r="Q84" s="9" t="s">
        <v>85</v>
      </c>
      <c r="R84" s="9" t="s">
        <v>85</v>
      </c>
      <c r="S84" s="9">
        <v>0.910811</v>
      </c>
      <c r="T84" s="9" t="s">
        <v>85</v>
      </c>
      <c r="U84" s="9" t="s">
        <v>85</v>
      </c>
      <c r="V84" s="9">
        <v>0.897297</v>
      </c>
      <c r="W84" s="9" t="s">
        <v>85</v>
      </c>
      <c r="X84" s="9" t="s">
        <v>85</v>
      </c>
      <c r="Y84" s="9">
        <v>0.910811</v>
      </c>
      <c r="Z84" s="10" t="s">
        <v>85</v>
      </c>
      <c r="AA84" s="10" t="s">
        <v>85</v>
      </c>
      <c r="AB84" s="9">
        <v>0.92973</v>
      </c>
      <c r="AC84" s="9" t="s">
        <v>85</v>
      </c>
      <c r="AD84" s="9" t="s">
        <v>85</v>
      </c>
      <c r="AE84" s="9">
        <v>0.924324</v>
      </c>
      <c r="AF84" s="9" t="s">
        <v>85</v>
      </c>
      <c r="AG84" s="9" t="s">
        <v>85</v>
      </c>
      <c r="AH84" s="9">
        <v>0.918919</v>
      </c>
      <c r="AI84" s="9" t="s">
        <v>85</v>
      </c>
      <c r="AJ84" s="9" t="s">
        <v>85</v>
      </c>
      <c r="AK84" s="9">
        <v>0.918919</v>
      </c>
      <c r="AL84" s="9" t="s">
        <v>85</v>
      </c>
      <c r="AM84" s="9" t="s">
        <v>85</v>
      </c>
      <c r="AN84" s="9">
        <v>0.940541</v>
      </c>
      <c r="AO84" s="9" t="s">
        <v>85</v>
      </c>
      <c r="AP84" s="9" t="s">
        <v>85</v>
      </c>
      <c r="AQ84" s="9">
        <v>0.927027</v>
      </c>
      <c r="AR84" s="9" t="s">
        <v>85</v>
      </c>
      <c r="AS84" s="9" t="s">
        <v>85</v>
      </c>
      <c r="AT84" s="9">
        <v>0.937838</v>
      </c>
      <c r="AU84" s="9" t="s">
        <v>85</v>
      </c>
      <c r="AV84" s="9" t="s">
        <v>85</v>
      </c>
      <c r="AW84" s="9">
        <v>0.951351</v>
      </c>
      <c r="AX84" s="9" t="s">
        <v>85</v>
      </c>
      <c r="AY84" s="9" t="s">
        <v>85</v>
      </c>
      <c r="AZ84" s="9">
        <v>0.935135</v>
      </c>
      <c r="BA84" s="10" t="s">
        <v>85</v>
      </c>
      <c r="BB84" s="10" t="s">
        <v>85</v>
      </c>
      <c r="BC84" s="9">
        <v>0.943243</v>
      </c>
      <c r="BD84" s="10" t="s">
        <v>85</v>
      </c>
      <c r="BE84" s="10" t="s">
        <v>85</v>
      </c>
      <c r="BF84" s="9" t="s">
        <v>85</v>
      </c>
      <c r="BG84" s="6"/>
      <c r="BH84" s="6" t="str">
        <f t="shared" si="1"/>
        <v>12VB_One_Acc</v>
      </c>
      <c r="BI84" s="6" t="str">
        <f t="shared" si="2"/>
        <v>20V_One_Acc</v>
      </c>
      <c r="BJ84" s="6" t="str">
        <f t="shared" si="3"/>
        <v>12B_One_Acc</v>
      </c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</row>
    <row r="85" ht="15.75" customHeight="1">
      <c r="A85" s="1" t="s">
        <v>179</v>
      </c>
      <c r="B85" s="9" t="s">
        <v>85</v>
      </c>
      <c r="C85" s="9" t="s">
        <v>85</v>
      </c>
      <c r="D85" s="9">
        <v>0.7408</v>
      </c>
      <c r="E85" s="9" t="s">
        <v>85</v>
      </c>
      <c r="F85" s="9" t="s">
        <v>85</v>
      </c>
      <c r="G85" s="9">
        <v>0.0528</v>
      </c>
      <c r="H85" s="9" t="s">
        <v>85</v>
      </c>
      <c r="I85" s="9" t="s">
        <v>85</v>
      </c>
      <c r="J85" s="9">
        <v>0.7808</v>
      </c>
      <c r="K85" s="9" t="s">
        <v>85</v>
      </c>
      <c r="L85" s="9" t="s">
        <v>85</v>
      </c>
      <c r="M85" s="9">
        <v>0.5424</v>
      </c>
      <c r="N85" s="9" t="s">
        <v>85</v>
      </c>
      <c r="O85" s="9" t="s">
        <v>85</v>
      </c>
      <c r="P85" s="9">
        <v>0.7216</v>
      </c>
      <c r="Q85" s="9" t="s">
        <v>85</v>
      </c>
      <c r="R85" s="9" t="s">
        <v>85</v>
      </c>
      <c r="S85" s="9">
        <v>0.7856</v>
      </c>
      <c r="T85" s="9" t="s">
        <v>85</v>
      </c>
      <c r="U85" s="9" t="s">
        <v>85</v>
      </c>
      <c r="V85" s="9">
        <v>0.8352</v>
      </c>
      <c r="W85" s="9" t="s">
        <v>85</v>
      </c>
      <c r="X85" s="9" t="s">
        <v>85</v>
      </c>
      <c r="Y85" s="9">
        <v>0.592</v>
      </c>
      <c r="Z85" s="10" t="s">
        <v>85</v>
      </c>
      <c r="AA85" s="10" t="s">
        <v>85</v>
      </c>
      <c r="AB85" s="9">
        <v>0.7504</v>
      </c>
      <c r="AC85" s="9" t="s">
        <v>85</v>
      </c>
      <c r="AD85" s="9" t="s">
        <v>85</v>
      </c>
      <c r="AE85" s="9">
        <v>0.7984</v>
      </c>
      <c r="AF85" s="9" t="s">
        <v>85</v>
      </c>
      <c r="AG85" s="9" t="s">
        <v>85</v>
      </c>
      <c r="AH85" s="9">
        <v>0.7568</v>
      </c>
      <c r="AI85" s="9" t="s">
        <v>85</v>
      </c>
      <c r="AJ85" s="9" t="s">
        <v>85</v>
      </c>
      <c r="AK85" s="9">
        <v>0.8288</v>
      </c>
      <c r="AL85" s="9" t="s">
        <v>85</v>
      </c>
      <c r="AM85" s="9" t="s">
        <v>85</v>
      </c>
      <c r="AN85" s="9">
        <v>0.8144</v>
      </c>
      <c r="AO85" s="9" t="s">
        <v>85</v>
      </c>
      <c r="AP85" s="9" t="s">
        <v>85</v>
      </c>
      <c r="AQ85" s="9">
        <v>0.7872</v>
      </c>
      <c r="AR85" s="9" t="s">
        <v>85</v>
      </c>
      <c r="AS85" s="9" t="s">
        <v>85</v>
      </c>
      <c r="AT85" s="9">
        <v>0.8272</v>
      </c>
      <c r="AU85" s="9" t="s">
        <v>85</v>
      </c>
      <c r="AV85" s="9" t="s">
        <v>85</v>
      </c>
      <c r="AW85" s="9">
        <v>0.5824</v>
      </c>
      <c r="AX85" s="9" t="s">
        <v>85</v>
      </c>
      <c r="AY85" s="9" t="s">
        <v>85</v>
      </c>
      <c r="AZ85" s="9">
        <v>0.8016</v>
      </c>
      <c r="BA85" s="10" t="s">
        <v>85</v>
      </c>
      <c r="BB85" s="10" t="s">
        <v>85</v>
      </c>
      <c r="BC85" s="9">
        <v>0.5024</v>
      </c>
      <c r="BD85" s="10" t="s">
        <v>85</v>
      </c>
      <c r="BE85" s="10" t="s">
        <v>85</v>
      </c>
      <c r="BF85" s="9" t="s">
        <v>85</v>
      </c>
      <c r="BG85" s="6"/>
      <c r="BH85" s="6" t="str">
        <f t="shared" si="1"/>
        <v>8V_One_Acc</v>
      </c>
      <c r="BI85" s="6" t="str">
        <f t="shared" si="2"/>
        <v>10VB_One_Acc</v>
      </c>
      <c r="BJ85" s="6" t="str">
        <f t="shared" si="3"/>
        <v>12V_One_Acc</v>
      </c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</row>
    <row r="86" ht="15.75" customHeight="1">
      <c r="A86" s="1" t="s">
        <v>180</v>
      </c>
      <c r="B86" s="9" t="s">
        <v>85</v>
      </c>
      <c r="C86" s="9" t="s">
        <v>85</v>
      </c>
      <c r="D86" s="9">
        <v>0.738693</v>
      </c>
      <c r="E86" s="9" t="s">
        <v>85</v>
      </c>
      <c r="F86" s="9" t="s">
        <v>85</v>
      </c>
      <c r="G86" s="9">
        <v>0.173869</v>
      </c>
      <c r="H86" s="9" t="s">
        <v>85</v>
      </c>
      <c r="I86" s="9" t="s">
        <v>85</v>
      </c>
      <c r="J86" s="9">
        <v>0.747739</v>
      </c>
      <c r="K86" s="9" t="s">
        <v>85</v>
      </c>
      <c r="L86" s="9" t="s">
        <v>85</v>
      </c>
      <c r="M86" s="9">
        <v>0.78995</v>
      </c>
      <c r="N86" s="9" t="s">
        <v>85</v>
      </c>
      <c r="O86" s="9" t="s">
        <v>85</v>
      </c>
      <c r="P86" s="9">
        <v>0.735678</v>
      </c>
      <c r="Q86" s="9" t="s">
        <v>85</v>
      </c>
      <c r="R86" s="9" t="s">
        <v>85</v>
      </c>
      <c r="S86" s="9">
        <v>0.809045</v>
      </c>
      <c r="T86" s="9" t="s">
        <v>85</v>
      </c>
      <c r="U86" s="9" t="s">
        <v>85</v>
      </c>
      <c r="V86" s="9">
        <v>0.777889</v>
      </c>
      <c r="W86" s="9" t="s">
        <v>85</v>
      </c>
      <c r="X86" s="9" t="s">
        <v>85</v>
      </c>
      <c r="Y86" s="9">
        <v>0.838191</v>
      </c>
      <c r="Z86" s="10" t="s">
        <v>85</v>
      </c>
      <c r="AA86" s="10" t="s">
        <v>85</v>
      </c>
      <c r="AB86" s="9">
        <v>0.750754</v>
      </c>
      <c r="AC86" s="9" t="s">
        <v>85</v>
      </c>
      <c r="AD86" s="9" t="s">
        <v>85</v>
      </c>
      <c r="AE86" s="9">
        <v>0.715578</v>
      </c>
      <c r="AF86" s="9" t="s">
        <v>85</v>
      </c>
      <c r="AG86" s="9" t="s">
        <v>85</v>
      </c>
      <c r="AH86" s="9">
        <v>0.729648</v>
      </c>
      <c r="AI86" s="9" t="s">
        <v>85</v>
      </c>
      <c r="AJ86" s="9" t="s">
        <v>85</v>
      </c>
      <c r="AK86" s="9">
        <v>0.776884</v>
      </c>
      <c r="AL86" s="9" t="s">
        <v>85</v>
      </c>
      <c r="AM86" s="9" t="s">
        <v>85</v>
      </c>
      <c r="AN86" s="9">
        <v>0.743719</v>
      </c>
      <c r="AO86" s="9" t="s">
        <v>85</v>
      </c>
      <c r="AP86" s="9" t="s">
        <v>85</v>
      </c>
      <c r="AQ86" s="9">
        <v>0.768844</v>
      </c>
      <c r="AR86" s="9" t="s">
        <v>85</v>
      </c>
      <c r="AS86" s="9" t="s">
        <v>85</v>
      </c>
      <c r="AT86" s="9">
        <v>0.780905</v>
      </c>
      <c r="AU86" s="9" t="s">
        <v>85</v>
      </c>
      <c r="AV86" s="9" t="s">
        <v>85</v>
      </c>
      <c r="AW86" s="9">
        <v>0.81407</v>
      </c>
      <c r="AX86" s="9" t="s">
        <v>85</v>
      </c>
      <c r="AY86" s="9" t="s">
        <v>85</v>
      </c>
      <c r="AZ86" s="9">
        <v>0.61206</v>
      </c>
      <c r="BA86" s="10" t="s">
        <v>85</v>
      </c>
      <c r="BB86" s="10" t="s">
        <v>85</v>
      </c>
      <c r="BC86" s="9">
        <v>0.78191</v>
      </c>
      <c r="BD86" s="10" t="s">
        <v>85</v>
      </c>
      <c r="BE86" s="10" t="s">
        <v>85</v>
      </c>
      <c r="BF86" s="9" t="s">
        <v>85</v>
      </c>
      <c r="BG86" s="6"/>
      <c r="BH86" s="6" t="str">
        <f t="shared" si="1"/>
        <v>8VB_One_Acc</v>
      </c>
      <c r="BI86" s="6" t="str">
        <f t="shared" si="2"/>
        <v>12VB_One_Acc</v>
      </c>
      <c r="BJ86" s="6" t="str">
        <f t="shared" si="3"/>
        <v>8BN_One_Acc</v>
      </c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</row>
    <row r="87" ht="15.75" customHeight="1">
      <c r="A87" s="1" t="s">
        <v>181</v>
      </c>
      <c r="B87" s="9" t="s">
        <v>85</v>
      </c>
      <c r="C87" s="9" t="s">
        <v>85</v>
      </c>
      <c r="D87" s="9">
        <v>0.963333</v>
      </c>
      <c r="E87" s="9" t="s">
        <v>85</v>
      </c>
      <c r="F87" s="9" t="s">
        <v>85</v>
      </c>
      <c r="G87" s="9">
        <v>0.166667</v>
      </c>
      <c r="H87" s="9" t="s">
        <v>85</v>
      </c>
      <c r="I87" s="9" t="s">
        <v>85</v>
      </c>
      <c r="J87" s="9">
        <v>0.94</v>
      </c>
      <c r="K87" s="9" t="s">
        <v>85</v>
      </c>
      <c r="L87" s="9" t="s">
        <v>85</v>
      </c>
      <c r="M87" s="9">
        <v>0.943333</v>
      </c>
      <c r="N87" s="9" t="s">
        <v>85</v>
      </c>
      <c r="O87" s="9" t="s">
        <v>85</v>
      </c>
      <c r="P87" s="9">
        <v>0.963333</v>
      </c>
      <c r="Q87" s="9" t="s">
        <v>85</v>
      </c>
      <c r="R87" s="9" t="s">
        <v>85</v>
      </c>
      <c r="S87" s="9">
        <v>0.96</v>
      </c>
      <c r="T87" s="9" t="s">
        <v>85</v>
      </c>
      <c r="U87" s="9" t="s">
        <v>85</v>
      </c>
      <c r="V87" s="9">
        <v>0.933333</v>
      </c>
      <c r="W87" s="9" t="s">
        <v>85</v>
      </c>
      <c r="X87" s="9" t="s">
        <v>85</v>
      </c>
      <c r="Y87" s="9">
        <v>0.93</v>
      </c>
      <c r="Z87" s="10" t="s">
        <v>85</v>
      </c>
      <c r="AA87" s="10" t="s">
        <v>85</v>
      </c>
      <c r="AB87" s="9">
        <v>0.946667</v>
      </c>
      <c r="AC87" s="9" t="s">
        <v>85</v>
      </c>
      <c r="AD87" s="9" t="s">
        <v>85</v>
      </c>
      <c r="AE87" s="9">
        <v>0.96</v>
      </c>
      <c r="AF87" s="9" t="s">
        <v>85</v>
      </c>
      <c r="AG87" s="9" t="s">
        <v>85</v>
      </c>
      <c r="AH87" s="9">
        <v>0.963333</v>
      </c>
      <c r="AI87" s="9" t="s">
        <v>85</v>
      </c>
      <c r="AJ87" s="9" t="s">
        <v>85</v>
      </c>
      <c r="AK87" s="9">
        <v>0.953333</v>
      </c>
      <c r="AL87" s="9" t="s">
        <v>85</v>
      </c>
      <c r="AM87" s="9" t="s">
        <v>85</v>
      </c>
      <c r="AN87" s="9">
        <v>0.983333</v>
      </c>
      <c r="AO87" s="9" t="s">
        <v>85</v>
      </c>
      <c r="AP87" s="9" t="s">
        <v>85</v>
      </c>
      <c r="AQ87" s="9">
        <v>0.983333</v>
      </c>
      <c r="AR87" s="9" t="s">
        <v>85</v>
      </c>
      <c r="AS87" s="9" t="s">
        <v>85</v>
      </c>
      <c r="AT87" s="9">
        <v>0.946667</v>
      </c>
      <c r="AU87" s="9" t="s">
        <v>85</v>
      </c>
      <c r="AV87" s="9" t="s">
        <v>85</v>
      </c>
      <c r="AW87" s="9">
        <v>0.956667</v>
      </c>
      <c r="AX87" s="9" t="s">
        <v>85</v>
      </c>
      <c r="AY87" s="9" t="s">
        <v>85</v>
      </c>
      <c r="AZ87" s="9">
        <v>0.993333</v>
      </c>
      <c r="BA87" s="10" t="s">
        <v>85</v>
      </c>
      <c r="BB87" s="10" t="s">
        <v>85</v>
      </c>
      <c r="BC87" s="9">
        <v>0.96</v>
      </c>
      <c r="BD87" s="10" t="s">
        <v>85</v>
      </c>
      <c r="BE87" s="10" t="s">
        <v>85</v>
      </c>
      <c r="BF87" s="9" t="s">
        <v>85</v>
      </c>
      <c r="BG87" s="6"/>
      <c r="BH87" s="6" t="str">
        <f t="shared" si="1"/>
        <v>20B_One_Acc</v>
      </c>
      <c r="BI87" s="6" t="str">
        <f t="shared" si="2"/>
        <v>12B_One_Acc</v>
      </c>
      <c r="BJ87" s="6" t="str">
        <f t="shared" si="3"/>
        <v>12B_One_Acc</v>
      </c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</row>
    <row r="88" ht="15.75" customHeight="1">
      <c r="A88" s="1" t="s">
        <v>182</v>
      </c>
      <c r="B88" s="9" t="s">
        <v>85</v>
      </c>
      <c r="C88" s="9" t="s">
        <v>85</v>
      </c>
      <c r="D88" s="9">
        <v>0.758772</v>
      </c>
      <c r="E88" s="9" t="s">
        <v>85</v>
      </c>
      <c r="F88" s="9" t="s">
        <v>85</v>
      </c>
      <c r="G88" s="9">
        <v>0.04386</v>
      </c>
      <c r="H88" s="9" t="s">
        <v>85</v>
      </c>
      <c r="I88" s="9" t="s">
        <v>85</v>
      </c>
      <c r="J88" s="9">
        <v>0.719298</v>
      </c>
      <c r="K88" s="9" t="s">
        <v>85</v>
      </c>
      <c r="L88" s="9" t="s">
        <v>85</v>
      </c>
      <c r="M88" s="9">
        <v>0.723684</v>
      </c>
      <c r="N88" s="9" t="s">
        <v>85</v>
      </c>
      <c r="O88" s="9" t="s">
        <v>85</v>
      </c>
      <c r="P88" s="9">
        <v>0.671053</v>
      </c>
      <c r="Q88" s="9" t="s">
        <v>85</v>
      </c>
      <c r="R88" s="9" t="s">
        <v>85</v>
      </c>
      <c r="S88" s="9">
        <v>0.666667</v>
      </c>
      <c r="T88" s="9" t="s">
        <v>85</v>
      </c>
      <c r="U88" s="9" t="s">
        <v>85</v>
      </c>
      <c r="V88" s="9">
        <v>0.72807</v>
      </c>
      <c r="W88" s="9" t="s">
        <v>85</v>
      </c>
      <c r="X88" s="9" t="s">
        <v>85</v>
      </c>
      <c r="Y88" s="9">
        <v>0.75</v>
      </c>
      <c r="Z88" s="10" t="s">
        <v>85</v>
      </c>
      <c r="AA88" s="10" t="s">
        <v>85</v>
      </c>
      <c r="AB88" s="9">
        <v>0.692982</v>
      </c>
      <c r="AC88" s="9" t="s">
        <v>85</v>
      </c>
      <c r="AD88" s="9" t="s">
        <v>85</v>
      </c>
      <c r="AE88" s="9">
        <v>0.692982</v>
      </c>
      <c r="AF88" s="9" t="s">
        <v>85</v>
      </c>
      <c r="AG88" s="9" t="s">
        <v>85</v>
      </c>
      <c r="AH88" s="9">
        <v>0.714912</v>
      </c>
      <c r="AI88" s="9" t="s">
        <v>85</v>
      </c>
      <c r="AJ88" s="9" t="s">
        <v>85</v>
      </c>
      <c r="AK88" s="9">
        <v>0.732456</v>
      </c>
      <c r="AL88" s="9" t="s">
        <v>85</v>
      </c>
      <c r="AM88" s="9" t="s">
        <v>85</v>
      </c>
      <c r="AN88" s="9">
        <v>0.666667</v>
      </c>
      <c r="AO88" s="9" t="s">
        <v>85</v>
      </c>
      <c r="AP88" s="9" t="s">
        <v>85</v>
      </c>
      <c r="AQ88" s="9">
        <v>0.684211</v>
      </c>
      <c r="AR88" s="9" t="s">
        <v>85</v>
      </c>
      <c r="AS88" s="9" t="s">
        <v>85</v>
      </c>
      <c r="AT88" s="9">
        <v>0.714912</v>
      </c>
      <c r="AU88" s="9" t="s">
        <v>85</v>
      </c>
      <c r="AV88" s="9" t="s">
        <v>85</v>
      </c>
      <c r="AW88" s="9">
        <v>0.70614</v>
      </c>
      <c r="AX88" s="9" t="s">
        <v>85</v>
      </c>
      <c r="AY88" s="9" t="s">
        <v>85</v>
      </c>
      <c r="AZ88" s="9">
        <v>0.671053</v>
      </c>
      <c r="BA88" s="10" t="s">
        <v>85</v>
      </c>
      <c r="BB88" s="10" t="s">
        <v>85</v>
      </c>
      <c r="BC88" s="9">
        <v>0.679825</v>
      </c>
      <c r="BD88" s="10" t="s">
        <v>85</v>
      </c>
      <c r="BE88" s="10" t="s">
        <v>85</v>
      </c>
      <c r="BF88" s="9" t="s">
        <v>85</v>
      </c>
      <c r="BG88" s="6"/>
      <c r="BH88" s="6" t="str">
        <f t="shared" si="1"/>
        <v>5B_One_Acc</v>
      </c>
      <c r="BI88" s="6" t="str">
        <f t="shared" si="2"/>
        <v>8VB_One_Acc</v>
      </c>
      <c r="BJ88" s="6" t="str">
        <f t="shared" si="3"/>
        <v>10VB_One_Acc</v>
      </c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</row>
    <row r="89" ht="15.75" customHeight="1">
      <c r="A89" s="1" t="s">
        <v>183</v>
      </c>
      <c r="B89" s="9" t="s">
        <v>85</v>
      </c>
      <c r="C89" s="9" t="s">
        <v>85</v>
      </c>
      <c r="D89" s="9">
        <v>0.823077</v>
      </c>
      <c r="E89" s="9" t="s">
        <v>85</v>
      </c>
      <c r="F89" s="9" t="s">
        <v>85</v>
      </c>
      <c r="G89" s="9">
        <v>0.169231</v>
      </c>
      <c r="H89" s="9" t="s">
        <v>85</v>
      </c>
      <c r="I89" s="9" t="s">
        <v>85</v>
      </c>
      <c r="J89" s="9">
        <v>0.784615</v>
      </c>
      <c r="K89" s="9" t="s">
        <v>85</v>
      </c>
      <c r="L89" s="9" t="s">
        <v>85</v>
      </c>
      <c r="M89" s="9">
        <v>0.784615</v>
      </c>
      <c r="N89" s="9" t="s">
        <v>85</v>
      </c>
      <c r="O89" s="9" t="s">
        <v>85</v>
      </c>
      <c r="P89" s="9">
        <v>0.792308</v>
      </c>
      <c r="Q89" s="9" t="s">
        <v>85</v>
      </c>
      <c r="R89" s="9" t="s">
        <v>85</v>
      </c>
      <c r="S89" s="9">
        <v>0.830769</v>
      </c>
      <c r="T89" s="9" t="s">
        <v>85</v>
      </c>
      <c r="U89" s="9" t="s">
        <v>85</v>
      </c>
      <c r="V89" s="9">
        <v>0.838462</v>
      </c>
      <c r="W89" s="9" t="s">
        <v>85</v>
      </c>
      <c r="X89" s="9" t="s">
        <v>85</v>
      </c>
      <c r="Y89" s="9">
        <v>0.838462</v>
      </c>
      <c r="Z89" s="10" t="s">
        <v>85</v>
      </c>
      <c r="AA89" s="10" t="s">
        <v>85</v>
      </c>
      <c r="AB89" s="9">
        <v>0.838462</v>
      </c>
      <c r="AC89" s="9" t="s">
        <v>85</v>
      </c>
      <c r="AD89" s="9" t="s">
        <v>85</v>
      </c>
      <c r="AE89" s="9">
        <v>0.830769</v>
      </c>
      <c r="AF89" s="9" t="s">
        <v>85</v>
      </c>
      <c r="AG89" s="9" t="s">
        <v>85</v>
      </c>
      <c r="AH89" s="9">
        <v>0.746154</v>
      </c>
      <c r="AI89" s="9" t="s">
        <v>85</v>
      </c>
      <c r="AJ89" s="9" t="s">
        <v>85</v>
      </c>
      <c r="AK89" s="9">
        <v>0.792308</v>
      </c>
      <c r="AL89" s="9" t="s">
        <v>85</v>
      </c>
      <c r="AM89" s="9" t="s">
        <v>85</v>
      </c>
      <c r="AN89" s="9">
        <v>0.838462</v>
      </c>
      <c r="AO89" s="9" t="s">
        <v>85</v>
      </c>
      <c r="AP89" s="9" t="s">
        <v>85</v>
      </c>
      <c r="AQ89" s="9">
        <v>0.823077</v>
      </c>
      <c r="AR89" s="9" t="s">
        <v>85</v>
      </c>
      <c r="AS89" s="9" t="s">
        <v>85</v>
      </c>
      <c r="AT89" s="9">
        <v>0.715385</v>
      </c>
      <c r="AU89" s="9" t="s">
        <v>85</v>
      </c>
      <c r="AV89" s="9" t="s">
        <v>85</v>
      </c>
      <c r="AW89" s="9">
        <v>0.784615</v>
      </c>
      <c r="AX89" s="9" t="s">
        <v>85</v>
      </c>
      <c r="AY89" s="9" t="s">
        <v>85</v>
      </c>
      <c r="AZ89" s="9">
        <v>0.784615</v>
      </c>
      <c r="BA89" s="10" t="s">
        <v>85</v>
      </c>
      <c r="BB89" s="10" t="s">
        <v>85</v>
      </c>
      <c r="BC89" s="9">
        <v>0.776923</v>
      </c>
      <c r="BD89" s="10" t="s">
        <v>85</v>
      </c>
      <c r="BE89" s="10" t="s">
        <v>85</v>
      </c>
      <c r="BF89" s="9" t="s">
        <v>85</v>
      </c>
      <c r="BG89" s="6"/>
      <c r="BH89" s="6" t="str">
        <f t="shared" si="1"/>
        <v>8V_One_Acc</v>
      </c>
      <c r="BI89" s="6" t="str">
        <f t="shared" si="2"/>
        <v>8V_One_Acc</v>
      </c>
      <c r="BJ89" s="6" t="str">
        <f t="shared" si="3"/>
        <v>8V_One_Acc</v>
      </c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</row>
    <row r="90" ht="15.75" customHeight="1">
      <c r="A90" s="1" t="s">
        <v>184</v>
      </c>
      <c r="B90" s="9" t="s">
        <v>85</v>
      </c>
      <c r="C90" s="9" t="s">
        <v>85</v>
      </c>
      <c r="D90" s="9">
        <v>1.0</v>
      </c>
      <c r="E90" s="9" t="s">
        <v>85</v>
      </c>
      <c r="F90" s="9" t="s">
        <v>85</v>
      </c>
      <c r="G90" s="9">
        <v>0.25</v>
      </c>
      <c r="H90" s="9" t="s">
        <v>85</v>
      </c>
      <c r="I90" s="9" t="s">
        <v>85</v>
      </c>
      <c r="J90" s="9">
        <v>0.99</v>
      </c>
      <c r="K90" s="9" t="s">
        <v>85</v>
      </c>
      <c r="L90" s="9" t="s">
        <v>85</v>
      </c>
      <c r="M90" s="9">
        <v>0.99</v>
      </c>
      <c r="N90" s="9" t="s">
        <v>85</v>
      </c>
      <c r="O90" s="9" t="s">
        <v>85</v>
      </c>
      <c r="P90" s="9">
        <v>1.0</v>
      </c>
      <c r="Q90" s="9" t="s">
        <v>85</v>
      </c>
      <c r="R90" s="9" t="s">
        <v>85</v>
      </c>
      <c r="S90" s="9">
        <v>1.0</v>
      </c>
      <c r="T90" s="9" t="s">
        <v>85</v>
      </c>
      <c r="U90" s="9" t="s">
        <v>85</v>
      </c>
      <c r="V90" s="9">
        <v>0.97</v>
      </c>
      <c r="W90" s="9" t="s">
        <v>85</v>
      </c>
      <c r="X90" s="9" t="s">
        <v>85</v>
      </c>
      <c r="Y90" s="9">
        <v>0.97</v>
      </c>
      <c r="Z90" s="10" t="s">
        <v>85</v>
      </c>
      <c r="AA90" s="10" t="s">
        <v>85</v>
      </c>
      <c r="AB90" s="9">
        <v>1.0</v>
      </c>
      <c r="AC90" s="9" t="s">
        <v>85</v>
      </c>
      <c r="AD90" s="9" t="s">
        <v>85</v>
      </c>
      <c r="AE90" s="9">
        <v>1.0</v>
      </c>
      <c r="AF90" s="9" t="s">
        <v>85</v>
      </c>
      <c r="AG90" s="9" t="s">
        <v>85</v>
      </c>
      <c r="AH90" s="9">
        <v>0.99</v>
      </c>
      <c r="AI90" s="9" t="s">
        <v>85</v>
      </c>
      <c r="AJ90" s="9" t="s">
        <v>85</v>
      </c>
      <c r="AK90" s="9">
        <v>0.99</v>
      </c>
      <c r="AL90" s="9" t="s">
        <v>85</v>
      </c>
      <c r="AM90" s="9" t="s">
        <v>85</v>
      </c>
      <c r="AN90" s="9">
        <v>1.0</v>
      </c>
      <c r="AO90" s="9" t="s">
        <v>85</v>
      </c>
      <c r="AP90" s="9" t="s">
        <v>85</v>
      </c>
      <c r="AQ90" s="9">
        <v>1.0</v>
      </c>
      <c r="AR90" s="9" t="s">
        <v>85</v>
      </c>
      <c r="AS90" s="9" t="s">
        <v>85</v>
      </c>
      <c r="AT90" s="9">
        <v>0.99</v>
      </c>
      <c r="AU90" s="9" t="s">
        <v>85</v>
      </c>
      <c r="AV90" s="9" t="s">
        <v>85</v>
      </c>
      <c r="AW90" s="9">
        <v>0.99</v>
      </c>
      <c r="AX90" s="9" t="s">
        <v>85</v>
      </c>
      <c r="AY90" s="9" t="s">
        <v>85</v>
      </c>
      <c r="AZ90" s="9">
        <v>1.0</v>
      </c>
      <c r="BA90" s="10" t="s">
        <v>85</v>
      </c>
      <c r="BB90" s="10" t="s">
        <v>85</v>
      </c>
      <c r="BC90" s="9">
        <v>1.0</v>
      </c>
      <c r="BD90" s="10" t="s">
        <v>85</v>
      </c>
      <c r="BE90" s="10" t="s">
        <v>85</v>
      </c>
      <c r="BF90" s="9" t="s">
        <v>85</v>
      </c>
      <c r="BG90" s="6"/>
      <c r="BH90" s="6" t="str">
        <f t="shared" si="1"/>
        <v>5B_One_Acc</v>
      </c>
      <c r="BI90" s="6" t="str">
        <f t="shared" si="2"/>
        <v>5B_One_Acc</v>
      </c>
      <c r="BJ90" s="6" t="str">
        <f t="shared" si="3"/>
        <v>5B_One_Acc</v>
      </c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</row>
    <row r="91" ht="15.75" customHeight="1">
      <c r="A91" s="1" t="s">
        <v>185</v>
      </c>
      <c r="B91" s="9" t="s">
        <v>85</v>
      </c>
      <c r="C91" s="9" t="s">
        <v>85</v>
      </c>
      <c r="D91" s="9">
        <v>0.772608</v>
      </c>
      <c r="E91" s="9" t="s">
        <v>85</v>
      </c>
      <c r="F91" s="9" t="s">
        <v>85</v>
      </c>
      <c r="G91" s="9">
        <v>0.499561</v>
      </c>
      <c r="H91" s="9" t="s">
        <v>85</v>
      </c>
      <c r="I91" s="9" t="s">
        <v>85</v>
      </c>
      <c r="J91" s="9">
        <v>0.872695</v>
      </c>
      <c r="K91" s="9" t="s">
        <v>85</v>
      </c>
      <c r="L91" s="9" t="s">
        <v>85</v>
      </c>
      <c r="M91" s="9">
        <v>0.854258</v>
      </c>
      <c r="N91" s="9" t="s">
        <v>85</v>
      </c>
      <c r="O91" s="9" t="s">
        <v>85</v>
      </c>
      <c r="P91" s="9">
        <v>0.725198</v>
      </c>
      <c r="Q91" s="9" t="s">
        <v>85</v>
      </c>
      <c r="R91" s="9" t="s">
        <v>85</v>
      </c>
      <c r="S91" s="9">
        <v>0.720808</v>
      </c>
      <c r="T91" s="9" t="s">
        <v>85</v>
      </c>
      <c r="U91" s="9" t="s">
        <v>85</v>
      </c>
      <c r="V91" s="9">
        <v>0.837577</v>
      </c>
      <c r="W91" s="9" t="s">
        <v>85</v>
      </c>
      <c r="X91" s="9" t="s">
        <v>85</v>
      </c>
      <c r="Y91" s="9">
        <v>0.845478</v>
      </c>
      <c r="Z91" s="10" t="s">
        <v>85</v>
      </c>
      <c r="AA91" s="10" t="s">
        <v>85</v>
      </c>
      <c r="AB91" s="9">
        <v>0.71993</v>
      </c>
      <c r="AC91" s="9" t="s">
        <v>85</v>
      </c>
      <c r="AD91" s="9" t="s">
        <v>85</v>
      </c>
      <c r="AE91" s="9">
        <v>0.757682</v>
      </c>
      <c r="AF91" s="9" t="s">
        <v>85</v>
      </c>
      <c r="AG91" s="9" t="s">
        <v>85</v>
      </c>
      <c r="AH91" s="9">
        <v>0.906058</v>
      </c>
      <c r="AI91" s="9" t="s">
        <v>85</v>
      </c>
      <c r="AJ91" s="9" t="s">
        <v>85</v>
      </c>
      <c r="AK91" s="9">
        <v>0.864794</v>
      </c>
      <c r="AL91" s="9" t="s">
        <v>85</v>
      </c>
      <c r="AM91" s="9" t="s">
        <v>85</v>
      </c>
      <c r="AN91" s="9">
        <v>0.737489</v>
      </c>
      <c r="AO91" s="9" t="s">
        <v>85</v>
      </c>
      <c r="AP91" s="9" t="s">
        <v>85</v>
      </c>
      <c r="AQ91" s="9">
        <v>0.745391</v>
      </c>
      <c r="AR91" s="9" t="s">
        <v>85</v>
      </c>
      <c r="AS91" s="9" t="s">
        <v>85</v>
      </c>
      <c r="AT91" s="9">
        <v>0.833187</v>
      </c>
      <c r="AU91" s="9" t="s">
        <v>85</v>
      </c>
      <c r="AV91" s="9" t="s">
        <v>85</v>
      </c>
      <c r="AW91" s="9">
        <v>0.835821</v>
      </c>
      <c r="AX91" s="9" t="s">
        <v>85</v>
      </c>
      <c r="AY91" s="9" t="s">
        <v>85</v>
      </c>
      <c r="AZ91" s="9">
        <v>0.714662</v>
      </c>
      <c r="BA91" s="10" t="s">
        <v>85</v>
      </c>
      <c r="BB91" s="10" t="s">
        <v>85</v>
      </c>
      <c r="BC91" s="9">
        <v>0.774363</v>
      </c>
      <c r="BD91" s="10" t="s">
        <v>85</v>
      </c>
      <c r="BE91" s="10" t="s">
        <v>85</v>
      </c>
      <c r="BF91" s="9" t="s">
        <v>85</v>
      </c>
      <c r="BG91" s="6"/>
      <c r="BH91" s="6" t="str">
        <f t="shared" si="1"/>
        <v>10V_One_Acc</v>
      </c>
      <c r="BI91" s="6" t="str">
        <f t="shared" si="2"/>
        <v>5V_One_Acc</v>
      </c>
      <c r="BJ91" s="6" t="str">
        <f t="shared" si="3"/>
        <v>10VB_One_Acc</v>
      </c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</row>
    <row r="92" ht="15.75" customHeight="1">
      <c r="A92" s="1" t="s">
        <v>186</v>
      </c>
      <c r="B92" s="9" t="s">
        <v>85</v>
      </c>
      <c r="C92" s="9" t="s">
        <v>85</v>
      </c>
      <c r="D92" s="9">
        <v>0.4965</v>
      </c>
      <c r="E92" s="9" t="s">
        <v>85</v>
      </c>
      <c r="F92" s="9" t="s">
        <v>85</v>
      </c>
      <c r="G92" s="9">
        <v>0.25875</v>
      </c>
      <c r="H92" s="9" t="s">
        <v>85</v>
      </c>
      <c r="I92" s="9" t="s">
        <v>85</v>
      </c>
      <c r="J92" s="9">
        <v>0.62775</v>
      </c>
      <c r="K92" s="9" t="s">
        <v>85</v>
      </c>
      <c r="L92" s="9" t="s">
        <v>85</v>
      </c>
      <c r="M92" s="9">
        <v>0.602</v>
      </c>
      <c r="N92" s="9" t="s">
        <v>85</v>
      </c>
      <c r="O92" s="9" t="s">
        <v>85</v>
      </c>
      <c r="P92" s="9">
        <v>0.5255</v>
      </c>
      <c r="Q92" s="9" t="s">
        <v>85</v>
      </c>
      <c r="R92" s="9" t="s">
        <v>85</v>
      </c>
      <c r="S92" s="9">
        <v>0.53</v>
      </c>
      <c r="T92" s="9" t="s">
        <v>85</v>
      </c>
      <c r="U92" s="9" t="s">
        <v>85</v>
      </c>
      <c r="V92" s="9">
        <v>0.39375</v>
      </c>
      <c r="W92" s="9" t="s">
        <v>85</v>
      </c>
      <c r="X92" s="9" t="s">
        <v>85</v>
      </c>
      <c r="Y92" s="9">
        <v>0.48875</v>
      </c>
      <c r="Z92" s="10" t="s">
        <v>85</v>
      </c>
      <c r="AA92" s="10" t="s">
        <v>85</v>
      </c>
      <c r="AB92" s="9">
        <v>0.53875</v>
      </c>
      <c r="AC92" s="9" t="s">
        <v>85</v>
      </c>
      <c r="AD92" s="9" t="s">
        <v>85</v>
      </c>
      <c r="AE92" s="9">
        <v>0.55</v>
      </c>
      <c r="AF92" s="9" t="s">
        <v>85</v>
      </c>
      <c r="AG92" s="9" t="s">
        <v>85</v>
      </c>
      <c r="AH92" s="9">
        <v>0.324</v>
      </c>
      <c r="AI92" s="9" t="s">
        <v>85</v>
      </c>
      <c r="AJ92" s="9" t="s">
        <v>85</v>
      </c>
      <c r="AK92" s="9">
        <v>0.25875</v>
      </c>
      <c r="AL92" s="9" t="s">
        <v>85</v>
      </c>
      <c r="AM92" s="9" t="s">
        <v>85</v>
      </c>
      <c r="AN92" s="9">
        <v>0.43075</v>
      </c>
      <c r="AO92" s="9" t="s">
        <v>85</v>
      </c>
      <c r="AP92" s="9" t="s">
        <v>85</v>
      </c>
      <c r="AQ92" s="9">
        <v>0.50025</v>
      </c>
      <c r="AR92" s="9" t="s">
        <v>85</v>
      </c>
      <c r="AS92" s="9" t="s">
        <v>85</v>
      </c>
      <c r="AT92" s="9">
        <v>0.407</v>
      </c>
      <c r="AU92" s="9" t="s">
        <v>85</v>
      </c>
      <c r="AV92" s="9" t="s">
        <v>85</v>
      </c>
      <c r="AW92" s="9">
        <v>0.4795</v>
      </c>
      <c r="AX92" s="9" t="s">
        <v>85</v>
      </c>
      <c r="AY92" s="9" t="s">
        <v>85</v>
      </c>
      <c r="AZ92" s="9">
        <v>0.53325</v>
      </c>
      <c r="BA92" s="10" t="s">
        <v>85</v>
      </c>
      <c r="BB92" s="10" t="s">
        <v>85</v>
      </c>
      <c r="BC92" s="9">
        <v>0.25875</v>
      </c>
      <c r="BD92" s="10" t="s">
        <v>85</v>
      </c>
      <c r="BE92" s="10" t="s">
        <v>85</v>
      </c>
      <c r="BF92" s="9" t="s">
        <v>85</v>
      </c>
      <c r="BG92" s="6"/>
      <c r="BH92" s="6" t="str">
        <f t="shared" si="1"/>
        <v>5V_One_Acc</v>
      </c>
      <c r="BI92" s="6" t="str">
        <f t="shared" si="2"/>
        <v>5VB_One_Acc</v>
      </c>
      <c r="BJ92" s="6" t="str">
        <f t="shared" si="3"/>
        <v>10BN_One_Acc</v>
      </c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</row>
    <row r="93" ht="15.75" customHeight="1">
      <c r="A93" s="1" t="s">
        <v>187</v>
      </c>
      <c r="B93" s="9" t="s">
        <v>85</v>
      </c>
      <c r="C93" s="9" t="s">
        <v>85</v>
      </c>
      <c r="D93" s="9">
        <v>0.868056</v>
      </c>
      <c r="E93" s="9" t="s">
        <v>85</v>
      </c>
      <c r="F93" s="9" t="s">
        <v>85</v>
      </c>
      <c r="G93" s="9">
        <v>0.333333</v>
      </c>
      <c r="H93" s="9" t="s">
        <v>85</v>
      </c>
      <c r="I93" s="9" t="s">
        <v>85</v>
      </c>
      <c r="J93" s="9">
        <v>0.805556</v>
      </c>
      <c r="K93" s="9" t="s">
        <v>85</v>
      </c>
      <c r="L93" s="9" t="s">
        <v>85</v>
      </c>
      <c r="M93" s="9">
        <v>0.826389</v>
      </c>
      <c r="N93" s="9" t="s">
        <v>85</v>
      </c>
      <c r="O93" s="9" t="s">
        <v>85</v>
      </c>
      <c r="P93" s="9">
        <v>0.881944</v>
      </c>
      <c r="Q93" s="9" t="s">
        <v>85</v>
      </c>
      <c r="R93" s="9" t="s">
        <v>85</v>
      </c>
      <c r="S93" s="9">
        <v>0.861111</v>
      </c>
      <c r="T93" s="9" t="s">
        <v>85</v>
      </c>
      <c r="U93" s="9" t="s">
        <v>85</v>
      </c>
      <c r="V93" s="9">
        <v>0.930556</v>
      </c>
      <c r="W93" s="9" t="s">
        <v>85</v>
      </c>
      <c r="X93" s="9" t="s">
        <v>85</v>
      </c>
      <c r="Y93" s="9">
        <v>0.965278</v>
      </c>
      <c r="Z93" s="10" t="s">
        <v>85</v>
      </c>
      <c r="AA93" s="10" t="s">
        <v>85</v>
      </c>
      <c r="AB93" s="9">
        <v>0.881944</v>
      </c>
      <c r="AC93" s="9" t="s">
        <v>85</v>
      </c>
      <c r="AD93" s="9" t="s">
        <v>85</v>
      </c>
      <c r="AE93" s="9">
        <v>0.881944</v>
      </c>
      <c r="AF93" s="9" t="s">
        <v>85</v>
      </c>
      <c r="AG93" s="9" t="s">
        <v>85</v>
      </c>
      <c r="AH93" s="9">
        <v>0.861111</v>
      </c>
      <c r="AI93" s="9" t="s">
        <v>85</v>
      </c>
      <c r="AJ93" s="9" t="s">
        <v>85</v>
      </c>
      <c r="AK93" s="9">
        <v>0.881944</v>
      </c>
      <c r="AL93" s="9" t="s">
        <v>85</v>
      </c>
      <c r="AM93" s="9" t="s">
        <v>85</v>
      </c>
      <c r="AN93" s="9">
        <v>0.875</v>
      </c>
      <c r="AO93" s="9" t="s">
        <v>85</v>
      </c>
      <c r="AP93" s="9" t="s">
        <v>85</v>
      </c>
      <c r="AQ93" s="9">
        <v>0.875</v>
      </c>
      <c r="AR93" s="9" t="s">
        <v>85</v>
      </c>
      <c r="AS93" s="9" t="s">
        <v>85</v>
      </c>
      <c r="AT93" s="9">
        <v>0.826389</v>
      </c>
      <c r="AU93" s="9" t="s">
        <v>85</v>
      </c>
      <c r="AV93" s="9" t="s">
        <v>85</v>
      </c>
      <c r="AW93" s="9">
        <v>0.902778</v>
      </c>
      <c r="AX93" s="9" t="s">
        <v>85</v>
      </c>
      <c r="AY93" s="9" t="s">
        <v>85</v>
      </c>
      <c r="AZ93" s="9">
        <v>0.895833</v>
      </c>
      <c r="BA93" s="10" t="s">
        <v>85</v>
      </c>
      <c r="BB93" s="10" t="s">
        <v>85</v>
      </c>
      <c r="BC93" s="9">
        <v>0.909722</v>
      </c>
      <c r="BD93" s="10" t="s">
        <v>85</v>
      </c>
      <c r="BE93" s="10" t="s">
        <v>85</v>
      </c>
      <c r="BF93" s="9" t="s">
        <v>85</v>
      </c>
      <c r="BG93" s="6"/>
      <c r="BH93" s="6" t="str">
        <f t="shared" si="1"/>
        <v>8VB_One_Acc</v>
      </c>
      <c r="BI93" s="6" t="str">
        <f t="shared" si="2"/>
        <v>8V_One_Acc</v>
      </c>
      <c r="BJ93" s="6" t="str">
        <f t="shared" si="3"/>
        <v>20V_One_Acc</v>
      </c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</row>
    <row r="94" ht="15.75" customHeight="1">
      <c r="A94" s="1" t="s">
        <v>188</v>
      </c>
      <c r="B94" s="9" t="s">
        <v>85</v>
      </c>
      <c r="C94" s="9" t="s">
        <v>85</v>
      </c>
      <c r="D94" s="9">
        <v>0.729202</v>
      </c>
      <c r="E94" s="9" t="s">
        <v>85</v>
      </c>
      <c r="F94" s="9" t="s">
        <v>85</v>
      </c>
      <c r="G94" s="9">
        <v>0.120882</v>
      </c>
      <c r="H94" s="9" t="s">
        <v>85</v>
      </c>
      <c r="I94" s="9" t="s">
        <v>85</v>
      </c>
      <c r="J94" s="9">
        <v>0.605807</v>
      </c>
      <c r="K94" s="9" t="s">
        <v>85</v>
      </c>
      <c r="L94" s="9" t="s">
        <v>85</v>
      </c>
      <c r="M94" s="9">
        <v>0.800112</v>
      </c>
      <c r="N94" s="9" t="s">
        <v>85</v>
      </c>
      <c r="O94" s="9" t="s">
        <v>85</v>
      </c>
      <c r="P94" s="9">
        <v>0.861809</v>
      </c>
      <c r="Q94" s="9" t="s">
        <v>85</v>
      </c>
      <c r="R94" s="9" t="s">
        <v>85</v>
      </c>
      <c r="S94" s="9">
        <v>0.711893</v>
      </c>
      <c r="T94" s="9" t="s">
        <v>85</v>
      </c>
      <c r="U94" s="9" t="s">
        <v>85</v>
      </c>
      <c r="V94" s="9">
        <v>0.729481</v>
      </c>
      <c r="W94" s="9" t="s">
        <v>85</v>
      </c>
      <c r="X94" s="9" t="s">
        <v>85</v>
      </c>
      <c r="Y94" s="9">
        <v>0.646845</v>
      </c>
      <c r="Z94" s="10" t="s">
        <v>85</v>
      </c>
      <c r="AA94" s="10" t="s">
        <v>85</v>
      </c>
      <c r="AB94" s="9">
        <v>0.886656</v>
      </c>
      <c r="AC94" s="9" t="s">
        <v>85</v>
      </c>
      <c r="AD94" s="9" t="s">
        <v>85</v>
      </c>
      <c r="AE94" s="9">
        <v>0.896985</v>
      </c>
      <c r="AF94" s="9" t="s">
        <v>85</v>
      </c>
      <c r="AG94" s="9" t="s">
        <v>85</v>
      </c>
      <c r="AH94" s="9">
        <v>0.721664</v>
      </c>
      <c r="AI94" s="9" t="s">
        <v>85</v>
      </c>
      <c r="AJ94" s="9" t="s">
        <v>85</v>
      </c>
      <c r="AK94" s="9">
        <v>0.884701</v>
      </c>
      <c r="AL94" s="9" t="s">
        <v>85</v>
      </c>
      <c r="AM94" s="9" t="s">
        <v>85</v>
      </c>
      <c r="AN94" s="9">
        <v>0.882468</v>
      </c>
      <c r="AO94" s="9" t="s">
        <v>85</v>
      </c>
      <c r="AP94" s="9" t="s">
        <v>85</v>
      </c>
      <c r="AQ94" s="9">
        <v>0.852596</v>
      </c>
      <c r="AR94" s="9" t="s">
        <v>85</v>
      </c>
      <c r="AS94" s="9" t="s">
        <v>85</v>
      </c>
      <c r="AT94" s="9">
        <v>0.80402</v>
      </c>
      <c r="AU94" s="9" t="s">
        <v>85</v>
      </c>
      <c r="AV94" s="9" t="s">
        <v>85</v>
      </c>
      <c r="AW94" s="9">
        <v>0.78392</v>
      </c>
      <c r="AX94" s="9" t="s">
        <v>85</v>
      </c>
      <c r="AY94" s="9" t="s">
        <v>85</v>
      </c>
      <c r="AZ94" s="9">
        <v>0.898939</v>
      </c>
      <c r="BA94" s="10" t="s">
        <v>85</v>
      </c>
      <c r="BB94" s="10" t="s">
        <v>85</v>
      </c>
      <c r="BC94" s="9">
        <v>0.911223</v>
      </c>
      <c r="BD94" s="10" t="s">
        <v>85</v>
      </c>
      <c r="BE94" s="10" t="s">
        <v>85</v>
      </c>
      <c r="BF94" s="9" t="s">
        <v>85</v>
      </c>
      <c r="BG94" s="6"/>
      <c r="BH94" s="6" t="str">
        <f t="shared" si="1"/>
        <v>20V_One_Acc</v>
      </c>
      <c r="BI94" s="6" t="str">
        <f t="shared" si="2"/>
        <v>20B_One_Acc</v>
      </c>
      <c r="BJ94" s="6" t="str">
        <f t="shared" si="3"/>
        <v>10BN_One_Acc</v>
      </c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</row>
    <row r="95" ht="15.75" customHeight="1">
      <c r="A95" s="1" t="s">
        <v>189</v>
      </c>
      <c r="B95" s="9" t="s">
        <v>85</v>
      </c>
      <c r="C95" s="9" t="s">
        <v>85</v>
      </c>
      <c r="D95" s="9">
        <v>0.892116</v>
      </c>
      <c r="E95" s="9" t="s">
        <v>85</v>
      </c>
      <c r="F95" s="9" t="s">
        <v>85</v>
      </c>
      <c r="G95" s="9">
        <v>0.892116</v>
      </c>
      <c r="H95" s="9" t="s">
        <v>85</v>
      </c>
      <c r="I95" s="9" t="s">
        <v>85</v>
      </c>
      <c r="J95" s="9">
        <v>0.892116</v>
      </c>
      <c r="K95" s="9" t="s">
        <v>85</v>
      </c>
      <c r="L95" s="9" t="s">
        <v>85</v>
      </c>
      <c r="M95" s="9">
        <v>0.892116</v>
      </c>
      <c r="N95" s="9" t="s">
        <v>85</v>
      </c>
      <c r="O95" s="9" t="s">
        <v>85</v>
      </c>
      <c r="P95" s="9">
        <v>0.892116</v>
      </c>
      <c r="Q95" s="9" t="s">
        <v>85</v>
      </c>
      <c r="R95" s="9" t="s">
        <v>85</v>
      </c>
      <c r="S95" s="9">
        <v>0.892116</v>
      </c>
      <c r="T95" s="9" t="s">
        <v>85</v>
      </c>
      <c r="U95" s="9" t="s">
        <v>85</v>
      </c>
      <c r="V95" s="9">
        <v>0.892116</v>
      </c>
      <c r="W95" s="9" t="s">
        <v>85</v>
      </c>
      <c r="X95" s="9" t="s">
        <v>85</v>
      </c>
      <c r="Y95" s="9">
        <v>0.892116</v>
      </c>
      <c r="Z95" s="10" t="s">
        <v>85</v>
      </c>
      <c r="AA95" s="10" t="s">
        <v>85</v>
      </c>
      <c r="AB95" s="9">
        <v>0.892116</v>
      </c>
      <c r="AC95" s="9" t="s">
        <v>85</v>
      </c>
      <c r="AD95" s="9" t="s">
        <v>85</v>
      </c>
      <c r="AE95" s="9">
        <v>0.892116</v>
      </c>
      <c r="AF95" s="9" t="s">
        <v>85</v>
      </c>
      <c r="AG95" s="9" t="s">
        <v>85</v>
      </c>
      <c r="AH95" s="9">
        <v>0.892116</v>
      </c>
      <c r="AI95" s="9" t="s">
        <v>85</v>
      </c>
      <c r="AJ95" s="9" t="s">
        <v>85</v>
      </c>
      <c r="AK95" s="9">
        <v>0.892116</v>
      </c>
      <c r="AL95" s="9" t="s">
        <v>85</v>
      </c>
      <c r="AM95" s="9" t="s">
        <v>85</v>
      </c>
      <c r="AN95" s="9">
        <v>0.892116</v>
      </c>
      <c r="AO95" s="9" t="s">
        <v>85</v>
      </c>
      <c r="AP95" s="9" t="s">
        <v>85</v>
      </c>
      <c r="AQ95" s="9">
        <v>0.892116</v>
      </c>
      <c r="AR95" s="9" t="s">
        <v>85</v>
      </c>
      <c r="AS95" s="9" t="s">
        <v>85</v>
      </c>
      <c r="AT95" s="9">
        <v>0.892116</v>
      </c>
      <c r="AU95" s="9" t="s">
        <v>85</v>
      </c>
      <c r="AV95" s="9" t="s">
        <v>85</v>
      </c>
      <c r="AW95" s="9">
        <v>0.892116</v>
      </c>
      <c r="AX95" s="9" t="s">
        <v>85</v>
      </c>
      <c r="AY95" s="9" t="s">
        <v>85</v>
      </c>
      <c r="AZ95" s="9">
        <v>0.892116</v>
      </c>
      <c r="BA95" s="10" t="s">
        <v>85</v>
      </c>
      <c r="BB95" s="10" t="s">
        <v>85</v>
      </c>
      <c r="BC95" s="9">
        <v>0.892116</v>
      </c>
      <c r="BD95" s="10" t="s">
        <v>85</v>
      </c>
      <c r="BE95" s="10" t="s">
        <v>85</v>
      </c>
      <c r="BF95" s="9" t="s">
        <v>85</v>
      </c>
      <c r="BG95" s="6"/>
      <c r="BH95" s="6" t="str">
        <f t="shared" si="1"/>
        <v>5B_One_Acc</v>
      </c>
      <c r="BI95" s="6" t="str">
        <f t="shared" si="2"/>
        <v>5B_One_Acc</v>
      </c>
      <c r="BJ95" s="6" t="str">
        <f t="shared" si="3"/>
        <v>5B_One_Acc</v>
      </c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</row>
    <row r="96" ht="15.75" customHeight="1">
      <c r="A96" s="1" t="s">
        <v>190</v>
      </c>
      <c r="B96" s="9" t="s">
        <v>85</v>
      </c>
      <c r="C96" s="9" t="s">
        <v>85</v>
      </c>
      <c r="D96" s="9">
        <v>0.5</v>
      </c>
      <c r="E96" s="9" t="s">
        <v>85</v>
      </c>
      <c r="F96" s="9" t="s">
        <v>85</v>
      </c>
      <c r="G96" s="9">
        <v>0.5</v>
      </c>
      <c r="H96" s="9" t="s">
        <v>85</v>
      </c>
      <c r="I96" s="9" t="s">
        <v>85</v>
      </c>
      <c r="J96" s="9">
        <v>0.5</v>
      </c>
      <c r="K96" s="9" t="s">
        <v>85</v>
      </c>
      <c r="L96" s="9" t="s">
        <v>85</v>
      </c>
      <c r="M96" s="9">
        <v>0.5</v>
      </c>
      <c r="N96" s="9" t="s">
        <v>85</v>
      </c>
      <c r="O96" s="9" t="s">
        <v>85</v>
      </c>
      <c r="P96" s="9">
        <v>0.5</v>
      </c>
      <c r="Q96" s="9" t="s">
        <v>85</v>
      </c>
      <c r="R96" s="9" t="s">
        <v>85</v>
      </c>
      <c r="S96" s="9">
        <v>0.444444</v>
      </c>
      <c r="T96" s="9" t="s">
        <v>85</v>
      </c>
      <c r="U96" s="9" t="s">
        <v>85</v>
      </c>
      <c r="V96" s="9">
        <v>0.5</v>
      </c>
      <c r="W96" s="9" t="s">
        <v>85</v>
      </c>
      <c r="X96" s="9" t="s">
        <v>85</v>
      </c>
      <c r="Y96" s="9">
        <v>0.5</v>
      </c>
      <c r="Z96" s="10" t="s">
        <v>85</v>
      </c>
      <c r="AA96" s="10" t="s">
        <v>85</v>
      </c>
      <c r="AB96" s="9">
        <v>0.5</v>
      </c>
      <c r="AC96" s="9" t="s">
        <v>85</v>
      </c>
      <c r="AD96" s="9" t="s">
        <v>85</v>
      </c>
      <c r="AE96" s="9">
        <v>0.5</v>
      </c>
      <c r="AF96" s="9" t="s">
        <v>85</v>
      </c>
      <c r="AG96" s="9" t="s">
        <v>85</v>
      </c>
      <c r="AH96" s="9">
        <v>0.5</v>
      </c>
      <c r="AI96" s="9" t="s">
        <v>85</v>
      </c>
      <c r="AJ96" s="9" t="s">
        <v>85</v>
      </c>
      <c r="AK96" s="9">
        <v>0.5</v>
      </c>
      <c r="AL96" s="9" t="s">
        <v>85</v>
      </c>
      <c r="AM96" s="9" t="s">
        <v>85</v>
      </c>
      <c r="AN96" s="9">
        <v>0.5</v>
      </c>
      <c r="AO96" s="9" t="s">
        <v>85</v>
      </c>
      <c r="AP96" s="9" t="s">
        <v>85</v>
      </c>
      <c r="AQ96" s="9">
        <v>0.5</v>
      </c>
      <c r="AR96" s="9" t="s">
        <v>85</v>
      </c>
      <c r="AS96" s="9" t="s">
        <v>85</v>
      </c>
      <c r="AT96" s="9">
        <v>0.592593</v>
      </c>
      <c r="AU96" s="9" t="s">
        <v>85</v>
      </c>
      <c r="AV96" s="9" t="s">
        <v>85</v>
      </c>
      <c r="AW96" s="9">
        <v>0.5</v>
      </c>
      <c r="AX96" s="9" t="s">
        <v>85</v>
      </c>
      <c r="AY96" s="9" t="s">
        <v>85</v>
      </c>
      <c r="AZ96" s="9">
        <v>0.5</v>
      </c>
      <c r="BA96" s="10" t="s">
        <v>85</v>
      </c>
      <c r="BB96" s="10" t="s">
        <v>85</v>
      </c>
      <c r="BC96" s="9">
        <v>0.5</v>
      </c>
      <c r="BD96" s="10" t="s">
        <v>85</v>
      </c>
      <c r="BE96" s="10" t="s">
        <v>85</v>
      </c>
      <c r="BF96" s="9" t="s">
        <v>85</v>
      </c>
      <c r="BG96" s="6"/>
      <c r="BH96" s="6" t="str">
        <f t="shared" si="1"/>
        <v>12V_One_Acc</v>
      </c>
      <c r="BI96" s="6" t="str">
        <f t="shared" si="2"/>
        <v>5B_One_Acc</v>
      </c>
      <c r="BJ96" s="6" t="str">
        <f t="shared" si="3"/>
        <v>5B_One_Acc</v>
      </c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</row>
    <row r="97" ht="15.75" customHeight="1">
      <c r="A97" s="1" t="s">
        <v>191</v>
      </c>
      <c r="B97" s="9" t="s">
        <v>85</v>
      </c>
      <c r="C97" s="9" t="s">
        <v>85</v>
      </c>
      <c r="D97" s="9">
        <v>0.423197</v>
      </c>
      <c r="E97" s="9" t="s">
        <v>85</v>
      </c>
      <c r="F97" s="9" t="s">
        <v>85</v>
      </c>
      <c r="G97" s="9">
        <v>0.219436</v>
      </c>
      <c r="H97" s="9" t="s">
        <v>85</v>
      </c>
      <c r="I97" s="9" t="s">
        <v>85</v>
      </c>
      <c r="J97" s="9">
        <v>0.402821</v>
      </c>
      <c r="K97" s="9" t="s">
        <v>85</v>
      </c>
      <c r="L97" s="9" t="s">
        <v>85</v>
      </c>
      <c r="M97" s="9">
        <v>0.401254</v>
      </c>
      <c r="N97" s="9" t="s">
        <v>85</v>
      </c>
      <c r="O97" s="9" t="s">
        <v>85</v>
      </c>
      <c r="P97" s="9">
        <v>0.478056</v>
      </c>
      <c r="Q97" s="9" t="s">
        <v>85</v>
      </c>
      <c r="R97" s="9" t="s">
        <v>85</v>
      </c>
      <c r="S97" s="9">
        <v>0.473354</v>
      </c>
      <c r="T97" s="9" t="s">
        <v>85</v>
      </c>
      <c r="U97" s="9" t="s">
        <v>85</v>
      </c>
      <c r="V97" s="9">
        <v>0.368339</v>
      </c>
      <c r="W97" s="9" t="s">
        <v>85</v>
      </c>
      <c r="X97" s="9" t="s">
        <v>85</v>
      </c>
      <c r="Y97" s="9">
        <v>0.46395</v>
      </c>
      <c r="Z97" s="10" t="s">
        <v>85</v>
      </c>
      <c r="AA97" s="10" t="s">
        <v>85</v>
      </c>
      <c r="AB97" s="9">
        <v>0.420063</v>
      </c>
      <c r="AC97" s="9" t="s">
        <v>85</v>
      </c>
      <c r="AD97" s="9" t="s">
        <v>85</v>
      </c>
      <c r="AE97" s="9">
        <v>0.474922</v>
      </c>
      <c r="AF97" s="9" t="s">
        <v>85</v>
      </c>
      <c r="AG97" s="9" t="s">
        <v>85</v>
      </c>
      <c r="AH97" s="9">
        <v>0.432602</v>
      </c>
      <c r="AI97" s="9" t="s">
        <v>85</v>
      </c>
      <c r="AJ97" s="9" t="s">
        <v>85</v>
      </c>
      <c r="AK97" s="9">
        <v>0.426332</v>
      </c>
      <c r="AL97" s="9" t="s">
        <v>85</v>
      </c>
      <c r="AM97" s="9" t="s">
        <v>85</v>
      </c>
      <c r="AN97" s="9">
        <v>0.470219</v>
      </c>
      <c r="AO97" s="9" t="s">
        <v>85</v>
      </c>
      <c r="AP97" s="9" t="s">
        <v>85</v>
      </c>
      <c r="AQ97" s="9">
        <v>0.487461</v>
      </c>
      <c r="AR97" s="9" t="s">
        <v>85</v>
      </c>
      <c r="AS97" s="9" t="s">
        <v>85</v>
      </c>
      <c r="AT97" s="9">
        <v>0.380878</v>
      </c>
      <c r="AU97" s="9" t="s">
        <v>85</v>
      </c>
      <c r="AV97" s="9" t="s">
        <v>85</v>
      </c>
      <c r="AW97" s="9">
        <v>0.409091</v>
      </c>
      <c r="AX97" s="9" t="s">
        <v>85</v>
      </c>
      <c r="AY97" s="9" t="s">
        <v>85</v>
      </c>
      <c r="AZ97" s="9">
        <v>0.393417</v>
      </c>
      <c r="BA97" s="10" t="s">
        <v>85</v>
      </c>
      <c r="BB97" s="10" t="s">
        <v>85</v>
      </c>
      <c r="BC97" s="9">
        <v>0.442006</v>
      </c>
      <c r="BD97" s="10" t="s">
        <v>85</v>
      </c>
      <c r="BE97" s="10" t="s">
        <v>85</v>
      </c>
      <c r="BF97" s="9" t="s">
        <v>85</v>
      </c>
      <c r="BG97" s="6"/>
      <c r="BH97" s="6" t="str">
        <f t="shared" si="1"/>
        <v>12BN_One_Acc</v>
      </c>
      <c r="BI97" s="6" t="str">
        <f t="shared" si="2"/>
        <v>8B_One_Acc</v>
      </c>
      <c r="BJ97" s="6" t="str">
        <f t="shared" si="3"/>
        <v>10BN_One_Acc</v>
      </c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</row>
    <row r="98" ht="15.75" customHeight="1">
      <c r="A98" s="1" t="s">
        <v>192</v>
      </c>
      <c r="B98" s="9" t="s">
        <v>85</v>
      </c>
      <c r="C98" s="9" t="s">
        <v>85</v>
      </c>
      <c r="D98" s="9">
        <v>0.493506</v>
      </c>
      <c r="E98" s="9" t="s">
        <v>85</v>
      </c>
      <c r="F98" s="9" t="s">
        <v>85</v>
      </c>
      <c r="G98" s="9">
        <v>0.428571</v>
      </c>
      <c r="H98" s="9" t="s">
        <v>85</v>
      </c>
      <c r="I98" s="9" t="s">
        <v>85</v>
      </c>
      <c r="J98" s="9">
        <v>0.545455</v>
      </c>
      <c r="K98" s="9" t="s">
        <v>85</v>
      </c>
      <c r="L98" s="9" t="s">
        <v>85</v>
      </c>
      <c r="M98" s="9">
        <v>0.506494</v>
      </c>
      <c r="N98" s="9" t="s">
        <v>85</v>
      </c>
      <c r="O98" s="9" t="s">
        <v>85</v>
      </c>
      <c r="P98" s="9">
        <v>0.454545</v>
      </c>
      <c r="Q98" s="9" t="s">
        <v>85</v>
      </c>
      <c r="R98" s="9" t="s">
        <v>85</v>
      </c>
      <c r="S98" s="9">
        <v>0.519481</v>
      </c>
      <c r="T98" s="9" t="s">
        <v>85</v>
      </c>
      <c r="U98" s="9" t="s">
        <v>85</v>
      </c>
      <c r="V98" s="9">
        <v>0.480519</v>
      </c>
      <c r="W98" s="9" t="s">
        <v>85</v>
      </c>
      <c r="X98" s="9" t="s">
        <v>85</v>
      </c>
      <c r="Y98" s="9">
        <v>0.441558</v>
      </c>
      <c r="Z98" s="10" t="s">
        <v>85</v>
      </c>
      <c r="AA98" s="10" t="s">
        <v>85</v>
      </c>
      <c r="AB98" s="9">
        <v>0.467532</v>
      </c>
      <c r="AC98" s="9" t="s">
        <v>85</v>
      </c>
      <c r="AD98" s="9" t="s">
        <v>85</v>
      </c>
      <c r="AE98" s="9">
        <v>0.454545</v>
      </c>
      <c r="AF98" s="9" t="s">
        <v>85</v>
      </c>
      <c r="AG98" s="9" t="s">
        <v>85</v>
      </c>
      <c r="AH98" s="9">
        <v>0.493506</v>
      </c>
      <c r="AI98" s="9" t="s">
        <v>85</v>
      </c>
      <c r="AJ98" s="9" t="s">
        <v>85</v>
      </c>
      <c r="AK98" s="9">
        <v>0.402597</v>
      </c>
      <c r="AL98" s="9" t="s">
        <v>85</v>
      </c>
      <c r="AM98" s="9" t="s">
        <v>85</v>
      </c>
      <c r="AN98" s="9">
        <v>0.61039</v>
      </c>
      <c r="AO98" s="9" t="s">
        <v>85</v>
      </c>
      <c r="AP98" s="9" t="s">
        <v>85</v>
      </c>
      <c r="AQ98" s="9">
        <v>0.584416</v>
      </c>
      <c r="AR98" s="9" t="s">
        <v>85</v>
      </c>
      <c r="AS98" s="9" t="s">
        <v>85</v>
      </c>
      <c r="AT98" s="9">
        <v>0.506494</v>
      </c>
      <c r="AU98" s="9" t="s">
        <v>85</v>
      </c>
      <c r="AV98" s="9" t="s">
        <v>85</v>
      </c>
      <c r="AW98" s="9">
        <v>0.428571</v>
      </c>
      <c r="AX98" s="9" t="s">
        <v>85</v>
      </c>
      <c r="AY98" s="9" t="s">
        <v>85</v>
      </c>
      <c r="AZ98" s="9">
        <v>0.506494</v>
      </c>
      <c r="BA98" s="10" t="s">
        <v>85</v>
      </c>
      <c r="BB98" s="10" t="s">
        <v>85</v>
      </c>
      <c r="BC98" s="9">
        <v>0.584416</v>
      </c>
      <c r="BD98" s="10" t="s">
        <v>85</v>
      </c>
      <c r="BE98" s="10" t="s">
        <v>85</v>
      </c>
      <c r="BF98" s="9" t="s">
        <v>85</v>
      </c>
      <c r="BG98" s="6"/>
      <c r="BH98" s="6" t="str">
        <f t="shared" si="1"/>
        <v>12B_One_Acc</v>
      </c>
      <c r="BI98" s="6" t="str">
        <f t="shared" si="2"/>
        <v>12BN_One_Acc</v>
      </c>
      <c r="BJ98" s="6" t="str">
        <f t="shared" si="3"/>
        <v>12BN_One_Acc</v>
      </c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</row>
    <row r="99" ht="15.75" customHeight="1">
      <c r="A99" s="1" t="s">
        <v>193</v>
      </c>
      <c r="B99" s="9" t="s">
        <v>85</v>
      </c>
      <c r="C99" s="9" t="s">
        <v>85</v>
      </c>
      <c r="D99" s="9">
        <v>0.61039</v>
      </c>
      <c r="E99" s="9" t="s">
        <v>85</v>
      </c>
      <c r="F99" s="9" t="s">
        <v>85</v>
      </c>
      <c r="G99" s="9">
        <v>0.584416</v>
      </c>
      <c r="H99" s="9" t="s">
        <v>85</v>
      </c>
      <c r="I99" s="9" t="s">
        <v>85</v>
      </c>
      <c r="J99" s="9">
        <v>0.558442</v>
      </c>
      <c r="K99" s="9" t="s">
        <v>85</v>
      </c>
      <c r="L99" s="9" t="s">
        <v>85</v>
      </c>
      <c r="M99" s="9">
        <v>0.597403</v>
      </c>
      <c r="N99" s="9" t="s">
        <v>85</v>
      </c>
      <c r="O99" s="9" t="s">
        <v>85</v>
      </c>
      <c r="P99" s="9">
        <v>0.597403</v>
      </c>
      <c r="Q99" s="9" t="s">
        <v>85</v>
      </c>
      <c r="R99" s="9" t="s">
        <v>85</v>
      </c>
      <c r="S99" s="9">
        <v>0.571429</v>
      </c>
      <c r="T99" s="9" t="s">
        <v>85</v>
      </c>
      <c r="U99" s="9" t="s">
        <v>85</v>
      </c>
      <c r="V99" s="9">
        <v>0.571429</v>
      </c>
      <c r="W99" s="9" t="s">
        <v>85</v>
      </c>
      <c r="X99" s="9" t="s">
        <v>85</v>
      </c>
      <c r="Y99" s="9">
        <v>0.571429</v>
      </c>
      <c r="Z99" s="10" t="s">
        <v>85</v>
      </c>
      <c r="AA99" s="10" t="s">
        <v>85</v>
      </c>
      <c r="AB99" s="9">
        <v>0.649351</v>
      </c>
      <c r="AC99" s="9" t="s">
        <v>85</v>
      </c>
      <c r="AD99" s="9" t="s">
        <v>85</v>
      </c>
      <c r="AE99" s="9">
        <v>0.649351</v>
      </c>
      <c r="AF99" s="9" t="s">
        <v>85</v>
      </c>
      <c r="AG99" s="9" t="s">
        <v>85</v>
      </c>
      <c r="AH99" s="9">
        <v>0.532468</v>
      </c>
      <c r="AI99" s="9" t="s">
        <v>85</v>
      </c>
      <c r="AJ99" s="9" t="s">
        <v>85</v>
      </c>
      <c r="AK99" s="9">
        <v>0.597403</v>
      </c>
      <c r="AL99" s="9" t="s">
        <v>85</v>
      </c>
      <c r="AM99" s="9" t="s">
        <v>85</v>
      </c>
      <c r="AN99" s="9">
        <v>0.688312</v>
      </c>
      <c r="AO99" s="9" t="s">
        <v>85</v>
      </c>
      <c r="AP99" s="9" t="s">
        <v>85</v>
      </c>
      <c r="AQ99" s="9">
        <v>0.662338</v>
      </c>
      <c r="AR99" s="9" t="s">
        <v>85</v>
      </c>
      <c r="AS99" s="9" t="s">
        <v>85</v>
      </c>
      <c r="AT99" s="9">
        <v>0.623377</v>
      </c>
      <c r="AU99" s="9" t="s">
        <v>85</v>
      </c>
      <c r="AV99" s="9" t="s">
        <v>85</v>
      </c>
      <c r="AW99" s="9">
        <v>0.584416</v>
      </c>
      <c r="AX99" s="9" t="s">
        <v>85</v>
      </c>
      <c r="AY99" s="9" t="s">
        <v>85</v>
      </c>
      <c r="AZ99" s="9">
        <v>0.61039</v>
      </c>
      <c r="BA99" s="10" t="s">
        <v>85</v>
      </c>
      <c r="BB99" s="10" t="s">
        <v>85</v>
      </c>
      <c r="BC99" s="9">
        <v>0.649351</v>
      </c>
      <c r="BD99" s="10" t="s">
        <v>85</v>
      </c>
      <c r="BE99" s="10" t="s">
        <v>85</v>
      </c>
      <c r="BF99" s="9" t="s">
        <v>85</v>
      </c>
      <c r="BG99" s="6"/>
      <c r="BH99" s="6" t="str">
        <f t="shared" si="1"/>
        <v>12B_One_Acc</v>
      </c>
      <c r="BI99" s="6" t="str">
        <f t="shared" si="2"/>
        <v>12BN_One_Acc</v>
      </c>
      <c r="BJ99" s="6" t="str">
        <f t="shared" si="3"/>
        <v>10B_One_Acc</v>
      </c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</row>
    <row r="100" ht="15.75" customHeight="1">
      <c r="A100" s="1" t="s">
        <v>194</v>
      </c>
      <c r="B100" s="9" t="s">
        <v>85</v>
      </c>
      <c r="C100" s="9" t="s">
        <v>85</v>
      </c>
      <c r="D100" s="9">
        <v>0.709667</v>
      </c>
      <c r="E100" s="9" t="s">
        <v>85</v>
      </c>
      <c r="F100" s="9" t="s">
        <v>85</v>
      </c>
      <c r="G100" s="9">
        <v>0.535667</v>
      </c>
      <c r="H100" s="9" t="s">
        <v>85</v>
      </c>
      <c r="I100" s="9" t="s">
        <v>85</v>
      </c>
      <c r="J100" s="9">
        <v>0.781667</v>
      </c>
      <c r="K100" s="9" t="s">
        <v>85</v>
      </c>
      <c r="L100" s="9" t="s">
        <v>85</v>
      </c>
      <c r="M100" s="9">
        <v>0.767</v>
      </c>
      <c r="N100" s="9" t="s">
        <v>85</v>
      </c>
      <c r="O100" s="9" t="s">
        <v>85</v>
      </c>
      <c r="P100" s="9">
        <v>0.751</v>
      </c>
      <c r="Q100" s="9" t="s">
        <v>85</v>
      </c>
      <c r="R100" s="9" t="s">
        <v>85</v>
      </c>
      <c r="S100" s="9">
        <v>0.746333</v>
      </c>
      <c r="T100" s="9" t="s">
        <v>85</v>
      </c>
      <c r="U100" s="9" t="s">
        <v>85</v>
      </c>
      <c r="V100" s="9">
        <v>0.797667</v>
      </c>
      <c r="W100" s="9" t="s">
        <v>85</v>
      </c>
      <c r="X100" s="9" t="s">
        <v>85</v>
      </c>
      <c r="Y100" s="9">
        <v>0.773667</v>
      </c>
      <c r="Z100" s="10" t="s">
        <v>85</v>
      </c>
      <c r="AA100" s="10" t="s">
        <v>85</v>
      </c>
      <c r="AB100" s="9">
        <v>0.763</v>
      </c>
      <c r="AC100" s="9" t="s">
        <v>85</v>
      </c>
      <c r="AD100" s="9" t="s">
        <v>85</v>
      </c>
      <c r="AE100" s="9">
        <v>0.768</v>
      </c>
      <c r="AF100" s="9" t="s">
        <v>85</v>
      </c>
      <c r="AG100" s="9" t="s">
        <v>85</v>
      </c>
      <c r="AH100" s="9">
        <v>0.802667</v>
      </c>
      <c r="AI100" s="9" t="s">
        <v>85</v>
      </c>
      <c r="AJ100" s="9" t="s">
        <v>85</v>
      </c>
      <c r="AK100" s="9">
        <v>0.81</v>
      </c>
      <c r="AL100" s="9" t="s">
        <v>85</v>
      </c>
      <c r="AM100" s="9" t="s">
        <v>85</v>
      </c>
      <c r="AN100" s="9">
        <v>0.778333</v>
      </c>
      <c r="AO100" s="9" t="s">
        <v>85</v>
      </c>
      <c r="AP100" s="9" t="s">
        <v>85</v>
      </c>
      <c r="AQ100" s="9">
        <v>0.775</v>
      </c>
      <c r="AR100" s="9" t="s">
        <v>85</v>
      </c>
      <c r="AS100" s="9" t="s">
        <v>85</v>
      </c>
      <c r="AT100" s="9">
        <v>0.799333</v>
      </c>
      <c r="AU100" s="9" t="s">
        <v>85</v>
      </c>
      <c r="AV100" s="9" t="s">
        <v>85</v>
      </c>
      <c r="AW100" s="9">
        <v>0.802333</v>
      </c>
      <c r="AX100" s="9" t="s">
        <v>85</v>
      </c>
      <c r="AY100" s="9" t="s">
        <v>85</v>
      </c>
      <c r="AZ100" s="9">
        <v>0.796333</v>
      </c>
      <c r="BA100" s="10" t="s">
        <v>85</v>
      </c>
      <c r="BB100" s="10" t="s">
        <v>85</v>
      </c>
      <c r="BC100" s="9">
        <v>0.805333</v>
      </c>
      <c r="BD100" s="10" t="s">
        <v>85</v>
      </c>
      <c r="BE100" s="10" t="s">
        <v>85</v>
      </c>
      <c r="BF100" s="9" t="s">
        <v>85</v>
      </c>
      <c r="BG100" s="6"/>
      <c r="BH100" s="6" t="str">
        <f t="shared" si="1"/>
        <v>10VB_One_Acc</v>
      </c>
      <c r="BI100" s="6" t="str">
        <f t="shared" si="2"/>
        <v>20V_One_Acc</v>
      </c>
      <c r="BJ100" s="6" t="str">
        <f t="shared" si="3"/>
        <v>10V_One_Acc</v>
      </c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</row>
    <row r="101" ht="15.75" customHeight="1">
      <c r="A101" s="15"/>
      <c r="H101" s="1"/>
      <c r="I101" s="1"/>
      <c r="J101" s="1"/>
      <c r="N101" s="1"/>
      <c r="O101" s="1"/>
      <c r="P101" s="1"/>
      <c r="Q101" s="1"/>
      <c r="R101" s="1"/>
      <c r="S101" s="1"/>
      <c r="V101" s="1"/>
      <c r="Z101" s="1"/>
      <c r="AA101" s="1"/>
      <c r="AB101" s="1"/>
      <c r="AC101" s="1"/>
      <c r="AD101" s="1"/>
      <c r="AF101" s="1"/>
      <c r="AG101" s="1"/>
      <c r="AH101" s="1"/>
      <c r="AL101" s="1"/>
      <c r="AM101" s="1"/>
      <c r="AN101" s="1"/>
      <c r="AO101" s="1"/>
      <c r="AP101" s="1"/>
      <c r="AQ101" s="1"/>
      <c r="AT101" s="1"/>
      <c r="AX101" s="1"/>
      <c r="AY101" s="1"/>
      <c r="AZ101" s="1"/>
      <c r="BA101" s="1"/>
      <c r="BB101" s="1"/>
    </row>
    <row r="102" ht="15.75" customHeight="1">
      <c r="A102" s="15"/>
      <c r="H102" s="1"/>
      <c r="I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ht="15.75" customHeight="1">
      <c r="A103" s="15"/>
      <c r="H103" s="1"/>
      <c r="I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ht="15.75" customHeight="1">
      <c r="A104" s="15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ht="15.75" customHeight="1">
      <c r="A105" s="15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ht="15.75" customHeight="1">
      <c r="A106" s="15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ht="15.75" customHeight="1"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ht="15.75" customHeight="1"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ht="15.75" customHeight="1"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ht="15.75" customHeight="1"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ht="15.75" customHeight="1"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ht="15.75" customHeight="1"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ht="15.75" customHeight="1"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ht="15.75" customHeight="1"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ht="15.75" customHeight="1"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ht="15.75" customHeight="1"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ht="15.75" customHeight="1"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ht="15.75" customHeight="1"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ht="15.75" customHeight="1"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ht="15.75" customHeight="1"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ht="15.75" customHeight="1"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ht="15.75" customHeight="1"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ht="15.75" customHeight="1"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ht="15.75" customHeight="1"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ht="15.75" customHeight="1"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ht="15.75" customHeight="1"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ht="15.75" customHeight="1"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ht="15.75" customHeight="1"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ht="15.75" customHeight="1"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ht="15.75" customHeight="1"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ht="15.75" customHeight="1"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ht="15.75" customHeight="1"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ht="15.75" customHeight="1"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ht="15.75" customHeight="1"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ht="15.75" customHeight="1"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ht="15.75" customHeight="1"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ht="15.75" customHeight="1"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ht="15.75" customHeight="1"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ht="15.75" customHeight="1"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ht="15.75" customHeight="1"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ht="15.75" customHeight="1"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ht="15.75" customHeight="1"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ht="15.75" customHeight="1"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ht="15.75" customHeight="1"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ht="15.75" customHeight="1"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ht="15.75" customHeight="1"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ht="15.75" customHeight="1"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ht="15.75" customHeight="1"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ht="15.75" customHeight="1"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ht="15.75" customHeight="1"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ht="15.75" customHeight="1"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ht="15.75" customHeight="1"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ht="15.75" customHeight="1"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ht="15.75" customHeight="1"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ht="15.75" customHeight="1"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ht="15.75" customHeight="1"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ht="15.75" customHeight="1"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ht="15.75" customHeight="1"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ht="15.75" customHeight="1"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ht="15.75" customHeight="1"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ht="15.75" customHeight="1"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ht="15.75" customHeight="1"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ht="15.75" customHeight="1"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ht="15.75" customHeight="1"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ht="15.75" customHeight="1"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ht="15.75" customHeight="1"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ht="15.75" customHeight="1"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ht="15.75" customHeight="1"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ht="15.75" customHeight="1"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ht="15.75" customHeight="1"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ht="15.75" customHeight="1"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ht="15.75" customHeight="1"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ht="15.75" customHeight="1"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ht="15.75" customHeight="1"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ht="15.75" customHeight="1"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ht="15.75" customHeight="1"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ht="15.75" customHeight="1"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ht="15.75" customHeight="1"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ht="15.75" customHeight="1"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ht="15.75" customHeight="1"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ht="15.75" customHeight="1"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ht="15.75" customHeight="1"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ht="15.75" customHeight="1"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ht="15.75" customHeight="1"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ht="15.75" customHeight="1"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ht="15.75" customHeight="1"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ht="15.75" customHeight="1"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ht="15.75" customHeight="1"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ht="15.75" customHeight="1"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ht="15.75" customHeight="1"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ht="15.75" customHeight="1"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ht="15.75" customHeight="1"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ht="15.75" customHeight="1"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ht="15.75" customHeight="1"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ht="15.75" customHeight="1"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ht="15.75" customHeight="1"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ht="15.75" customHeight="1"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ht="15.75" customHeight="1"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ht="15.75" customHeight="1"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ht="15.75" customHeight="1"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ht="15.75" customHeight="1"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ht="15.75" customHeight="1"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ht="15.75" customHeight="1"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ht="15.75" customHeight="1"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ht="15.75" customHeight="1"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ht="15.75" customHeight="1"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ht="15.75" customHeight="1"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ht="15.75" customHeight="1"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ht="15.75" customHeight="1"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ht="15.75" customHeight="1"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ht="15.75" customHeight="1"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ht="15.75" customHeight="1"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ht="15.75" customHeight="1"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ht="15.75" customHeight="1"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ht="15.75" customHeight="1"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ht="15.75" customHeight="1"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ht="15.75" customHeight="1"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ht="15.75" customHeight="1"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ht="15.75" customHeight="1"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ht="15.75" customHeight="1"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ht="15.75" customHeight="1"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ht="15.75" customHeight="1"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ht="15.75" customHeight="1"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ht="15.75" customHeight="1"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ht="15.75" customHeight="1"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ht="15.75" customHeight="1"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ht="15.75" customHeight="1"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ht="15.75" customHeight="1"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ht="15.75" customHeight="1"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ht="15.75" customHeight="1"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ht="15.75" customHeight="1"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ht="15.75" customHeight="1"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ht="15.75" customHeight="1"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ht="15.75" customHeight="1"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ht="15.75" customHeight="1"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ht="15.75" customHeight="1"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ht="15.75" customHeight="1"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ht="15.75" customHeight="1"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ht="15.75" customHeight="1"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ht="15.75" customHeight="1"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ht="15.75" customHeight="1"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ht="15.75" customHeight="1"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ht="15.75" customHeight="1"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ht="15.75" customHeight="1"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ht="15.75" customHeight="1"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ht="15.75" customHeight="1"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ht="15.75" customHeight="1"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ht="15.75" customHeight="1"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ht="15.75" customHeight="1"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ht="15.75" customHeight="1"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ht="15.75" customHeight="1"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ht="15.75" customHeight="1"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ht="15.75" customHeight="1"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ht="15.75" customHeight="1"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ht="15.75" customHeight="1"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ht="15.75" customHeight="1"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ht="15.75" customHeight="1"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ht="15.75" customHeight="1"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ht="15.75" customHeight="1"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ht="15.75" customHeight="1"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ht="15.75" customHeight="1"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ht="15.75" customHeight="1"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ht="15.75" customHeight="1"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ht="15.75" customHeight="1"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ht="15.75" customHeight="1"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ht="15.75" customHeight="1"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ht="15.75" customHeight="1"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ht="15.75" customHeight="1"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ht="15.75" customHeight="1"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ht="15.75" customHeight="1"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ht="15.75" customHeight="1"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ht="15.75" customHeight="1"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ht="15.75" customHeight="1"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ht="15.75" customHeight="1"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ht="15.75" customHeight="1"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ht="15.75" customHeight="1"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ht="15.75" customHeight="1"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ht="15.75" customHeight="1"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ht="15.75" customHeight="1"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ht="15.75" customHeight="1"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ht="15.75" customHeight="1"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ht="15.75" customHeight="1"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ht="15.75" customHeight="1"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ht="15.75" customHeight="1"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ht="15.75" customHeight="1"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ht="15.75" customHeight="1"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ht="15.75" customHeight="1"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ht="15.75" customHeight="1"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ht="15.75" customHeight="1"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ht="15.75" customHeight="1"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ht="15.75" customHeight="1"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ht="15.75" customHeight="1"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ht="15.75" customHeight="1"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ht="15.75" customHeight="1"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ht="15.75" customHeight="1"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ht="15.75" customHeight="1"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ht="15.75" customHeight="1"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ht="15.75" customHeight="1"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ht="15.75" customHeight="1"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ht="15.75" customHeight="1"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B1:D1"/>
    <mergeCell ref="E1:G1"/>
    <mergeCell ref="H1:J1"/>
    <mergeCell ref="K1:M1"/>
    <mergeCell ref="N1:P1"/>
    <mergeCell ref="Q1:S1"/>
    <mergeCell ref="T1:V1"/>
    <mergeCell ref="AR1:AT1"/>
    <mergeCell ref="AU1:AW1"/>
    <mergeCell ref="AX1:AZ1"/>
    <mergeCell ref="BA1:BC1"/>
    <mergeCell ref="BD1:BF1"/>
    <mergeCell ref="W1:Y1"/>
    <mergeCell ref="Z1:AB1"/>
    <mergeCell ref="AC1:AE1"/>
    <mergeCell ref="AF1:AH1"/>
    <mergeCell ref="AI1:AK1"/>
    <mergeCell ref="AL1:AN1"/>
    <mergeCell ref="AO1:AQ1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0"/>
  <cols>
    <col customWidth="1" min="1" max="1" width="27.63"/>
    <col customWidth="1" min="2" max="2" width="8.0"/>
    <col customWidth="1" min="3" max="3" width="9.0"/>
    <col customWidth="1" min="4" max="4" width="13.88"/>
    <col customWidth="1" min="5" max="5" width="15.13"/>
    <col customWidth="1" min="6" max="7" width="13.75"/>
    <col customWidth="1" min="8" max="8" width="15.38"/>
    <col customWidth="1" min="9" max="9" width="13.75"/>
    <col customWidth="1" min="13" max="13" width="13.38"/>
    <col customWidth="1" min="14" max="14" width="17.75"/>
    <col customWidth="1" min="17" max="17" width="14.38"/>
    <col customWidth="1" min="20" max="20" width="13.88"/>
    <col customWidth="1" min="23" max="23" width="14.13"/>
    <col customWidth="1" min="25" max="25" width="13.88"/>
    <col customWidth="1" min="26" max="26" width="14.25"/>
    <col customWidth="1" min="28" max="28" width="13.75"/>
    <col customWidth="1" min="29" max="29" width="14.38"/>
    <col customWidth="1" min="31" max="31" width="14.0"/>
    <col customWidth="1" min="32" max="32" width="15.0"/>
    <col customWidth="1" min="35" max="35" width="13.25"/>
    <col customWidth="1" min="37" max="37" width="15.25"/>
    <col customWidth="1" min="38" max="38" width="16.38"/>
    <col customWidth="1" min="39" max="39" width="13.88"/>
    <col customWidth="1" min="41" max="41" width="14.38"/>
    <col customWidth="1" min="43" max="43" width="13.38"/>
    <col customWidth="1" min="44" max="44" width="14.13"/>
    <col customWidth="1" min="47" max="47" width="15.38"/>
    <col customWidth="1" min="49" max="49" width="14.88"/>
    <col customWidth="1" min="50" max="50" width="16.88"/>
    <col customWidth="1" min="52" max="52" width="14.75"/>
    <col customWidth="1" min="53" max="53" width="15.88"/>
    <col customWidth="1" min="62" max="62" width="17.38"/>
    <col customWidth="1" min="63" max="63" width="16.75"/>
    <col customWidth="1" min="64" max="64" width="16.63"/>
    <col customWidth="1" min="70" max="72" width="17.38"/>
    <col customWidth="1" min="73" max="73" width="15.25"/>
    <col customWidth="1" min="76" max="76" width="63.13"/>
  </cols>
  <sheetData>
    <row r="1" ht="15.75" customHeight="1">
      <c r="A1" s="1" t="s">
        <v>0</v>
      </c>
      <c r="B1" s="1" t="s">
        <v>212</v>
      </c>
      <c r="C1" s="15" t="s">
        <v>235</v>
      </c>
      <c r="D1" s="3" t="s">
        <v>2</v>
      </c>
      <c r="G1" s="3" t="s">
        <v>3</v>
      </c>
      <c r="J1" s="3" t="s">
        <v>4</v>
      </c>
      <c r="M1" s="3" t="s">
        <v>5</v>
      </c>
      <c r="P1" s="3" t="s">
        <v>6</v>
      </c>
      <c r="S1" s="3" t="s">
        <v>7</v>
      </c>
      <c r="V1" s="3" t="s">
        <v>8</v>
      </c>
      <c r="Y1" s="3" t="s">
        <v>9</v>
      </c>
      <c r="AB1" s="3" t="s">
        <v>10</v>
      </c>
      <c r="AE1" s="3" t="s">
        <v>11</v>
      </c>
      <c r="AH1" s="3" t="s">
        <v>12</v>
      </c>
      <c r="AK1" s="3" t="s">
        <v>13</v>
      </c>
      <c r="AN1" s="3" t="s">
        <v>14</v>
      </c>
      <c r="AQ1" s="3" t="s">
        <v>15</v>
      </c>
      <c r="AT1" s="3" t="s">
        <v>16</v>
      </c>
      <c r="AW1" s="3" t="s">
        <v>17</v>
      </c>
      <c r="AZ1" s="3" t="s">
        <v>18</v>
      </c>
      <c r="BC1" s="3" t="s">
        <v>19</v>
      </c>
      <c r="BF1" s="3" t="s">
        <v>20</v>
      </c>
      <c r="BI1" s="1"/>
      <c r="BK1" s="1"/>
      <c r="BL1" s="1"/>
      <c r="BM1" s="1"/>
      <c r="BN1" s="1"/>
      <c r="BO1" s="1"/>
      <c r="BP1" s="1"/>
      <c r="BQ1" s="1"/>
      <c r="BR1" s="1"/>
      <c r="BS1" s="1"/>
      <c r="BV1" s="1"/>
      <c r="BW1" s="1"/>
      <c r="BX1" s="1"/>
    </row>
    <row r="2" ht="15.75" customHeight="1">
      <c r="A2" s="1"/>
      <c r="B2" s="1"/>
      <c r="C2" s="15"/>
      <c r="D2" s="1" t="s">
        <v>260</v>
      </c>
      <c r="E2" s="1" t="s">
        <v>261</v>
      </c>
      <c r="F2" s="4" t="s">
        <v>262</v>
      </c>
      <c r="G2" s="1" t="s">
        <v>263</v>
      </c>
      <c r="H2" s="1" t="s">
        <v>264</v>
      </c>
      <c r="I2" s="4" t="s">
        <v>265</v>
      </c>
      <c r="J2" s="1" t="s">
        <v>27</v>
      </c>
      <c r="K2" s="1" t="s">
        <v>28</v>
      </c>
      <c r="L2" s="5" t="s">
        <v>29</v>
      </c>
      <c r="M2" s="1" t="s">
        <v>30</v>
      </c>
      <c r="N2" s="1" t="s">
        <v>31</v>
      </c>
      <c r="O2" s="5" t="s">
        <v>32</v>
      </c>
      <c r="P2" s="1" t="s">
        <v>266</v>
      </c>
      <c r="Q2" s="1" t="s">
        <v>267</v>
      </c>
      <c r="R2" s="5" t="s">
        <v>268</v>
      </c>
      <c r="S2" s="1" t="s">
        <v>269</v>
      </c>
      <c r="T2" s="1" t="s">
        <v>270</v>
      </c>
      <c r="U2" s="5" t="s">
        <v>271</v>
      </c>
      <c r="V2" s="1" t="s">
        <v>39</v>
      </c>
      <c r="W2" s="1" t="s">
        <v>40</v>
      </c>
      <c r="X2" s="5" t="s">
        <v>41</v>
      </c>
      <c r="Y2" s="1" t="s">
        <v>42</v>
      </c>
      <c r="Z2" s="1" t="s">
        <v>43</v>
      </c>
      <c r="AA2" s="5" t="s">
        <v>44</v>
      </c>
      <c r="AB2" s="1" t="s">
        <v>272</v>
      </c>
      <c r="AC2" s="1" t="s">
        <v>273</v>
      </c>
      <c r="AD2" s="5" t="s">
        <v>274</v>
      </c>
      <c r="AE2" s="1" t="s">
        <v>275</v>
      </c>
      <c r="AF2" s="1" t="s">
        <v>276</v>
      </c>
      <c r="AG2" s="5" t="s">
        <v>277</v>
      </c>
      <c r="AH2" s="1" t="s">
        <v>51</v>
      </c>
      <c r="AI2" s="1" t="s">
        <v>52</v>
      </c>
      <c r="AJ2" s="5" t="s">
        <v>53</v>
      </c>
      <c r="AK2" s="1" t="s">
        <v>54</v>
      </c>
      <c r="AL2" s="1" t="s">
        <v>55</v>
      </c>
      <c r="AM2" s="5" t="s">
        <v>56</v>
      </c>
      <c r="AN2" s="1" t="s">
        <v>278</v>
      </c>
      <c r="AO2" s="1" t="s">
        <v>279</v>
      </c>
      <c r="AP2" s="5" t="s">
        <v>280</v>
      </c>
      <c r="AQ2" s="1" t="s">
        <v>281</v>
      </c>
      <c r="AR2" s="1" t="s">
        <v>282</v>
      </c>
      <c r="AS2" s="5" t="s">
        <v>283</v>
      </c>
      <c r="AT2" s="1" t="s">
        <v>63</v>
      </c>
      <c r="AU2" s="1" t="s">
        <v>64</v>
      </c>
      <c r="AV2" s="5" t="s">
        <v>65</v>
      </c>
      <c r="AW2" s="1" t="s">
        <v>66</v>
      </c>
      <c r="AX2" s="1" t="s">
        <v>67</v>
      </c>
      <c r="AY2" s="5" t="s">
        <v>68</v>
      </c>
      <c r="AZ2" s="1" t="s">
        <v>284</v>
      </c>
      <c r="BA2" s="1" t="s">
        <v>285</v>
      </c>
      <c r="BB2" s="5" t="s">
        <v>286</v>
      </c>
      <c r="BC2" s="1" t="s">
        <v>72</v>
      </c>
      <c r="BD2" s="1" t="s">
        <v>73</v>
      </c>
      <c r="BE2" s="5" t="s">
        <v>74</v>
      </c>
      <c r="BF2" s="1" t="s">
        <v>75</v>
      </c>
      <c r="BG2" s="1" t="s">
        <v>76</v>
      </c>
      <c r="BH2" s="5" t="s">
        <v>77</v>
      </c>
      <c r="BI2" s="1"/>
      <c r="BJ2" s="1" t="s">
        <v>213</v>
      </c>
      <c r="BK2" s="1" t="s">
        <v>214</v>
      </c>
      <c r="BL2" s="1" t="s">
        <v>215</v>
      </c>
      <c r="BM2" s="1"/>
      <c r="BN2" s="1" t="s">
        <v>213</v>
      </c>
      <c r="BO2" s="1"/>
      <c r="BP2" s="1"/>
      <c r="BQ2" s="1" t="s">
        <v>216</v>
      </c>
      <c r="BR2" s="1" t="s">
        <v>287</v>
      </c>
      <c r="BS2" s="1" t="s">
        <v>219</v>
      </c>
      <c r="BV2" s="1"/>
      <c r="BW2" s="1"/>
      <c r="BX2" s="1"/>
    </row>
    <row r="3" ht="15.75" customHeight="1">
      <c r="A3" s="1" t="s">
        <v>84</v>
      </c>
      <c r="B3" s="17">
        <v>1460.0</v>
      </c>
      <c r="C3" s="17">
        <v>10.0</v>
      </c>
      <c r="D3" s="9" t="s">
        <v>85</v>
      </c>
      <c r="E3" s="9" t="s">
        <v>85</v>
      </c>
      <c r="F3" s="9">
        <v>0.58</v>
      </c>
      <c r="G3" s="9" t="s">
        <v>85</v>
      </c>
      <c r="H3" s="9" t="s">
        <v>85</v>
      </c>
      <c r="I3" s="9">
        <v>0.1</v>
      </c>
      <c r="J3" s="9" t="s">
        <v>85</v>
      </c>
      <c r="K3" s="9" t="s">
        <v>85</v>
      </c>
      <c r="L3" s="9" t="s">
        <v>85</v>
      </c>
      <c r="M3" s="9" t="s">
        <v>85</v>
      </c>
      <c r="N3" s="9" t="s">
        <v>85</v>
      </c>
      <c r="O3" s="9" t="s">
        <v>85</v>
      </c>
      <c r="P3" s="9" t="s">
        <v>85</v>
      </c>
      <c r="Q3" s="9" t="s">
        <v>85</v>
      </c>
      <c r="R3" s="9">
        <v>0.76</v>
      </c>
      <c r="S3" s="9" t="s">
        <v>85</v>
      </c>
      <c r="T3" s="9" t="s">
        <v>85</v>
      </c>
      <c r="U3" s="9">
        <v>0.72</v>
      </c>
      <c r="V3" s="9" t="s">
        <v>85</v>
      </c>
      <c r="W3" s="9" t="s">
        <v>85</v>
      </c>
      <c r="X3" s="9" t="s">
        <v>85</v>
      </c>
      <c r="Y3" s="9" t="s">
        <v>85</v>
      </c>
      <c r="Z3" s="9" t="s">
        <v>85</v>
      </c>
      <c r="AA3" s="9" t="s">
        <v>85</v>
      </c>
      <c r="AB3" s="10" t="s">
        <v>85</v>
      </c>
      <c r="AC3" s="10" t="s">
        <v>85</v>
      </c>
      <c r="AD3" s="9">
        <v>0.47</v>
      </c>
      <c r="AE3" s="9" t="s">
        <v>85</v>
      </c>
      <c r="AF3" s="9" t="s">
        <v>85</v>
      </c>
      <c r="AG3" s="9">
        <v>0.66</v>
      </c>
      <c r="AH3" s="9" t="s">
        <v>85</v>
      </c>
      <c r="AI3" s="9" t="s">
        <v>85</v>
      </c>
      <c r="AJ3" s="9" t="s">
        <v>85</v>
      </c>
      <c r="AK3" s="9" t="s">
        <v>85</v>
      </c>
      <c r="AL3" s="9" t="s">
        <v>85</v>
      </c>
      <c r="AM3" s="9" t="s">
        <v>85</v>
      </c>
      <c r="AN3" s="9" t="s">
        <v>85</v>
      </c>
      <c r="AO3" s="9" t="s">
        <v>85</v>
      </c>
      <c r="AP3" s="9">
        <v>0.62</v>
      </c>
      <c r="AQ3" s="9" t="s">
        <v>85</v>
      </c>
      <c r="AR3" s="9" t="s">
        <v>85</v>
      </c>
      <c r="AS3" s="9">
        <v>0.73</v>
      </c>
      <c r="AT3" s="9" t="s">
        <v>85</v>
      </c>
      <c r="AU3" s="9" t="s">
        <v>85</v>
      </c>
      <c r="AV3" s="9" t="s">
        <v>85</v>
      </c>
      <c r="AW3" s="9" t="s">
        <v>85</v>
      </c>
      <c r="AX3" s="9" t="s">
        <v>85</v>
      </c>
      <c r="AY3" s="9" t="s">
        <v>85</v>
      </c>
      <c r="AZ3" s="9" t="s">
        <v>85</v>
      </c>
      <c r="BA3" s="9" t="s">
        <v>85</v>
      </c>
      <c r="BB3" s="9" t="s">
        <v>85</v>
      </c>
      <c r="BC3" s="10" t="s">
        <v>85</v>
      </c>
      <c r="BD3" s="9" t="s">
        <v>85</v>
      </c>
      <c r="BE3" s="9" t="s">
        <v>85</v>
      </c>
      <c r="BF3" s="10" t="s">
        <v>85</v>
      </c>
      <c r="BG3" s="10" t="s">
        <v>85</v>
      </c>
      <c r="BH3" s="9" t="s">
        <v>85</v>
      </c>
      <c r="BI3" s="6"/>
      <c r="BJ3" s="6" t="str">
        <f t="shared" ref="BJ3:BJ100" si="1">INDEX($D$2:$BH$2,0,MATCH(MAX(D3:BH3),D3:BH3,0))</f>
        <v>8Bo_One_Acc</v>
      </c>
      <c r="BK3" s="6" t="str">
        <f t="shared" ref="BK3:BK100" si="2">INDEX($D$2:$BH$2,0,MATCH(LARGE(D3:BH3,2),D3:BH3,0))</f>
        <v>12BoN_One_Acc</v>
      </c>
      <c r="BL3" s="6" t="str">
        <f t="shared" ref="BL3:BL100" si="3">INDEX($D$2:$BH$2,0,MATCH(LARGE(D3:BH3,3),D3:BH3,0))</f>
        <v>8BoN_One_Acc</v>
      </c>
      <c r="BM3" s="6"/>
      <c r="BN3" s="6">
        <f t="shared" ref="BN3:BN100" si="4">IF(ISNUMBER(SEARCH("5",BJ3)),5,IF(ISNUMBER(SEARCH("*8*",BJ3)),8,IF(ISNUMBER(SEARCH("*10*",BJ3)),10,IF(ISNUMBER(SEARCH("*12*",BJ3)),12,IF(ISNUMBER(SEARCH("*20*",BJ3)),20)))))</f>
        <v>8</v>
      </c>
      <c r="BO3" s="6"/>
      <c r="BP3" s="6"/>
      <c r="BQ3" s="6">
        <f>COUNTA(BJ3:BL100)</f>
        <v>294</v>
      </c>
      <c r="BR3" s="6">
        <f>COUNTIF($BJ$3:$BL$100,"*BoN_*")</f>
        <v>107</v>
      </c>
      <c r="BS3" s="6">
        <f>COUNTIF($BJ$3:$BL$100,"*Bo_*")</f>
        <v>187</v>
      </c>
      <c r="BU3" s="6"/>
      <c r="BV3" s="6"/>
      <c r="BW3" s="6"/>
      <c r="BX3" s="6"/>
    </row>
    <row r="4" ht="15.75" customHeight="1">
      <c r="A4" s="1" t="s">
        <v>89</v>
      </c>
      <c r="B4" s="17">
        <v>176.0</v>
      </c>
      <c r="C4" s="17">
        <v>37.0</v>
      </c>
      <c r="D4" s="9" t="s">
        <v>85</v>
      </c>
      <c r="E4" s="9" t="s">
        <v>85</v>
      </c>
      <c r="F4" s="9">
        <v>0.283887</v>
      </c>
      <c r="G4" s="9" t="s">
        <v>85</v>
      </c>
      <c r="H4" s="9" t="s">
        <v>85</v>
      </c>
      <c r="I4" s="9">
        <v>0.02046</v>
      </c>
      <c r="J4" s="9" t="s">
        <v>85</v>
      </c>
      <c r="K4" s="9" t="s">
        <v>85</v>
      </c>
      <c r="L4" s="9" t="s">
        <v>85</v>
      </c>
      <c r="M4" s="9" t="s">
        <v>85</v>
      </c>
      <c r="N4" s="9" t="s">
        <v>85</v>
      </c>
      <c r="O4" s="9" t="s">
        <v>85</v>
      </c>
      <c r="P4" s="9" t="s">
        <v>85</v>
      </c>
      <c r="Q4" s="9" t="s">
        <v>85</v>
      </c>
      <c r="R4" s="9">
        <v>0.365729</v>
      </c>
      <c r="S4" s="9" t="s">
        <v>85</v>
      </c>
      <c r="T4" s="9" t="s">
        <v>85</v>
      </c>
      <c r="U4" s="9">
        <v>0.296675</v>
      </c>
      <c r="V4" s="9" t="s">
        <v>85</v>
      </c>
      <c r="W4" s="9" t="s">
        <v>85</v>
      </c>
      <c r="X4" s="9" t="s">
        <v>85</v>
      </c>
      <c r="Y4" s="9" t="s">
        <v>85</v>
      </c>
      <c r="Z4" s="9" t="s">
        <v>85</v>
      </c>
      <c r="AA4" s="9" t="s">
        <v>85</v>
      </c>
      <c r="AB4" s="10" t="s">
        <v>85</v>
      </c>
      <c r="AC4" s="10" t="s">
        <v>85</v>
      </c>
      <c r="AD4" s="9">
        <v>0.265985</v>
      </c>
      <c r="AE4" s="9" t="s">
        <v>85</v>
      </c>
      <c r="AF4" s="9" t="s">
        <v>85</v>
      </c>
      <c r="AG4" s="9">
        <v>0.409207</v>
      </c>
      <c r="AH4" s="9" t="s">
        <v>85</v>
      </c>
      <c r="AI4" s="9" t="s">
        <v>85</v>
      </c>
      <c r="AJ4" s="9" t="s">
        <v>85</v>
      </c>
      <c r="AK4" s="9" t="s">
        <v>85</v>
      </c>
      <c r="AL4" s="9" t="s">
        <v>85</v>
      </c>
      <c r="AM4" s="9" t="s">
        <v>85</v>
      </c>
      <c r="AN4" s="9" t="s">
        <v>85</v>
      </c>
      <c r="AO4" s="9" t="s">
        <v>85</v>
      </c>
      <c r="AP4" s="9">
        <v>0.235294</v>
      </c>
      <c r="AQ4" s="9" t="s">
        <v>85</v>
      </c>
      <c r="AR4" s="9" t="s">
        <v>85</v>
      </c>
      <c r="AS4" s="9">
        <v>0.381074</v>
      </c>
      <c r="AT4" s="9" t="s">
        <v>85</v>
      </c>
      <c r="AU4" s="9" t="s">
        <v>85</v>
      </c>
      <c r="AV4" s="9" t="s">
        <v>85</v>
      </c>
      <c r="AW4" s="9" t="s">
        <v>85</v>
      </c>
      <c r="AX4" s="9" t="s">
        <v>85</v>
      </c>
      <c r="AY4" s="9" t="s">
        <v>85</v>
      </c>
      <c r="AZ4" s="9" t="s">
        <v>85</v>
      </c>
      <c r="BA4" s="9" t="s">
        <v>85</v>
      </c>
      <c r="BB4" s="9" t="s">
        <v>85</v>
      </c>
      <c r="BC4" s="10" t="s">
        <v>85</v>
      </c>
      <c r="BD4" s="9" t="s">
        <v>85</v>
      </c>
      <c r="BE4" s="9" t="s">
        <v>85</v>
      </c>
      <c r="BF4" s="10" t="s">
        <v>85</v>
      </c>
      <c r="BG4" s="10" t="s">
        <v>85</v>
      </c>
      <c r="BH4" s="9" t="s">
        <v>85</v>
      </c>
      <c r="BI4" s="6"/>
      <c r="BJ4" s="6" t="str">
        <f t="shared" si="1"/>
        <v>10BoN_One_Acc</v>
      </c>
      <c r="BK4" s="6" t="str">
        <f t="shared" si="2"/>
        <v>12BoN_One_Acc</v>
      </c>
      <c r="BL4" s="6" t="str">
        <f t="shared" si="3"/>
        <v>8Bo_One_Acc</v>
      </c>
      <c r="BM4" s="6"/>
      <c r="BN4" s="6">
        <f t="shared" si="4"/>
        <v>10</v>
      </c>
      <c r="BO4" s="6"/>
      <c r="BP4" s="6"/>
      <c r="BQ4" s="6"/>
      <c r="BR4" s="6"/>
      <c r="BS4" s="6"/>
      <c r="BT4" s="6"/>
      <c r="BU4" s="6"/>
      <c r="BV4" s="6"/>
      <c r="BW4" s="6"/>
      <c r="BX4" s="6"/>
    </row>
    <row r="5" ht="15.75" customHeight="1">
      <c r="A5" s="1" t="s">
        <v>91</v>
      </c>
      <c r="B5" s="17">
        <v>251.0</v>
      </c>
      <c r="C5" s="17">
        <v>3.0</v>
      </c>
      <c r="D5" s="9" t="s">
        <v>85</v>
      </c>
      <c r="E5" s="9" t="s">
        <v>85</v>
      </c>
      <c r="F5" s="9">
        <v>0.617143</v>
      </c>
      <c r="G5" s="9" t="s">
        <v>85</v>
      </c>
      <c r="H5" s="9" t="s">
        <v>85</v>
      </c>
      <c r="I5" s="9">
        <v>0.302857</v>
      </c>
      <c r="J5" s="9" t="s">
        <v>85</v>
      </c>
      <c r="K5" s="9" t="s">
        <v>85</v>
      </c>
      <c r="L5" s="9" t="s">
        <v>85</v>
      </c>
      <c r="M5" s="9" t="s">
        <v>85</v>
      </c>
      <c r="N5" s="9" t="s">
        <v>85</v>
      </c>
      <c r="O5" s="9" t="s">
        <v>85</v>
      </c>
      <c r="P5" s="9" t="s">
        <v>85</v>
      </c>
      <c r="Q5" s="9" t="s">
        <v>85</v>
      </c>
      <c r="R5" s="9">
        <v>0.657143</v>
      </c>
      <c r="S5" s="9" t="s">
        <v>85</v>
      </c>
      <c r="T5" s="9" t="s">
        <v>85</v>
      </c>
      <c r="U5" s="9">
        <v>0.725714</v>
      </c>
      <c r="V5" s="9" t="s">
        <v>85</v>
      </c>
      <c r="W5" s="9" t="s">
        <v>85</v>
      </c>
      <c r="X5" s="9" t="s">
        <v>85</v>
      </c>
      <c r="Y5" s="9" t="s">
        <v>85</v>
      </c>
      <c r="Z5" s="9" t="s">
        <v>85</v>
      </c>
      <c r="AA5" s="9" t="s">
        <v>85</v>
      </c>
      <c r="AB5" s="10" t="s">
        <v>85</v>
      </c>
      <c r="AC5" s="10" t="s">
        <v>85</v>
      </c>
      <c r="AD5" s="9">
        <v>0.737143</v>
      </c>
      <c r="AE5" s="9" t="s">
        <v>85</v>
      </c>
      <c r="AF5" s="9" t="s">
        <v>85</v>
      </c>
      <c r="AG5" s="9">
        <v>0.742857</v>
      </c>
      <c r="AH5" s="9" t="s">
        <v>85</v>
      </c>
      <c r="AI5" s="9" t="s">
        <v>85</v>
      </c>
      <c r="AJ5" s="9" t="s">
        <v>85</v>
      </c>
      <c r="AK5" s="9" t="s">
        <v>85</v>
      </c>
      <c r="AL5" s="9" t="s">
        <v>85</v>
      </c>
      <c r="AM5" s="9" t="s">
        <v>85</v>
      </c>
      <c r="AN5" s="9" t="s">
        <v>85</v>
      </c>
      <c r="AO5" s="9" t="s">
        <v>85</v>
      </c>
      <c r="AP5" s="9">
        <v>0.731429</v>
      </c>
      <c r="AQ5" s="9" t="s">
        <v>85</v>
      </c>
      <c r="AR5" s="9" t="s">
        <v>85</v>
      </c>
      <c r="AS5" s="1" t="s">
        <v>85</v>
      </c>
      <c r="AT5" s="9" t="s">
        <v>85</v>
      </c>
      <c r="AU5" s="9" t="s">
        <v>85</v>
      </c>
      <c r="AV5" s="9" t="s">
        <v>85</v>
      </c>
      <c r="AW5" s="9" t="s">
        <v>85</v>
      </c>
      <c r="AX5" s="9" t="s">
        <v>85</v>
      </c>
      <c r="AY5" s="9" t="s">
        <v>85</v>
      </c>
      <c r="AZ5" s="9" t="s">
        <v>85</v>
      </c>
      <c r="BA5" s="9" t="s">
        <v>85</v>
      </c>
      <c r="BB5" s="9" t="s">
        <v>85</v>
      </c>
      <c r="BC5" s="10" t="s">
        <v>85</v>
      </c>
      <c r="BD5" s="9" t="s">
        <v>85</v>
      </c>
      <c r="BE5" s="9" t="s">
        <v>85</v>
      </c>
      <c r="BF5" s="10" t="s">
        <v>85</v>
      </c>
      <c r="BG5" s="10" t="s">
        <v>85</v>
      </c>
      <c r="BH5" s="9" t="s">
        <v>85</v>
      </c>
      <c r="BI5" s="6"/>
      <c r="BJ5" s="6" t="str">
        <f t="shared" si="1"/>
        <v>10BoN_One_Acc</v>
      </c>
      <c r="BK5" s="6" t="str">
        <f t="shared" si="2"/>
        <v>10Bo_One_Acc</v>
      </c>
      <c r="BL5" s="6" t="str">
        <f t="shared" si="3"/>
        <v>12Bo_One_Acc</v>
      </c>
      <c r="BM5" s="6"/>
      <c r="BN5" s="6">
        <f t="shared" si="4"/>
        <v>10</v>
      </c>
      <c r="BO5" s="6"/>
      <c r="BP5" s="6"/>
      <c r="BQ5" s="1" t="s">
        <v>248</v>
      </c>
      <c r="BT5" s="6"/>
      <c r="BU5" s="6"/>
      <c r="BV5" s="6"/>
      <c r="BW5" s="6"/>
      <c r="BX5" s="6"/>
    </row>
    <row r="6" ht="15.75" customHeight="1">
      <c r="A6" s="1" t="s">
        <v>93</v>
      </c>
      <c r="B6" s="17">
        <v>470.0</v>
      </c>
      <c r="C6" s="17">
        <v>5.0</v>
      </c>
      <c r="D6" s="9" t="s">
        <v>85</v>
      </c>
      <c r="E6" s="9" t="s">
        <v>85</v>
      </c>
      <c r="F6" s="9">
        <v>0.5</v>
      </c>
      <c r="G6" s="9" t="s">
        <v>85</v>
      </c>
      <c r="H6" s="9" t="s">
        <v>85</v>
      </c>
      <c r="I6" s="9">
        <v>0.233333</v>
      </c>
      <c r="J6" s="9" t="s">
        <v>85</v>
      </c>
      <c r="K6" s="9" t="s">
        <v>85</v>
      </c>
      <c r="L6" s="9" t="s">
        <v>85</v>
      </c>
      <c r="M6" s="9" t="s">
        <v>85</v>
      </c>
      <c r="N6" s="9" t="s">
        <v>85</v>
      </c>
      <c r="O6" s="9" t="s">
        <v>85</v>
      </c>
      <c r="P6" s="9" t="s">
        <v>85</v>
      </c>
      <c r="Q6" s="9" t="s">
        <v>85</v>
      </c>
      <c r="R6" s="9">
        <v>0.533333</v>
      </c>
      <c r="S6" s="9" t="s">
        <v>85</v>
      </c>
      <c r="T6" s="9" t="s">
        <v>85</v>
      </c>
      <c r="U6" s="9">
        <v>0.5</v>
      </c>
      <c r="V6" s="9" t="s">
        <v>85</v>
      </c>
      <c r="W6" s="9" t="s">
        <v>85</v>
      </c>
      <c r="X6" s="9" t="s">
        <v>85</v>
      </c>
      <c r="Y6" s="9" t="s">
        <v>85</v>
      </c>
      <c r="Z6" s="9" t="s">
        <v>85</v>
      </c>
      <c r="AA6" s="9" t="s">
        <v>85</v>
      </c>
      <c r="AB6" s="10" t="s">
        <v>85</v>
      </c>
      <c r="AC6" s="10" t="s">
        <v>85</v>
      </c>
      <c r="AD6" s="9">
        <v>0.6</v>
      </c>
      <c r="AE6" s="9" t="s">
        <v>85</v>
      </c>
      <c r="AF6" s="9" t="s">
        <v>85</v>
      </c>
      <c r="AG6" s="9">
        <v>0.566667</v>
      </c>
      <c r="AH6" s="9" t="s">
        <v>85</v>
      </c>
      <c r="AI6" s="9" t="s">
        <v>85</v>
      </c>
      <c r="AJ6" s="9" t="s">
        <v>85</v>
      </c>
      <c r="AK6" s="9" t="s">
        <v>85</v>
      </c>
      <c r="AL6" s="9" t="s">
        <v>85</v>
      </c>
      <c r="AM6" s="9" t="s">
        <v>85</v>
      </c>
      <c r="AN6" s="9" t="s">
        <v>85</v>
      </c>
      <c r="AO6" s="9" t="s">
        <v>85</v>
      </c>
      <c r="AP6" s="9">
        <v>0.433333</v>
      </c>
      <c r="AQ6" s="9" t="s">
        <v>85</v>
      </c>
      <c r="AR6" s="9" t="s">
        <v>85</v>
      </c>
      <c r="AS6" s="9">
        <v>0.466667</v>
      </c>
      <c r="AT6" s="9" t="s">
        <v>85</v>
      </c>
      <c r="AU6" s="9" t="s">
        <v>85</v>
      </c>
      <c r="AV6" s="9" t="s">
        <v>85</v>
      </c>
      <c r="AW6" s="9" t="s">
        <v>85</v>
      </c>
      <c r="AX6" s="9" t="s">
        <v>85</v>
      </c>
      <c r="AY6" s="9" t="s">
        <v>85</v>
      </c>
      <c r="AZ6" s="9" t="s">
        <v>85</v>
      </c>
      <c r="BA6" s="9" t="s">
        <v>85</v>
      </c>
      <c r="BB6" s="9" t="s">
        <v>85</v>
      </c>
      <c r="BC6" s="10" t="s">
        <v>85</v>
      </c>
      <c r="BD6" s="9" t="s">
        <v>85</v>
      </c>
      <c r="BE6" s="9" t="s">
        <v>85</v>
      </c>
      <c r="BF6" s="10" t="s">
        <v>85</v>
      </c>
      <c r="BG6" s="10" t="s">
        <v>85</v>
      </c>
      <c r="BH6" s="9" t="s">
        <v>85</v>
      </c>
      <c r="BI6" s="6"/>
      <c r="BJ6" s="6" t="str">
        <f t="shared" si="1"/>
        <v>10Bo_One_Acc</v>
      </c>
      <c r="BK6" s="6" t="str">
        <f t="shared" si="2"/>
        <v>10BoN_One_Acc</v>
      </c>
      <c r="BL6" s="6" t="str">
        <f t="shared" si="3"/>
        <v>8Bo_One_Acc</v>
      </c>
      <c r="BM6" s="6"/>
      <c r="BN6" s="6">
        <f t="shared" si="4"/>
        <v>10</v>
      </c>
      <c r="BO6" s="6"/>
      <c r="BP6" s="6"/>
      <c r="BQ6" s="1" t="s">
        <v>213</v>
      </c>
      <c r="BR6" s="6" t="s">
        <v>249</v>
      </c>
      <c r="BX6" s="6"/>
    </row>
    <row r="7" ht="15.75" customHeight="1">
      <c r="A7" s="1" t="s">
        <v>95</v>
      </c>
      <c r="B7" s="17">
        <v>512.0</v>
      </c>
      <c r="C7" s="17">
        <v>2.0</v>
      </c>
      <c r="D7" s="9" t="s">
        <v>85</v>
      </c>
      <c r="E7" s="9" t="s">
        <v>85</v>
      </c>
      <c r="F7" s="9">
        <v>0.85</v>
      </c>
      <c r="G7" s="9" t="s">
        <v>85</v>
      </c>
      <c r="H7" s="9" t="s">
        <v>85</v>
      </c>
      <c r="I7" s="9">
        <v>0.5</v>
      </c>
      <c r="J7" s="9" t="s">
        <v>85</v>
      </c>
      <c r="K7" s="9" t="s">
        <v>85</v>
      </c>
      <c r="L7" s="9" t="s">
        <v>85</v>
      </c>
      <c r="M7" s="9" t="s">
        <v>85</v>
      </c>
      <c r="N7" s="9" t="s">
        <v>85</v>
      </c>
      <c r="O7" s="9" t="s">
        <v>85</v>
      </c>
      <c r="P7" s="9" t="s">
        <v>85</v>
      </c>
      <c r="Q7" s="9" t="s">
        <v>85</v>
      </c>
      <c r="R7" s="9">
        <v>0.85</v>
      </c>
      <c r="S7" s="9" t="s">
        <v>85</v>
      </c>
      <c r="T7" s="9" t="s">
        <v>85</v>
      </c>
      <c r="U7" s="9">
        <v>0.85</v>
      </c>
      <c r="V7" s="9" t="s">
        <v>85</v>
      </c>
      <c r="W7" s="9" t="s">
        <v>85</v>
      </c>
      <c r="X7" s="9" t="s">
        <v>85</v>
      </c>
      <c r="Y7" s="9" t="s">
        <v>85</v>
      </c>
      <c r="Z7" s="9" t="s">
        <v>85</v>
      </c>
      <c r="AA7" s="9" t="s">
        <v>85</v>
      </c>
      <c r="AB7" s="10" t="s">
        <v>85</v>
      </c>
      <c r="AC7" s="10" t="s">
        <v>85</v>
      </c>
      <c r="AD7" s="9">
        <v>0.9</v>
      </c>
      <c r="AE7" s="9" t="s">
        <v>85</v>
      </c>
      <c r="AF7" s="9" t="s">
        <v>85</v>
      </c>
      <c r="AG7" s="9">
        <v>0.9</v>
      </c>
      <c r="AH7" s="9" t="s">
        <v>85</v>
      </c>
      <c r="AI7" s="9" t="s">
        <v>85</v>
      </c>
      <c r="AJ7" s="9" t="s">
        <v>85</v>
      </c>
      <c r="AK7" s="9" t="s">
        <v>85</v>
      </c>
      <c r="AL7" s="9" t="s">
        <v>85</v>
      </c>
      <c r="AM7" s="9" t="s">
        <v>85</v>
      </c>
      <c r="AN7" s="9" t="s">
        <v>85</v>
      </c>
      <c r="AO7" s="9" t="s">
        <v>85</v>
      </c>
      <c r="AP7" s="9">
        <v>0.8</v>
      </c>
      <c r="AQ7" s="9" t="s">
        <v>85</v>
      </c>
      <c r="AR7" s="9" t="s">
        <v>85</v>
      </c>
      <c r="AS7" s="9">
        <v>0.7</v>
      </c>
      <c r="AT7" s="9" t="s">
        <v>85</v>
      </c>
      <c r="AU7" s="9" t="s">
        <v>85</v>
      </c>
      <c r="AV7" s="9" t="s">
        <v>85</v>
      </c>
      <c r="AW7" s="9" t="s">
        <v>85</v>
      </c>
      <c r="AX7" s="9" t="s">
        <v>85</v>
      </c>
      <c r="AY7" s="9" t="s">
        <v>85</v>
      </c>
      <c r="AZ7" s="9" t="s">
        <v>85</v>
      </c>
      <c r="BA7" s="9" t="s">
        <v>85</v>
      </c>
      <c r="BB7" s="9" t="s">
        <v>85</v>
      </c>
      <c r="BC7" s="10" t="s">
        <v>85</v>
      </c>
      <c r="BD7" s="9" t="s">
        <v>85</v>
      </c>
      <c r="BE7" s="9" t="s">
        <v>85</v>
      </c>
      <c r="BF7" s="10" t="s">
        <v>85</v>
      </c>
      <c r="BG7" s="10" t="s">
        <v>85</v>
      </c>
      <c r="BH7" s="9" t="s">
        <v>85</v>
      </c>
      <c r="BI7" s="6"/>
      <c r="BJ7" s="6" t="str">
        <f t="shared" si="1"/>
        <v>10Bo_One_Acc</v>
      </c>
      <c r="BK7" s="6" t="str">
        <f t="shared" si="2"/>
        <v>10Bo_One_Acc</v>
      </c>
      <c r="BL7" s="6" t="str">
        <f t="shared" si="3"/>
        <v>5Bo_One_Acc</v>
      </c>
      <c r="BM7" s="6"/>
      <c r="BN7" s="6">
        <f t="shared" si="4"/>
        <v>10</v>
      </c>
      <c r="BO7" s="6"/>
      <c r="BP7" s="6"/>
      <c r="BR7" s="6">
        <f>COUNTIF(BJ3:BJ100,"*5*")</f>
        <v>22</v>
      </c>
      <c r="BS7" s="6">
        <f>COUNTIF(BJ3:BJ100,"*8*")</f>
        <v>21</v>
      </c>
      <c r="BT7" s="6">
        <f>COUNTIF(BJ3:BJ100,"*10*")</f>
        <v>26</v>
      </c>
      <c r="BU7" s="6">
        <f>COUNTIF(BJ3:BJ100,"*12*")</f>
        <v>29</v>
      </c>
      <c r="BV7" s="6">
        <f>COUNTIF(BJ3:BJ100,"*20*")</f>
        <v>0</v>
      </c>
      <c r="BW7" s="6"/>
      <c r="BX7" s="6"/>
    </row>
    <row r="8" ht="15.75" customHeight="1">
      <c r="A8" s="1" t="s">
        <v>97</v>
      </c>
      <c r="B8" s="17">
        <v>512.0</v>
      </c>
      <c r="C8" s="17">
        <v>2.0</v>
      </c>
      <c r="D8" s="9" t="s">
        <v>85</v>
      </c>
      <c r="E8" s="9" t="s">
        <v>85</v>
      </c>
      <c r="F8" s="9">
        <v>0.75</v>
      </c>
      <c r="G8" s="9" t="s">
        <v>85</v>
      </c>
      <c r="H8" s="9" t="s">
        <v>85</v>
      </c>
      <c r="I8" s="9">
        <v>0.5</v>
      </c>
      <c r="J8" s="9" t="s">
        <v>85</v>
      </c>
      <c r="K8" s="9" t="s">
        <v>85</v>
      </c>
      <c r="L8" s="9" t="s">
        <v>85</v>
      </c>
      <c r="M8" s="9" t="s">
        <v>85</v>
      </c>
      <c r="N8" s="9" t="s">
        <v>85</v>
      </c>
      <c r="O8" s="9" t="s">
        <v>85</v>
      </c>
      <c r="P8" s="9" t="s">
        <v>85</v>
      </c>
      <c r="Q8" s="9" t="s">
        <v>85</v>
      </c>
      <c r="R8" s="9">
        <v>0.6</v>
      </c>
      <c r="S8" s="9" t="s">
        <v>85</v>
      </c>
      <c r="T8" s="9" t="s">
        <v>85</v>
      </c>
      <c r="U8" s="9">
        <v>0.75</v>
      </c>
      <c r="V8" s="9" t="s">
        <v>85</v>
      </c>
      <c r="W8" s="9" t="s">
        <v>85</v>
      </c>
      <c r="X8" s="9" t="s">
        <v>85</v>
      </c>
      <c r="Y8" s="9" t="s">
        <v>85</v>
      </c>
      <c r="Z8" s="9" t="s">
        <v>85</v>
      </c>
      <c r="AA8" s="9" t="s">
        <v>85</v>
      </c>
      <c r="AB8" s="10" t="s">
        <v>85</v>
      </c>
      <c r="AC8" s="10" t="s">
        <v>85</v>
      </c>
      <c r="AD8" s="9">
        <v>0.65</v>
      </c>
      <c r="AE8" s="9" t="s">
        <v>85</v>
      </c>
      <c r="AF8" s="9" t="s">
        <v>85</v>
      </c>
      <c r="AG8" s="9">
        <v>0.8</v>
      </c>
      <c r="AH8" s="9" t="s">
        <v>85</v>
      </c>
      <c r="AI8" s="9" t="s">
        <v>85</v>
      </c>
      <c r="AJ8" s="9" t="s">
        <v>85</v>
      </c>
      <c r="AK8" s="9" t="s">
        <v>85</v>
      </c>
      <c r="AL8" s="9" t="s">
        <v>85</v>
      </c>
      <c r="AM8" s="9" t="s">
        <v>85</v>
      </c>
      <c r="AN8" s="9" t="s">
        <v>85</v>
      </c>
      <c r="AO8" s="9" t="s">
        <v>85</v>
      </c>
      <c r="AP8" s="9">
        <v>0.7</v>
      </c>
      <c r="AQ8" s="9" t="s">
        <v>85</v>
      </c>
      <c r="AR8" s="9" t="s">
        <v>85</v>
      </c>
      <c r="AS8" s="9">
        <v>0.7</v>
      </c>
      <c r="AT8" s="9" t="s">
        <v>85</v>
      </c>
      <c r="AU8" s="9" t="s">
        <v>85</v>
      </c>
      <c r="AV8" s="9" t="s">
        <v>85</v>
      </c>
      <c r="AW8" s="9" t="s">
        <v>85</v>
      </c>
      <c r="AX8" s="9" t="s">
        <v>85</v>
      </c>
      <c r="AY8" s="9" t="s">
        <v>85</v>
      </c>
      <c r="AZ8" s="9" t="s">
        <v>85</v>
      </c>
      <c r="BA8" s="9" t="s">
        <v>85</v>
      </c>
      <c r="BB8" s="9" t="s">
        <v>85</v>
      </c>
      <c r="BC8" s="10" t="s">
        <v>85</v>
      </c>
      <c r="BD8" s="9" t="s">
        <v>85</v>
      </c>
      <c r="BE8" s="9" t="s">
        <v>85</v>
      </c>
      <c r="BF8" s="10" t="s">
        <v>85</v>
      </c>
      <c r="BG8" s="10" t="s">
        <v>85</v>
      </c>
      <c r="BH8" s="9" t="s">
        <v>85</v>
      </c>
      <c r="BI8" s="6"/>
      <c r="BJ8" s="6" t="str">
        <f t="shared" si="1"/>
        <v>10BoN_One_Acc</v>
      </c>
      <c r="BK8" s="6" t="str">
        <f t="shared" si="2"/>
        <v>5Bo_One_Acc</v>
      </c>
      <c r="BL8" s="6" t="str">
        <f t="shared" si="3"/>
        <v>5Bo_One_Acc</v>
      </c>
      <c r="BM8" s="6"/>
      <c r="BN8" s="6">
        <f t="shared" si="4"/>
        <v>10</v>
      </c>
      <c r="BO8" s="6"/>
      <c r="BP8" s="6"/>
      <c r="BQ8" s="6"/>
      <c r="BR8" s="6" t="s">
        <v>250</v>
      </c>
      <c r="BS8" s="6" t="s">
        <v>251</v>
      </c>
      <c r="BT8" s="6" t="s">
        <v>252</v>
      </c>
      <c r="BU8" s="6" t="s">
        <v>253</v>
      </c>
      <c r="BV8" s="6" t="s">
        <v>254</v>
      </c>
      <c r="BW8" s="6"/>
      <c r="BX8" s="6"/>
    </row>
    <row r="9" ht="15.75" customHeight="1">
      <c r="A9" s="1" t="s">
        <v>98</v>
      </c>
      <c r="B9" s="17">
        <v>128.0</v>
      </c>
      <c r="C9" s="17">
        <v>3.0</v>
      </c>
      <c r="D9" s="9" t="s">
        <v>85</v>
      </c>
      <c r="E9" s="9" t="s">
        <v>85</v>
      </c>
      <c r="F9" s="9">
        <v>0.9</v>
      </c>
      <c r="G9" s="9" t="s">
        <v>85</v>
      </c>
      <c r="H9" s="9" t="s">
        <v>85</v>
      </c>
      <c r="I9" s="9">
        <v>0.346667</v>
      </c>
      <c r="J9" s="9" t="s">
        <v>85</v>
      </c>
      <c r="K9" s="9" t="s">
        <v>85</v>
      </c>
      <c r="L9" s="9" t="s">
        <v>85</v>
      </c>
      <c r="M9" s="9" t="s">
        <v>85</v>
      </c>
      <c r="N9" s="9" t="s">
        <v>85</v>
      </c>
      <c r="O9" s="9" t="s">
        <v>85</v>
      </c>
      <c r="P9" s="9" t="s">
        <v>85</v>
      </c>
      <c r="Q9" s="9" t="s">
        <v>85</v>
      </c>
      <c r="R9" s="9">
        <v>0.9</v>
      </c>
      <c r="S9" s="9" t="s">
        <v>85</v>
      </c>
      <c r="T9" s="9" t="s">
        <v>85</v>
      </c>
      <c r="U9" s="9">
        <v>0.906667</v>
      </c>
      <c r="V9" s="9" t="s">
        <v>85</v>
      </c>
      <c r="W9" s="9" t="s">
        <v>85</v>
      </c>
      <c r="X9" s="9" t="s">
        <v>85</v>
      </c>
      <c r="Y9" s="9" t="s">
        <v>85</v>
      </c>
      <c r="Z9" s="9" t="s">
        <v>85</v>
      </c>
      <c r="AA9" s="9" t="s">
        <v>85</v>
      </c>
      <c r="AB9" s="10" t="s">
        <v>85</v>
      </c>
      <c r="AC9" s="10" t="s">
        <v>85</v>
      </c>
      <c r="AD9" s="9">
        <v>0.886667</v>
      </c>
      <c r="AE9" s="9" t="s">
        <v>85</v>
      </c>
      <c r="AF9" s="9" t="s">
        <v>85</v>
      </c>
      <c r="AG9" s="9">
        <v>0.9</v>
      </c>
      <c r="AH9" s="9" t="s">
        <v>85</v>
      </c>
      <c r="AI9" s="9" t="s">
        <v>85</v>
      </c>
      <c r="AJ9" s="9" t="s">
        <v>85</v>
      </c>
      <c r="AK9" s="9" t="s">
        <v>85</v>
      </c>
      <c r="AL9" s="9" t="s">
        <v>85</v>
      </c>
      <c r="AM9" s="9" t="s">
        <v>85</v>
      </c>
      <c r="AN9" s="9" t="s">
        <v>85</v>
      </c>
      <c r="AO9" s="9" t="s">
        <v>85</v>
      </c>
      <c r="AP9" s="9">
        <v>0.9</v>
      </c>
      <c r="AQ9" s="9" t="s">
        <v>85</v>
      </c>
      <c r="AR9" s="9" t="s">
        <v>85</v>
      </c>
      <c r="AS9" s="9">
        <v>0.9</v>
      </c>
      <c r="AT9" s="9" t="s">
        <v>85</v>
      </c>
      <c r="AU9" s="9" t="s">
        <v>85</v>
      </c>
      <c r="AV9" s="9" t="s">
        <v>85</v>
      </c>
      <c r="AW9" s="9" t="s">
        <v>85</v>
      </c>
      <c r="AX9" s="9" t="s">
        <v>85</v>
      </c>
      <c r="AY9" s="9" t="s">
        <v>85</v>
      </c>
      <c r="AZ9" s="9" t="s">
        <v>85</v>
      </c>
      <c r="BA9" s="9" t="s">
        <v>85</v>
      </c>
      <c r="BB9" s="9" t="s">
        <v>85</v>
      </c>
      <c r="BC9" s="10" t="s">
        <v>85</v>
      </c>
      <c r="BD9" s="9" t="s">
        <v>85</v>
      </c>
      <c r="BE9" s="9" t="s">
        <v>85</v>
      </c>
      <c r="BF9" s="10" t="s">
        <v>85</v>
      </c>
      <c r="BG9" s="10" t="s">
        <v>85</v>
      </c>
      <c r="BH9" s="9" t="s">
        <v>85</v>
      </c>
      <c r="BI9" s="6"/>
      <c r="BJ9" s="6" t="str">
        <f t="shared" si="1"/>
        <v>8BoN_One_Acc</v>
      </c>
      <c r="BK9" s="6" t="str">
        <f t="shared" si="2"/>
        <v>5Bo_One_Acc</v>
      </c>
      <c r="BL9" s="6" t="str">
        <f t="shared" si="3"/>
        <v>5Bo_One_Acc</v>
      </c>
      <c r="BM9" s="6"/>
      <c r="BN9" s="6">
        <f t="shared" si="4"/>
        <v>8</v>
      </c>
      <c r="BO9" s="6"/>
      <c r="BP9" s="6"/>
      <c r="BQ9" s="6" t="s">
        <v>233</v>
      </c>
      <c r="BR9" s="18">
        <f>COUNTIFS($BJ$3:$BJ$100,"*5*",$BJ$3:$BJ$100,"*Bo_*")</f>
        <v>20</v>
      </c>
      <c r="BS9" s="18">
        <f>COUNTIFS($BJ$3:$BJ$100,"*8*",$BJ$3:$BJ$100,"*Bo_*")</f>
        <v>12</v>
      </c>
      <c r="BT9" s="18">
        <f>COUNTIFS($BJ$3:$BJ$100,"*10*",$BJ$3:$BJ$100,"*Bo_*")</f>
        <v>12</v>
      </c>
      <c r="BU9" s="18">
        <f>COUNTIFS($BJ$3:$BJ$100,"*12*",$BJ$3:$BJ$100,"*Bo_*")</f>
        <v>23</v>
      </c>
      <c r="BV9" s="18">
        <f>COUNTIFS($BJ$3:$BJ$100,"*20*",$BJ$3:$BJ$100,"*Bo_*")</f>
        <v>0</v>
      </c>
      <c r="BW9" s="6">
        <f t="shared" ref="BW9:BW10" si="5">SUM(BR9:BV9)</f>
        <v>67</v>
      </c>
      <c r="BX9" s="6"/>
    </row>
    <row r="10" ht="15.75" customHeight="1">
      <c r="A10" s="1" t="s">
        <v>99</v>
      </c>
      <c r="B10" s="17">
        <v>577.0</v>
      </c>
      <c r="C10" s="17">
        <v>4.0</v>
      </c>
      <c r="D10" s="9" t="s">
        <v>85</v>
      </c>
      <c r="E10" s="9" t="s">
        <v>85</v>
      </c>
      <c r="F10" s="9">
        <v>0.55</v>
      </c>
      <c r="G10" s="9" t="s">
        <v>85</v>
      </c>
      <c r="H10" s="9" t="s">
        <v>85</v>
      </c>
      <c r="I10" s="9">
        <v>0.2</v>
      </c>
      <c r="J10" s="9" t="s">
        <v>85</v>
      </c>
      <c r="K10" s="9" t="s">
        <v>85</v>
      </c>
      <c r="L10" s="9" t="s">
        <v>85</v>
      </c>
      <c r="M10" s="9" t="s">
        <v>85</v>
      </c>
      <c r="N10" s="9" t="s">
        <v>85</v>
      </c>
      <c r="O10" s="9" t="s">
        <v>85</v>
      </c>
      <c r="P10" s="9" t="s">
        <v>85</v>
      </c>
      <c r="Q10" s="9" t="s">
        <v>85</v>
      </c>
      <c r="R10" s="9">
        <v>0.583333</v>
      </c>
      <c r="S10" s="9" t="s">
        <v>85</v>
      </c>
      <c r="T10" s="9" t="s">
        <v>85</v>
      </c>
      <c r="U10" s="9">
        <v>0.583333</v>
      </c>
      <c r="V10" s="9" t="s">
        <v>85</v>
      </c>
      <c r="W10" s="9" t="s">
        <v>85</v>
      </c>
      <c r="X10" s="9" t="s">
        <v>85</v>
      </c>
      <c r="Y10" s="9" t="s">
        <v>85</v>
      </c>
      <c r="Z10" s="9" t="s">
        <v>85</v>
      </c>
      <c r="AA10" s="9" t="s">
        <v>85</v>
      </c>
      <c r="AB10" s="10" t="s">
        <v>85</v>
      </c>
      <c r="AC10" s="10" t="s">
        <v>85</v>
      </c>
      <c r="AD10" s="9">
        <v>0.583333</v>
      </c>
      <c r="AE10" s="9" t="s">
        <v>85</v>
      </c>
      <c r="AF10" s="9" t="s">
        <v>85</v>
      </c>
      <c r="AG10" s="9">
        <v>0.55</v>
      </c>
      <c r="AH10" s="9" t="s">
        <v>85</v>
      </c>
      <c r="AI10" s="9" t="s">
        <v>85</v>
      </c>
      <c r="AJ10" s="9" t="s">
        <v>85</v>
      </c>
      <c r="AK10" s="9" t="s">
        <v>85</v>
      </c>
      <c r="AL10" s="9" t="s">
        <v>85</v>
      </c>
      <c r="AM10" s="9" t="s">
        <v>85</v>
      </c>
      <c r="AN10" s="9" t="s">
        <v>85</v>
      </c>
      <c r="AO10" s="9" t="s">
        <v>85</v>
      </c>
      <c r="AP10" s="9">
        <v>0.633333</v>
      </c>
      <c r="AQ10" s="9" t="s">
        <v>85</v>
      </c>
      <c r="AR10" s="9" t="s">
        <v>85</v>
      </c>
      <c r="AS10" s="9">
        <v>0.6</v>
      </c>
      <c r="AT10" s="9" t="s">
        <v>85</v>
      </c>
      <c r="AU10" s="9" t="s">
        <v>85</v>
      </c>
      <c r="AV10" s="9" t="s">
        <v>85</v>
      </c>
      <c r="AW10" s="9" t="s">
        <v>85</v>
      </c>
      <c r="AX10" s="9" t="s">
        <v>85</v>
      </c>
      <c r="AY10" s="9" t="s">
        <v>85</v>
      </c>
      <c r="AZ10" s="9" t="s">
        <v>85</v>
      </c>
      <c r="BA10" s="9" t="s">
        <v>85</v>
      </c>
      <c r="BB10" s="9" t="s">
        <v>85</v>
      </c>
      <c r="BC10" s="10" t="s">
        <v>85</v>
      </c>
      <c r="BD10" s="9" t="s">
        <v>85</v>
      </c>
      <c r="BE10" s="9" t="s">
        <v>85</v>
      </c>
      <c r="BF10" s="10" t="s">
        <v>85</v>
      </c>
      <c r="BG10" s="10" t="s">
        <v>85</v>
      </c>
      <c r="BH10" s="9" t="s">
        <v>85</v>
      </c>
      <c r="BI10" s="6"/>
      <c r="BJ10" s="6" t="str">
        <f t="shared" si="1"/>
        <v>12Bo_One_Acc</v>
      </c>
      <c r="BK10" s="6" t="str">
        <f t="shared" si="2"/>
        <v>12BoN_One_Acc</v>
      </c>
      <c r="BL10" s="6" t="str">
        <f t="shared" si="3"/>
        <v>8Bo_One_Acc</v>
      </c>
      <c r="BM10" s="6"/>
      <c r="BN10" s="6">
        <f t="shared" si="4"/>
        <v>12</v>
      </c>
      <c r="BO10" s="6"/>
      <c r="BP10" s="6"/>
      <c r="BQ10" s="6" t="s">
        <v>288</v>
      </c>
      <c r="BR10" s="18">
        <f>COUNTIFS($BJ$3:$BJ$100,"*5*",$BJ$3:$BJ$100,"*BoN_*")</f>
        <v>2</v>
      </c>
      <c r="BS10" s="18">
        <f>COUNTIFS($BJ$3:$BJ$100,"*8*",$BJ$3:$BJ$100,"*BoN_*")</f>
        <v>9</v>
      </c>
      <c r="BT10" s="18">
        <f>COUNTIFS($BJ$3:$BJ$100,"*10*",$BJ$3:$BJ$100,"*BoN_*")</f>
        <v>14</v>
      </c>
      <c r="BU10" s="18">
        <f>COUNTIFS($BJ$3:$BJ$100,"*12*",$BJ$3:$BJ$100,"*BoN_*")</f>
        <v>6</v>
      </c>
      <c r="BV10" s="18">
        <f>COUNTIFS($BJ$3:$BJ$100,"*20*",$BJ$3:$BJ$100,"*BoN_*")</f>
        <v>0</v>
      </c>
      <c r="BW10" s="6">
        <f t="shared" si="5"/>
        <v>31</v>
      </c>
      <c r="BX10" s="6"/>
    </row>
    <row r="11" ht="15.75" customHeight="1">
      <c r="A11" s="1" t="s">
        <v>101</v>
      </c>
      <c r="B11" s="17">
        <v>128.0</v>
      </c>
      <c r="C11" s="17">
        <v>3.0</v>
      </c>
      <c r="D11" s="9" t="s">
        <v>85</v>
      </c>
      <c r="E11" s="9" t="s">
        <v>85</v>
      </c>
      <c r="F11" s="9">
        <v>0.955556</v>
      </c>
      <c r="G11" s="9" t="s">
        <v>85</v>
      </c>
      <c r="H11" s="9" t="s">
        <v>85</v>
      </c>
      <c r="I11" s="9">
        <v>0.331111</v>
      </c>
      <c r="J11" s="9" t="s">
        <v>85</v>
      </c>
      <c r="K11" s="9" t="s">
        <v>85</v>
      </c>
      <c r="L11" s="9" t="s">
        <v>85</v>
      </c>
      <c r="M11" s="9" t="s">
        <v>85</v>
      </c>
      <c r="N11" s="9" t="s">
        <v>85</v>
      </c>
      <c r="O11" s="9" t="s">
        <v>85</v>
      </c>
      <c r="P11" s="9" t="s">
        <v>85</v>
      </c>
      <c r="Q11" s="9" t="s">
        <v>85</v>
      </c>
      <c r="R11" s="9">
        <v>0.935556</v>
      </c>
      <c r="S11" s="9" t="s">
        <v>85</v>
      </c>
      <c r="T11" s="9" t="s">
        <v>85</v>
      </c>
      <c r="U11" s="9">
        <v>0.938889</v>
      </c>
      <c r="V11" s="9" t="s">
        <v>85</v>
      </c>
      <c r="W11" s="9" t="s">
        <v>85</v>
      </c>
      <c r="X11" s="9" t="s">
        <v>85</v>
      </c>
      <c r="Y11" s="9" t="s">
        <v>85</v>
      </c>
      <c r="Z11" s="9" t="s">
        <v>85</v>
      </c>
      <c r="AA11" s="9" t="s">
        <v>85</v>
      </c>
      <c r="AB11" s="10" t="s">
        <v>85</v>
      </c>
      <c r="AC11" s="10" t="s">
        <v>85</v>
      </c>
      <c r="AD11" s="9">
        <v>0.965556</v>
      </c>
      <c r="AE11" s="9" t="s">
        <v>85</v>
      </c>
      <c r="AF11" s="9" t="s">
        <v>85</v>
      </c>
      <c r="AG11" s="9">
        <v>0.96</v>
      </c>
      <c r="AH11" s="9" t="s">
        <v>85</v>
      </c>
      <c r="AI11" s="9" t="s">
        <v>85</v>
      </c>
      <c r="AJ11" s="9" t="s">
        <v>85</v>
      </c>
      <c r="AK11" s="9" t="s">
        <v>85</v>
      </c>
      <c r="AL11" s="9" t="s">
        <v>85</v>
      </c>
      <c r="AM11" s="9" t="s">
        <v>85</v>
      </c>
      <c r="AN11" s="9" t="s">
        <v>85</v>
      </c>
      <c r="AO11" s="9" t="s">
        <v>85</v>
      </c>
      <c r="AP11" s="9">
        <v>0.961111</v>
      </c>
      <c r="AQ11" s="9" t="s">
        <v>85</v>
      </c>
      <c r="AR11" s="9" t="s">
        <v>85</v>
      </c>
      <c r="AS11" s="1" t="s">
        <v>85</v>
      </c>
      <c r="AT11" s="9" t="s">
        <v>85</v>
      </c>
      <c r="AU11" s="9" t="s">
        <v>85</v>
      </c>
      <c r="AV11" s="9" t="s">
        <v>85</v>
      </c>
      <c r="AW11" s="9" t="s">
        <v>85</v>
      </c>
      <c r="AX11" s="9" t="s">
        <v>85</v>
      </c>
      <c r="AY11" s="9" t="s">
        <v>85</v>
      </c>
      <c r="AZ11" s="9" t="s">
        <v>85</v>
      </c>
      <c r="BA11" s="9" t="s">
        <v>85</v>
      </c>
      <c r="BB11" s="9" t="s">
        <v>85</v>
      </c>
      <c r="BC11" s="10" t="s">
        <v>85</v>
      </c>
      <c r="BD11" s="9" t="s">
        <v>85</v>
      </c>
      <c r="BE11" s="9" t="s">
        <v>85</v>
      </c>
      <c r="BF11" s="10" t="s">
        <v>85</v>
      </c>
      <c r="BG11" s="10" t="s">
        <v>85</v>
      </c>
      <c r="BH11" s="9" t="s">
        <v>85</v>
      </c>
      <c r="BI11" s="6"/>
      <c r="BJ11" s="6" t="str">
        <f t="shared" si="1"/>
        <v>10Bo_One_Acc</v>
      </c>
      <c r="BK11" s="6" t="str">
        <f t="shared" si="2"/>
        <v>12Bo_One_Acc</v>
      </c>
      <c r="BL11" s="6" t="str">
        <f t="shared" si="3"/>
        <v>10BoN_One_Acc</v>
      </c>
      <c r="BM11" s="6"/>
      <c r="BN11" s="6">
        <f t="shared" si="4"/>
        <v>10</v>
      </c>
      <c r="BO11" s="6"/>
      <c r="BP11" s="6"/>
      <c r="BQ11" s="6"/>
      <c r="BR11" s="6"/>
      <c r="BT11" s="6"/>
      <c r="BU11" s="6"/>
      <c r="BV11" s="6"/>
      <c r="BW11" s="6"/>
      <c r="BX11" s="6"/>
    </row>
    <row r="12" ht="15.75" customHeight="1">
      <c r="A12" s="1" t="s">
        <v>103</v>
      </c>
      <c r="B12" s="17">
        <v>24.0</v>
      </c>
      <c r="C12" s="17">
        <v>2.0</v>
      </c>
      <c r="D12" s="9" t="s">
        <v>85</v>
      </c>
      <c r="E12" s="9" t="s">
        <v>85</v>
      </c>
      <c r="F12" s="9">
        <v>0.976676</v>
      </c>
      <c r="G12" s="9" t="s">
        <v>85</v>
      </c>
      <c r="H12" s="9" t="s">
        <v>85</v>
      </c>
      <c r="I12" s="9">
        <v>0.717201</v>
      </c>
      <c r="J12" s="9" t="s">
        <v>85</v>
      </c>
      <c r="K12" s="9" t="s">
        <v>85</v>
      </c>
      <c r="L12" s="9" t="s">
        <v>85</v>
      </c>
      <c r="M12" s="9" t="s">
        <v>85</v>
      </c>
      <c r="N12" s="9" t="s">
        <v>85</v>
      </c>
      <c r="O12" s="9" t="s">
        <v>85</v>
      </c>
      <c r="P12" s="9" t="s">
        <v>85</v>
      </c>
      <c r="Q12" s="9" t="s">
        <v>85</v>
      </c>
      <c r="R12" s="9">
        <v>0.96793</v>
      </c>
      <c r="S12" s="9" t="s">
        <v>85</v>
      </c>
      <c r="T12" s="9" t="s">
        <v>85</v>
      </c>
      <c r="U12" s="9">
        <v>0.979592</v>
      </c>
      <c r="V12" s="9" t="s">
        <v>85</v>
      </c>
      <c r="W12" s="9" t="s">
        <v>85</v>
      </c>
      <c r="X12" s="9" t="s">
        <v>85</v>
      </c>
      <c r="Y12" s="9" t="s">
        <v>85</v>
      </c>
      <c r="Z12" s="9" t="s">
        <v>85</v>
      </c>
      <c r="AA12" s="9" t="s">
        <v>85</v>
      </c>
      <c r="AB12" s="10" t="s">
        <v>85</v>
      </c>
      <c r="AC12" s="10" t="s">
        <v>85</v>
      </c>
      <c r="AD12" s="9">
        <v>0.982507</v>
      </c>
      <c r="AE12" s="9" t="s">
        <v>85</v>
      </c>
      <c r="AF12" s="9" t="s">
        <v>85</v>
      </c>
      <c r="AG12" s="9">
        <v>0.982507</v>
      </c>
      <c r="AH12" s="9" t="s">
        <v>85</v>
      </c>
      <c r="AI12" s="9" t="s">
        <v>85</v>
      </c>
      <c r="AJ12" s="9" t="s">
        <v>85</v>
      </c>
      <c r="AK12" s="9" t="s">
        <v>85</v>
      </c>
      <c r="AL12" s="9" t="s">
        <v>85</v>
      </c>
      <c r="AM12" s="9" t="s">
        <v>85</v>
      </c>
      <c r="AN12" s="9" t="s">
        <v>85</v>
      </c>
      <c r="AO12" s="9" t="s">
        <v>85</v>
      </c>
      <c r="AP12" s="9">
        <v>0.979592</v>
      </c>
      <c r="AQ12" s="9" t="s">
        <v>85</v>
      </c>
      <c r="AR12" s="9" t="s">
        <v>85</v>
      </c>
      <c r="AS12" s="9">
        <v>0.982507</v>
      </c>
      <c r="AT12" s="9" t="s">
        <v>85</v>
      </c>
      <c r="AU12" s="9" t="s">
        <v>85</v>
      </c>
      <c r="AV12" s="9" t="s">
        <v>85</v>
      </c>
      <c r="AW12" s="9" t="s">
        <v>85</v>
      </c>
      <c r="AX12" s="9" t="s">
        <v>85</v>
      </c>
      <c r="AY12" s="9" t="s">
        <v>85</v>
      </c>
      <c r="AZ12" s="9" t="s">
        <v>85</v>
      </c>
      <c r="BA12" s="9" t="s">
        <v>85</v>
      </c>
      <c r="BB12" s="9" t="s">
        <v>85</v>
      </c>
      <c r="BC12" s="10" t="s">
        <v>85</v>
      </c>
      <c r="BD12" s="9" t="s">
        <v>85</v>
      </c>
      <c r="BE12" s="9" t="s">
        <v>85</v>
      </c>
      <c r="BF12" s="10" t="s">
        <v>85</v>
      </c>
      <c r="BG12" s="10" t="s">
        <v>85</v>
      </c>
      <c r="BH12" s="9" t="s">
        <v>85</v>
      </c>
      <c r="BI12" s="6"/>
      <c r="BJ12" s="6" t="str">
        <f t="shared" si="1"/>
        <v>10Bo_One_Acc</v>
      </c>
      <c r="BK12" s="6" t="str">
        <f t="shared" si="2"/>
        <v>10Bo_One_Acc</v>
      </c>
      <c r="BL12" s="6" t="str">
        <f t="shared" si="3"/>
        <v>10Bo_One_Acc</v>
      </c>
      <c r="BM12" s="6"/>
      <c r="BN12" s="6">
        <f t="shared" si="4"/>
        <v>10</v>
      </c>
      <c r="BO12" s="6"/>
      <c r="BP12" s="6"/>
      <c r="BQ12" s="6"/>
      <c r="BR12" s="6"/>
      <c r="BS12" s="6"/>
      <c r="BT12" s="6"/>
      <c r="BU12" s="6"/>
      <c r="BV12" s="6"/>
      <c r="BW12" s="6"/>
      <c r="BX12" s="6"/>
    </row>
    <row r="13" ht="15.75" customHeight="1">
      <c r="A13" s="1" t="s">
        <v>105</v>
      </c>
      <c r="B13" s="17">
        <v>166.0</v>
      </c>
      <c r="C13" s="17">
        <v>3.0</v>
      </c>
      <c r="D13" s="9" t="s">
        <v>85</v>
      </c>
      <c r="E13" s="9" t="s">
        <v>85</v>
      </c>
      <c r="F13" s="9">
        <v>0.547917</v>
      </c>
      <c r="G13" s="9" t="s">
        <v>85</v>
      </c>
      <c r="H13" s="9" t="s">
        <v>85</v>
      </c>
      <c r="I13" s="9">
        <v>0.532552</v>
      </c>
      <c r="J13" s="9" t="s">
        <v>85</v>
      </c>
      <c r="K13" s="9" t="s">
        <v>85</v>
      </c>
      <c r="L13" s="9" t="s">
        <v>85</v>
      </c>
      <c r="M13" s="9" t="s">
        <v>85</v>
      </c>
      <c r="N13" s="9" t="s">
        <v>85</v>
      </c>
      <c r="O13" s="9" t="s">
        <v>85</v>
      </c>
      <c r="P13" s="9" t="s">
        <v>85</v>
      </c>
      <c r="Q13" s="9" t="s">
        <v>85</v>
      </c>
      <c r="R13" s="9">
        <v>0.535677</v>
      </c>
      <c r="S13" s="9" t="s">
        <v>85</v>
      </c>
      <c r="T13" s="9" t="s">
        <v>85</v>
      </c>
      <c r="U13" s="9">
        <v>0.532552</v>
      </c>
      <c r="V13" s="9" t="s">
        <v>85</v>
      </c>
      <c r="W13" s="9" t="s">
        <v>85</v>
      </c>
      <c r="X13" s="9" t="s">
        <v>85</v>
      </c>
      <c r="Y13" s="9" t="s">
        <v>85</v>
      </c>
      <c r="Z13" s="9" t="s">
        <v>85</v>
      </c>
      <c r="AA13" s="9" t="s">
        <v>85</v>
      </c>
      <c r="AB13" s="10" t="s">
        <v>85</v>
      </c>
      <c r="AC13" s="10" t="s">
        <v>85</v>
      </c>
      <c r="AD13" s="9">
        <v>0.579427</v>
      </c>
      <c r="AE13" s="9" t="s">
        <v>85</v>
      </c>
      <c r="AF13" s="9" t="s">
        <v>85</v>
      </c>
      <c r="AG13" s="9">
        <v>0.532552</v>
      </c>
      <c r="AH13" s="9" t="s">
        <v>85</v>
      </c>
      <c r="AI13" s="9" t="s">
        <v>85</v>
      </c>
      <c r="AJ13" s="9" t="s">
        <v>85</v>
      </c>
      <c r="AK13" s="9" t="s">
        <v>85</v>
      </c>
      <c r="AL13" s="9" t="s">
        <v>85</v>
      </c>
      <c r="AM13" s="9" t="s">
        <v>85</v>
      </c>
      <c r="AN13" s="9" t="s">
        <v>85</v>
      </c>
      <c r="AO13" s="9" t="s">
        <v>85</v>
      </c>
      <c r="AP13" s="9">
        <v>0.579427</v>
      </c>
      <c r="AQ13" s="9" t="s">
        <v>85</v>
      </c>
      <c r="AR13" s="9" t="s">
        <v>85</v>
      </c>
      <c r="AS13" s="9">
        <v>0.578385</v>
      </c>
      <c r="AT13" s="9" t="s">
        <v>85</v>
      </c>
      <c r="AU13" s="9" t="s">
        <v>85</v>
      </c>
      <c r="AV13" s="9" t="s">
        <v>85</v>
      </c>
      <c r="AW13" s="9" t="s">
        <v>85</v>
      </c>
      <c r="AX13" s="9" t="s">
        <v>85</v>
      </c>
      <c r="AY13" s="9" t="s">
        <v>85</v>
      </c>
      <c r="AZ13" s="9" t="s">
        <v>85</v>
      </c>
      <c r="BA13" s="9" t="s">
        <v>85</v>
      </c>
      <c r="BB13" s="9" t="s">
        <v>85</v>
      </c>
      <c r="BC13" s="10" t="s">
        <v>85</v>
      </c>
      <c r="BD13" s="9" t="s">
        <v>85</v>
      </c>
      <c r="BE13" s="9" t="s">
        <v>85</v>
      </c>
      <c r="BF13" s="10" t="s">
        <v>85</v>
      </c>
      <c r="BG13" s="10" t="s">
        <v>85</v>
      </c>
      <c r="BH13" s="9" t="s">
        <v>85</v>
      </c>
      <c r="BI13" s="6"/>
      <c r="BJ13" s="6" t="str">
        <f t="shared" si="1"/>
        <v>10Bo_One_Acc</v>
      </c>
      <c r="BK13" s="6" t="str">
        <f t="shared" si="2"/>
        <v>10Bo_One_Acc</v>
      </c>
      <c r="BL13" s="6" t="str">
        <f t="shared" si="3"/>
        <v>12BoN_One_Acc</v>
      </c>
      <c r="BM13" s="6"/>
      <c r="BN13" s="6">
        <f t="shared" si="4"/>
        <v>10</v>
      </c>
      <c r="BO13" s="6"/>
      <c r="BP13" s="21" t="s">
        <v>289</v>
      </c>
      <c r="BQ13" s="18" t="s">
        <v>290</v>
      </c>
      <c r="BR13" s="18" t="s">
        <v>291</v>
      </c>
      <c r="BS13" s="18" t="s">
        <v>292</v>
      </c>
      <c r="BT13" s="6"/>
      <c r="BU13" s="6"/>
      <c r="BV13" s="6"/>
      <c r="BW13" s="6"/>
      <c r="BX13" s="6"/>
    </row>
    <row r="14" ht="15.75" customHeight="1">
      <c r="A14" s="1" t="s">
        <v>107</v>
      </c>
      <c r="B14" s="17">
        <v>1639.0</v>
      </c>
      <c r="C14" s="17">
        <v>4.0</v>
      </c>
      <c r="D14" s="9" t="s">
        <v>85</v>
      </c>
      <c r="E14" s="9" t="s">
        <v>85</v>
      </c>
      <c r="F14" s="9">
        <v>0.435507</v>
      </c>
      <c r="G14" s="9" t="s">
        <v>85</v>
      </c>
      <c r="H14" s="9" t="s">
        <v>85</v>
      </c>
      <c r="I14" s="9">
        <v>0.247826</v>
      </c>
      <c r="J14" s="9" t="s">
        <v>85</v>
      </c>
      <c r="K14" s="9" t="s">
        <v>85</v>
      </c>
      <c r="L14" s="9" t="s">
        <v>85</v>
      </c>
      <c r="M14" s="9" t="s">
        <v>85</v>
      </c>
      <c r="N14" s="9" t="s">
        <v>85</v>
      </c>
      <c r="O14" s="9" t="s">
        <v>85</v>
      </c>
      <c r="P14" s="9" t="s">
        <v>85</v>
      </c>
      <c r="Q14" s="9" t="s">
        <v>85</v>
      </c>
      <c r="R14" s="9">
        <v>0.643478</v>
      </c>
      <c r="S14" s="9" t="s">
        <v>85</v>
      </c>
      <c r="T14" s="9" t="s">
        <v>85</v>
      </c>
      <c r="U14" s="9">
        <v>0.603623</v>
      </c>
      <c r="V14" s="9" t="s">
        <v>85</v>
      </c>
      <c r="W14" s="9" t="s">
        <v>85</v>
      </c>
      <c r="X14" s="9" t="s">
        <v>85</v>
      </c>
      <c r="Y14" s="9" t="s">
        <v>85</v>
      </c>
      <c r="Z14" s="9" t="s">
        <v>85</v>
      </c>
      <c r="AA14" s="9" t="s">
        <v>85</v>
      </c>
      <c r="AB14" s="10" t="s">
        <v>85</v>
      </c>
      <c r="AC14" s="10" t="s">
        <v>85</v>
      </c>
      <c r="AD14" s="9">
        <v>0.656522</v>
      </c>
      <c r="AE14" s="9" t="s">
        <v>85</v>
      </c>
      <c r="AF14" s="9" t="s">
        <v>85</v>
      </c>
      <c r="AG14" s="9">
        <v>0.668841</v>
      </c>
      <c r="AH14" s="9" t="s">
        <v>85</v>
      </c>
      <c r="AI14" s="9" t="s">
        <v>85</v>
      </c>
      <c r="AJ14" s="9" t="s">
        <v>85</v>
      </c>
      <c r="AK14" s="9" t="s">
        <v>85</v>
      </c>
      <c r="AL14" s="9" t="s">
        <v>85</v>
      </c>
      <c r="AM14" s="9" t="s">
        <v>85</v>
      </c>
      <c r="AN14" s="9" t="s">
        <v>85</v>
      </c>
      <c r="AO14" s="9" t="s">
        <v>85</v>
      </c>
      <c r="AP14" s="9">
        <v>0.63913</v>
      </c>
      <c r="AQ14" s="9" t="s">
        <v>85</v>
      </c>
      <c r="AR14" s="9" t="s">
        <v>85</v>
      </c>
      <c r="AS14" s="9">
        <v>0.646377</v>
      </c>
      <c r="AT14" s="9" t="s">
        <v>85</v>
      </c>
      <c r="AU14" s="9" t="s">
        <v>85</v>
      </c>
      <c r="AV14" s="9" t="s">
        <v>85</v>
      </c>
      <c r="AW14" s="9" t="s">
        <v>85</v>
      </c>
      <c r="AX14" s="9" t="s">
        <v>85</v>
      </c>
      <c r="AY14" s="9" t="s">
        <v>85</v>
      </c>
      <c r="AZ14" s="9" t="s">
        <v>85</v>
      </c>
      <c r="BA14" s="9" t="s">
        <v>85</v>
      </c>
      <c r="BB14" s="9" t="s">
        <v>85</v>
      </c>
      <c r="BC14" s="10" t="s">
        <v>85</v>
      </c>
      <c r="BD14" s="9" t="s">
        <v>85</v>
      </c>
      <c r="BE14" s="9" t="s">
        <v>85</v>
      </c>
      <c r="BF14" s="10" t="s">
        <v>85</v>
      </c>
      <c r="BG14" s="10" t="s">
        <v>85</v>
      </c>
      <c r="BH14" s="9" t="s">
        <v>85</v>
      </c>
      <c r="BI14" s="6"/>
      <c r="BJ14" s="6" t="str">
        <f t="shared" si="1"/>
        <v>10BoN_One_Acc</v>
      </c>
      <c r="BK14" s="6" t="str">
        <f t="shared" si="2"/>
        <v>10Bo_One_Acc</v>
      </c>
      <c r="BL14" s="6" t="str">
        <f t="shared" si="3"/>
        <v>12BoN_One_Acc</v>
      </c>
      <c r="BM14" s="6"/>
      <c r="BN14" s="6">
        <f t="shared" si="4"/>
        <v>10</v>
      </c>
      <c r="BO14" s="6"/>
      <c r="BP14" s="18" t="s">
        <v>290</v>
      </c>
      <c r="BQ14" s="22">
        <v>1.0</v>
      </c>
      <c r="BR14" s="22"/>
      <c r="BS14" s="22"/>
      <c r="BT14" s="6"/>
      <c r="BU14" s="6"/>
      <c r="BV14" s="6"/>
      <c r="BW14" s="6"/>
      <c r="BX14" s="6"/>
    </row>
    <row r="15" ht="15.75" customHeight="1">
      <c r="A15" s="1" t="s">
        <v>109</v>
      </c>
      <c r="B15" s="17">
        <v>286.0</v>
      </c>
      <c r="C15" s="17">
        <v>2.0</v>
      </c>
      <c r="D15" s="9" t="s">
        <v>85</v>
      </c>
      <c r="E15" s="9" t="s">
        <v>85</v>
      </c>
      <c r="F15" s="9">
        <v>0.75</v>
      </c>
      <c r="G15" s="9" t="s">
        <v>85</v>
      </c>
      <c r="H15" s="9" t="s">
        <v>85</v>
      </c>
      <c r="I15" s="9">
        <v>0.464286</v>
      </c>
      <c r="J15" s="9" t="s">
        <v>85</v>
      </c>
      <c r="K15" s="9" t="s">
        <v>85</v>
      </c>
      <c r="L15" s="9" t="s">
        <v>85</v>
      </c>
      <c r="M15" s="9" t="s">
        <v>85</v>
      </c>
      <c r="N15" s="9" t="s">
        <v>85</v>
      </c>
      <c r="O15" s="9" t="s">
        <v>85</v>
      </c>
      <c r="P15" s="9" t="s">
        <v>85</v>
      </c>
      <c r="Q15" s="9" t="s">
        <v>85</v>
      </c>
      <c r="R15" s="9">
        <v>0.714286</v>
      </c>
      <c r="S15" s="9" t="s">
        <v>85</v>
      </c>
      <c r="T15" s="9" t="s">
        <v>85</v>
      </c>
      <c r="U15" s="9">
        <v>0.75</v>
      </c>
      <c r="V15" s="9" t="s">
        <v>85</v>
      </c>
      <c r="W15" s="9" t="s">
        <v>85</v>
      </c>
      <c r="X15" s="9" t="s">
        <v>85</v>
      </c>
      <c r="Y15" s="9" t="s">
        <v>85</v>
      </c>
      <c r="Z15" s="9" t="s">
        <v>85</v>
      </c>
      <c r="AA15" s="9" t="s">
        <v>85</v>
      </c>
      <c r="AB15" s="10" t="s">
        <v>85</v>
      </c>
      <c r="AC15" s="10" t="s">
        <v>85</v>
      </c>
      <c r="AD15" s="9">
        <v>0.857143</v>
      </c>
      <c r="AE15" s="9" t="s">
        <v>85</v>
      </c>
      <c r="AF15" s="9" t="s">
        <v>85</v>
      </c>
      <c r="AG15" s="9">
        <v>0.857143</v>
      </c>
      <c r="AH15" s="9" t="s">
        <v>85</v>
      </c>
      <c r="AI15" s="9" t="s">
        <v>85</v>
      </c>
      <c r="AJ15" s="9" t="s">
        <v>85</v>
      </c>
      <c r="AK15" s="9" t="s">
        <v>85</v>
      </c>
      <c r="AL15" s="9" t="s">
        <v>85</v>
      </c>
      <c r="AM15" s="9" t="s">
        <v>85</v>
      </c>
      <c r="AN15" s="9" t="s">
        <v>85</v>
      </c>
      <c r="AO15" s="9" t="s">
        <v>85</v>
      </c>
      <c r="AP15" s="9">
        <v>0.928571</v>
      </c>
      <c r="AQ15" s="9" t="s">
        <v>85</v>
      </c>
      <c r="AR15" s="9" t="s">
        <v>85</v>
      </c>
      <c r="AS15" s="9">
        <v>0.928571</v>
      </c>
      <c r="AT15" s="9" t="s">
        <v>85</v>
      </c>
      <c r="AU15" s="9" t="s">
        <v>85</v>
      </c>
      <c r="AV15" s="9" t="s">
        <v>85</v>
      </c>
      <c r="AW15" s="9" t="s">
        <v>85</v>
      </c>
      <c r="AX15" s="9" t="s">
        <v>85</v>
      </c>
      <c r="AY15" s="9" t="s">
        <v>85</v>
      </c>
      <c r="AZ15" s="9" t="s">
        <v>85</v>
      </c>
      <c r="BA15" s="9" t="s">
        <v>85</v>
      </c>
      <c r="BB15" s="9" t="s">
        <v>85</v>
      </c>
      <c r="BC15" s="10" t="s">
        <v>85</v>
      </c>
      <c r="BD15" s="9" t="s">
        <v>85</v>
      </c>
      <c r="BE15" s="9" t="s">
        <v>85</v>
      </c>
      <c r="BF15" s="10" t="s">
        <v>85</v>
      </c>
      <c r="BG15" s="10" t="s">
        <v>85</v>
      </c>
      <c r="BH15" s="9" t="s">
        <v>85</v>
      </c>
      <c r="BI15" s="6"/>
      <c r="BJ15" s="6" t="str">
        <f t="shared" si="1"/>
        <v>12Bo_One_Acc</v>
      </c>
      <c r="BK15" s="6" t="str">
        <f t="shared" si="2"/>
        <v>12Bo_One_Acc</v>
      </c>
      <c r="BL15" s="6" t="str">
        <f t="shared" si="3"/>
        <v>10Bo_One_Acc</v>
      </c>
      <c r="BM15" s="6"/>
      <c r="BN15" s="6">
        <f t="shared" si="4"/>
        <v>12</v>
      </c>
      <c r="BO15" s="6"/>
      <c r="BP15" s="18" t="s">
        <v>291</v>
      </c>
      <c r="BQ15" s="23">
        <f>CORREL($BN$3:$BN$100,$B$3:$B$100)</f>
        <v>-0.01963819605</v>
      </c>
      <c r="BR15" s="22">
        <v>1.0</v>
      </c>
      <c r="BS15" s="22"/>
      <c r="BT15" s="6"/>
      <c r="BU15" s="6"/>
      <c r="BV15" s="6"/>
      <c r="BW15" s="6"/>
      <c r="BX15" s="6"/>
    </row>
    <row r="16" ht="15.75" customHeight="1">
      <c r="A16" s="1" t="s">
        <v>110</v>
      </c>
      <c r="B16" s="17">
        <v>720.0</v>
      </c>
      <c r="C16" s="17">
        <v>2.0</v>
      </c>
      <c r="D16" s="9" t="s">
        <v>85</v>
      </c>
      <c r="E16" s="9" t="s">
        <v>85</v>
      </c>
      <c r="F16" s="9">
        <v>0.812</v>
      </c>
      <c r="G16" s="9" t="s">
        <v>85</v>
      </c>
      <c r="H16" s="9" t="s">
        <v>85</v>
      </c>
      <c r="I16" s="9">
        <v>0.5</v>
      </c>
      <c r="J16" s="9" t="s">
        <v>85</v>
      </c>
      <c r="K16" s="9" t="s">
        <v>85</v>
      </c>
      <c r="L16" s="9" t="s">
        <v>85</v>
      </c>
      <c r="M16" s="9" t="s">
        <v>85</v>
      </c>
      <c r="N16" s="9" t="s">
        <v>85</v>
      </c>
      <c r="O16" s="9" t="s">
        <v>85</v>
      </c>
      <c r="P16" s="9" t="s">
        <v>85</v>
      </c>
      <c r="Q16" s="9" t="s">
        <v>85</v>
      </c>
      <c r="R16" s="9">
        <v>0.836</v>
      </c>
      <c r="S16" s="9" t="s">
        <v>85</v>
      </c>
      <c r="T16" s="9" t="s">
        <v>85</v>
      </c>
      <c r="U16" s="9">
        <v>0.824</v>
      </c>
      <c r="V16" s="9" t="s">
        <v>85</v>
      </c>
      <c r="W16" s="9" t="s">
        <v>85</v>
      </c>
      <c r="X16" s="9" t="s">
        <v>85</v>
      </c>
      <c r="Y16" s="9" t="s">
        <v>85</v>
      </c>
      <c r="Z16" s="9" t="s">
        <v>85</v>
      </c>
      <c r="AA16" s="9" t="s">
        <v>85</v>
      </c>
      <c r="AB16" s="10" t="s">
        <v>85</v>
      </c>
      <c r="AC16" s="10" t="s">
        <v>85</v>
      </c>
      <c r="AD16" s="9">
        <v>0.824</v>
      </c>
      <c r="AE16" s="9" t="s">
        <v>85</v>
      </c>
      <c r="AF16" s="9" t="s">
        <v>85</v>
      </c>
      <c r="AG16" s="9">
        <v>0.828</v>
      </c>
      <c r="AH16" s="9" t="s">
        <v>85</v>
      </c>
      <c r="AI16" s="9" t="s">
        <v>85</v>
      </c>
      <c r="AJ16" s="9" t="s">
        <v>85</v>
      </c>
      <c r="AK16" s="9" t="s">
        <v>85</v>
      </c>
      <c r="AL16" s="9" t="s">
        <v>85</v>
      </c>
      <c r="AM16" s="9" t="s">
        <v>85</v>
      </c>
      <c r="AN16" s="9" t="s">
        <v>85</v>
      </c>
      <c r="AO16" s="9" t="s">
        <v>85</v>
      </c>
      <c r="AP16" s="9">
        <v>0.8</v>
      </c>
      <c r="AQ16" s="9" t="s">
        <v>85</v>
      </c>
      <c r="AR16" s="9" t="s">
        <v>85</v>
      </c>
      <c r="AS16" s="9">
        <v>0.812</v>
      </c>
      <c r="AT16" s="9" t="s">
        <v>85</v>
      </c>
      <c r="AU16" s="9" t="s">
        <v>85</v>
      </c>
      <c r="AV16" s="9" t="s">
        <v>85</v>
      </c>
      <c r="AW16" s="9" t="s">
        <v>85</v>
      </c>
      <c r="AX16" s="9" t="s">
        <v>85</v>
      </c>
      <c r="AY16" s="9" t="s">
        <v>85</v>
      </c>
      <c r="AZ16" s="9" t="s">
        <v>85</v>
      </c>
      <c r="BA16" s="9" t="s">
        <v>85</v>
      </c>
      <c r="BB16" s="9" t="s">
        <v>85</v>
      </c>
      <c r="BC16" s="10" t="s">
        <v>85</v>
      </c>
      <c r="BD16" s="9" t="s">
        <v>85</v>
      </c>
      <c r="BE16" s="9" t="s">
        <v>85</v>
      </c>
      <c r="BF16" s="10" t="s">
        <v>85</v>
      </c>
      <c r="BG16" s="10" t="s">
        <v>85</v>
      </c>
      <c r="BH16" s="9" t="s">
        <v>85</v>
      </c>
      <c r="BI16" s="6"/>
      <c r="BJ16" s="6" t="str">
        <f t="shared" si="1"/>
        <v>8Bo_One_Acc</v>
      </c>
      <c r="BK16" s="6" t="str">
        <f t="shared" si="2"/>
        <v>10BoN_One_Acc</v>
      </c>
      <c r="BL16" s="6" t="str">
        <f t="shared" si="3"/>
        <v>8BoN_One_Acc</v>
      </c>
      <c r="BM16" s="6"/>
      <c r="BN16" s="6">
        <f t="shared" si="4"/>
        <v>8</v>
      </c>
      <c r="BO16" s="6"/>
      <c r="BP16" s="18" t="s">
        <v>292</v>
      </c>
      <c r="BQ16" s="23">
        <f>CORREL($BN$3:$BN$100,$C$3:$C$100)</f>
        <v>-0.07255388775</v>
      </c>
      <c r="BR16" s="22"/>
      <c r="BS16" s="22">
        <v>1.0</v>
      </c>
      <c r="BT16" s="6"/>
      <c r="BU16" s="6"/>
      <c r="BV16" s="6"/>
      <c r="BW16" s="6"/>
      <c r="BX16" s="6"/>
    </row>
    <row r="17" ht="15.75" customHeight="1">
      <c r="A17" s="1" t="s">
        <v>111</v>
      </c>
      <c r="B17" s="17">
        <v>46.0</v>
      </c>
      <c r="C17" s="17">
        <v>24.0</v>
      </c>
      <c r="D17" s="9" t="s">
        <v>85</v>
      </c>
      <c r="E17" s="9" t="s">
        <v>85</v>
      </c>
      <c r="F17" s="9">
        <v>0.445952</v>
      </c>
      <c r="G17" s="9" t="s">
        <v>85</v>
      </c>
      <c r="H17" s="9" t="s">
        <v>85</v>
      </c>
      <c r="I17" s="9">
        <v>0.041667</v>
      </c>
      <c r="J17" s="9" t="s">
        <v>85</v>
      </c>
      <c r="K17" s="9" t="s">
        <v>85</v>
      </c>
      <c r="L17" s="9" t="s">
        <v>85</v>
      </c>
      <c r="M17" s="9" t="s">
        <v>85</v>
      </c>
      <c r="N17" s="9" t="s">
        <v>85</v>
      </c>
      <c r="O17" s="9" t="s">
        <v>85</v>
      </c>
      <c r="P17" s="9" t="s">
        <v>85</v>
      </c>
      <c r="Q17" s="9" t="s">
        <v>85</v>
      </c>
      <c r="R17" s="9">
        <v>0.352976</v>
      </c>
      <c r="S17" s="9" t="s">
        <v>85</v>
      </c>
      <c r="T17" s="9" t="s">
        <v>85</v>
      </c>
      <c r="U17" s="9">
        <v>0.471131</v>
      </c>
      <c r="V17" s="9" t="s">
        <v>85</v>
      </c>
      <c r="W17" s="9" t="s">
        <v>85</v>
      </c>
      <c r="X17" s="9" t="s">
        <v>85</v>
      </c>
      <c r="Y17" s="9" t="s">
        <v>85</v>
      </c>
      <c r="Z17" s="9" t="s">
        <v>85</v>
      </c>
      <c r="AA17" s="9" t="s">
        <v>85</v>
      </c>
      <c r="AB17" s="10" t="s">
        <v>85</v>
      </c>
      <c r="AC17" s="10" t="s">
        <v>85</v>
      </c>
      <c r="AD17" s="9">
        <v>0.475595</v>
      </c>
      <c r="AE17" s="9" t="s">
        <v>85</v>
      </c>
      <c r="AF17" s="9" t="s">
        <v>85</v>
      </c>
      <c r="AG17" s="9">
        <v>0.224286</v>
      </c>
      <c r="AH17" s="9" t="s">
        <v>85</v>
      </c>
      <c r="AI17" s="9" t="s">
        <v>85</v>
      </c>
      <c r="AJ17" s="9" t="s">
        <v>85</v>
      </c>
      <c r="AK17" s="9" t="s">
        <v>85</v>
      </c>
      <c r="AL17" s="9" t="s">
        <v>85</v>
      </c>
      <c r="AM17" s="9" t="s">
        <v>85</v>
      </c>
      <c r="AN17" s="9" t="s">
        <v>85</v>
      </c>
      <c r="AO17" s="9" t="s">
        <v>85</v>
      </c>
      <c r="AP17" s="9">
        <v>0.560119</v>
      </c>
      <c r="AQ17" s="9" t="s">
        <v>85</v>
      </c>
      <c r="AR17" s="9" t="s">
        <v>85</v>
      </c>
      <c r="AS17" s="9">
        <v>0.472381</v>
      </c>
      <c r="AT17" s="9" t="s">
        <v>85</v>
      </c>
      <c r="AU17" s="9" t="s">
        <v>85</v>
      </c>
      <c r="AV17" s="9" t="s">
        <v>85</v>
      </c>
      <c r="AW17" s="9" t="s">
        <v>85</v>
      </c>
      <c r="AX17" s="9" t="s">
        <v>85</v>
      </c>
      <c r="AY17" s="9" t="s">
        <v>85</v>
      </c>
      <c r="AZ17" s="9" t="s">
        <v>85</v>
      </c>
      <c r="BA17" s="9" t="s">
        <v>85</v>
      </c>
      <c r="BB17" s="9" t="s">
        <v>85</v>
      </c>
      <c r="BC17" s="10" t="s">
        <v>85</v>
      </c>
      <c r="BD17" s="9" t="s">
        <v>85</v>
      </c>
      <c r="BE17" s="9" t="s">
        <v>85</v>
      </c>
      <c r="BF17" s="10" t="s">
        <v>85</v>
      </c>
      <c r="BG17" s="10" t="s">
        <v>85</v>
      </c>
      <c r="BH17" s="9" t="s">
        <v>85</v>
      </c>
      <c r="BI17" s="6"/>
      <c r="BJ17" s="6" t="str">
        <f t="shared" si="1"/>
        <v>12Bo_One_Acc</v>
      </c>
      <c r="BK17" s="6" t="str">
        <f t="shared" si="2"/>
        <v>10Bo_One_Acc</v>
      </c>
      <c r="BL17" s="6" t="str">
        <f t="shared" si="3"/>
        <v>12BoN_One_Acc</v>
      </c>
      <c r="BM17" s="6"/>
      <c r="BN17" s="6">
        <f t="shared" si="4"/>
        <v>12</v>
      </c>
      <c r="BO17" s="6"/>
      <c r="BP17" s="6"/>
      <c r="BQ17" s="6"/>
      <c r="BR17" s="6"/>
      <c r="BS17" s="6"/>
      <c r="BT17" s="6"/>
      <c r="BU17" s="6"/>
      <c r="BV17" s="6"/>
      <c r="BW17" s="6"/>
      <c r="BX17" s="6"/>
    </row>
    <row r="18" ht="15.75" customHeight="1">
      <c r="A18" s="1" t="s">
        <v>112</v>
      </c>
      <c r="B18" s="17">
        <v>345.0</v>
      </c>
      <c r="C18" s="17">
        <v>4.0</v>
      </c>
      <c r="D18" s="9" t="s">
        <v>85</v>
      </c>
      <c r="E18" s="9" t="s">
        <v>85</v>
      </c>
      <c r="F18" s="9">
        <v>0.905229</v>
      </c>
      <c r="G18" s="9" t="s">
        <v>85</v>
      </c>
      <c r="H18" s="9" t="s">
        <v>85</v>
      </c>
      <c r="I18" s="9">
        <v>0.300654</v>
      </c>
      <c r="J18" s="9" t="s">
        <v>85</v>
      </c>
      <c r="K18" s="9" t="s">
        <v>85</v>
      </c>
      <c r="L18" s="9" t="s">
        <v>85</v>
      </c>
      <c r="M18" s="9" t="s">
        <v>85</v>
      </c>
      <c r="N18" s="9" t="s">
        <v>85</v>
      </c>
      <c r="O18" s="9" t="s">
        <v>85</v>
      </c>
      <c r="P18" s="9" t="s">
        <v>85</v>
      </c>
      <c r="Q18" s="9" t="s">
        <v>85</v>
      </c>
      <c r="R18" s="9">
        <v>0.892157</v>
      </c>
      <c r="S18" s="9" t="s">
        <v>85</v>
      </c>
      <c r="T18" s="9" t="s">
        <v>85</v>
      </c>
      <c r="U18" s="9">
        <v>0.905229</v>
      </c>
      <c r="V18" s="9" t="s">
        <v>85</v>
      </c>
      <c r="W18" s="9" t="s">
        <v>85</v>
      </c>
      <c r="X18" s="9" t="s">
        <v>85</v>
      </c>
      <c r="Y18" s="9" t="s">
        <v>85</v>
      </c>
      <c r="Z18" s="9" t="s">
        <v>85</v>
      </c>
      <c r="AA18" s="9" t="s">
        <v>85</v>
      </c>
      <c r="AB18" s="10" t="s">
        <v>85</v>
      </c>
      <c r="AC18" s="10" t="s">
        <v>85</v>
      </c>
      <c r="AD18" s="9">
        <v>0.875817</v>
      </c>
      <c r="AE18" s="9" t="s">
        <v>85</v>
      </c>
      <c r="AF18" s="9" t="s">
        <v>85</v>
      </c>
      <c r="AG18" s="9">
        <v>0.885621</v>
      </c>
      <c r="AH18" s="9" t="s">
        <v>85</v>
      </c>
      <c r="AI18" s="9" t="s">
        <v>85</v>
      </c>
      <c r="AJ18" s="9" t="s">
        <v>85</v>
      </c>
      <c r="AK18" s="9" t="s">
        <v>85</v>
      </c>
      <c r="AL18" s="9" t="s">
        <v>85</v>
      </c>
      <c r="AM18" s="9" t="s">
        <v>85</v>
      </c>
      <c r="AN18" s="9" t="s">
        <v>85</v>
      </c>
      <c r="AO18" s="9" t="s">
        <v>85</v>
      </c>
      <c r="AP18" s="9">
        <v>0.888889</v>
      </c>
      <c r="AQ18" s="9" t="s">
        <v>85</v>
      </c>
      <c r="AR18" s="9" t="s">
        <v>85</v>
      </c>
      <c r="AS18" s="9">
        <v>0.901961</v>
      </c>
      <c r="AT18" s="9" t="s">
        <v>85</v>
      </c>
      <c r="AU18" s="9" t="s">
        <v>85</v>
      </c>
      <c r="AV18" s="9" t="s">
        <v>85</v>
      </c>
      <c r="AW18" s="9" t="s">
        <v>85</v>
      </c>
      <c r="AX18" s="9" t="s">
        <v>85</v>
      </c>
      <c r="AY18" s="9" t="s">
        <v>85</v>
      </c>
      <c r="AZ18" s="9" t="s">
        <v>85</v>
      </c>
      <c r="BA18" s="9" t="s">
        <v>85</v>
      </c>
      <c r="BB18" s="9" t="s">
        <v>85</v>
      </c>
      <c r="BC18" s="10" t="s">
        <v>85</v>
      </c>
      <c r="BD18" s="9" t="s">
        <v>85</v>
      </c>
      <c r="BE18" s="9" t="s">
        <v>85</v>
      </c>
      <c r="BF18" s="10" t="s">
        <v>85</v>
      </c>
      <c r="BG18" s="10" t="s">
        <v>85</v>
      </c>
      <c r="BH18" s="9" t="s">
        <v>85</v>
      </c>
      <c r="BI18" s="6"/>
      <c r="BJ18" s="6" t="str">
        <f t="shared" si="1"/>
        <v>5Bo_One_Acc</v>
      </c>
      <c r="BK18" s="6" t="str">
        <f t="shared" si="2"/>
        <v>5Bo_One_Acc</v>
      </c>
      <c r="BL18" s="6" t="str">
        <f t="shared" si="3"/>
        <v>12BoN_One_Acc</v>
      </c>
      <c r="BM18" s="6"/>
      <c r="BN18" s="6">
        <f t="shared" si="4"/>
        <v>5</v>
      </c>
      <c r="BO18" s="6"/>
      <c r="BP18" s="6"/>
      <c r="BQ18" s="6"/>
      <c r="BR18" s="6"/>
      <c r="BS18" s="6"/>
      <c r="BT18" s="6"/>
      <c r="BU18" s="6"/>
      <c r="BV18" s="6"/>
      <c r="BW18" s="6"/>
      <c r="BX18" s="6"/>
    </row>
    <row r="19" ht="15.75" customHeight="1">
      <c r="A19" s="1" t="s">
        <v>113</v>
      </c>
      <c r="B19" s="17">
        <v>80.0</v>
      </c>
      <c r="C19" s="17">
        <v>3.0</v>
      </c>
      <c r="D19" s="9" t="s">
        <v>85</v>
      </c>
      <c r="E19" s="9" t="s">
        <v>85</v>
      </c>
      <c r="F19" s="9">
        <v>0.625899</v>
      </c>
      <c r="G19" s="9" t="s">
        <v>85</v>
      </c>
      <c r="H19" s="9" t="s">
        <v>85</v>
      </c>
      <c r="I19" s="9">
        <v>0.467626</v>
      </c>
      <c r="J19" s="9" t="s">
        <v>85</v>
      </c>
      <c r="K19" s="9" t="s">
        <v>85</v>
      </c>
      <c r="L19" s="9" t="s">
        <v>85</v>
      </c>
      <c r="M19" s="9" t="s">
        <v>85</v>
      </c>
      <c r="N19" s="9" t="s">
        <v>85</v>
      </c>
      <c r="O19" s="9" t="s">
        <v>85</v>
      </c>
      <c r="P19" s="9" t="s">
        <v>85</v>
      </c>
      <c r="Q19" s="9" t="s">
        <v>85</v>
      </c>
      <c r="R19" s="9">
        <v>0.640288</v>
      </c>
      <c r="S19" s="9" t="s">
        <v>85</v>
      </c>
      <c r="T19" s="9" t="s">
        <v>85</v>
      </c>
      <c r="U19" s="9">
        <v>0.705036</v>
      </c>
      <c r="V19" s="9" t="s">
        <v>85</v>
      </c>
      <c r="W19" s="9" t="s">
        <v>85</v>
      </c>
      <c r="X19" s="9" t="s">
        <v>85</v>
      </c>
      <c r="Y19" s="9" t="s">
        <v>85</v>
      </c>
      <c r="Z19" s="9" t="s">
        <v>85</v>
      </c>
      <c r="AA19" s="9" t="s">
        <v>85</v>
      </c>
      <c r="AB19" s="10" t="s">
        <v>85</v>
      </c>
      <c r="AC19" s="10" t="s">
        <v>85</v>
      </c>
      <c r="AD19" s="9">
        <v>0.676259</v>
      </c>
      <c r="AE19" s="9" t="s">
        <v>85</v>
      </c>
      <c r="AF19" s="9" t="s">
        <v>85</v>
      </c>
      <c r="AG19" s="9">
        <v>0.669065</v>
      </c>
      <c r="AH19" s="9" t="s">
        <v>85</v>
      </c>
      <c r="AI19" s="9" t="s">
        <v>85</v>
      </c>
      <c r="AJ19" s="9" t="s">
        <v>85</v>
      </c>
      <c r="AK19" s="9" t="s">
        <v>85</v>
      </c>
      <c r="AL19" s="9" t="s">
        <v>85</v>
      </c>
      <c r="AM19" s="9" t="s">
        <v>85</v>
      </c>
      <c r="AN19" s="9" t="s">
        <v>85</v>
      </c>
      <c r="AO19" s="9" t="s">
        <v>85</v>
      </c>
      <c r="AP19" s="9">
        <v>0.690647</v>
      </c>
      <c r="AQ19" s="9" t="s">
        <v>85</v>
      </c>
      <c r="AR19" s="9" t="s">
        <v>85</v>
      </c>
      <c r="AS19" s="9">
        <v>0.66187</v>
      </c>
      <c r="AT19" s="9" t="s">
        <v>85</v>
      </c>
      <c r="AU19" s="9" t="s">
        <v>85</v>
      </c>
      <c r="AV19" s="9" t="s">
        <v>85</v>
      </c>
      <c r="AW19" s="9" t="s">
        <v>85</v>
      </c>
      <c r="AX19" s="9" t="s">
        <v>85</v>
      </c>
      <c r="AY19" s="9" t="s">
        <v>85</v>
      </c>
      <c r="AZ19" s="9" t="s">
        <v>85</v>
      </c>
      <c r="BA19" s="9" t="s">
        <v>85</v>
      </c>
      <c r="BB19" s="9" t="s">
        <v>85</v>
      </c>
      <c r="BC19" s="10" t="s">
        <v>85</v>
      </c>
      <c r="BD19" s="9" t="s">
        <v>85</v>
      </c>
      <c r="BE19" s="9" t="s">
        <v>85</v>
      </c>
      <c r="BF19" s="10" t="s">
        <v>85</v>
      </c>
      <c r="BG19" s="10" t="s">
        <v>85</v>
      </c>
      <c r="BH19" s="9" t="s">
        <v>85</v>
      </c>
      <c r="BI19" s="6"/>
      <c r="BJ19" s="6" t="str">
        <f t="shared" si="1"/>
        <v>8BoN_One_Acc</v>
      </c>
      <c r="BK19" s="6" t="str">
        <f t="shared" si="2"/>
        <v>12Bo_One_Acc</v>
      </c>
      <c r="BL19" s="6" t="str">
        <f t="shared" si="3"/>
        <v>10Bo_One_Acc</v>
      </c>
      <c r="BM19" s="6"/>
      <c r="BN19" s="6">
        <f t="shared" si="4"/>
        <v>8</v>
      </c>
      <c r="BO19" s="6"/>
      <c r="BP19" s="6"/>
      <c r="BQ19" s="6"/>
      <c r="BR19" s="6"/>
      <c r="BT19" s="6"/>
      <c r="BU19" s="6"/>
      <c r="BV19" s="6"/>
      <c r="BW19" s="6"/>
      <c r="BX19" s="6"/>
    </row>
    <row r="20" ht="15.75" customHeight="1">
      <c r="A20" s="1" t="s">
        <v>114</v>
      </c>
      <c r="B20" s="17">
        <v>80.0</v>
      </c>
      <c r="C20" s="17">
        <v>2.0</v>
      </c>
      <c r="D20" s="9" t="s">
        <v>85</v>
      </c>
      <c r="E20" s="9" t="s">
        <v>85</v>
      </c>
      <c r="F20" s="9">
        <v>0.724638</v>
      </c>
      <c r="G20" s="9" t="s">
        <v>85</v>
      </c>
      <c r="H20" s="9" t="s">
        <v>85</v>
      </c>
      <c r="I20" s="9">
        <v>0.583333</v>
      </c>
      <c r="J20" s="9" t="s">
        <v>85</v>
      </c>
      <c r="K20" s="9" t="s">
        <v>85</v>
      </c>
      <c r="L20" s="9" t="s">
        <v>85</v>
      </c>
      <c r="M20" s="9" t="s">
        <v>85</v>
      </c>
      <c r="N20" s="9" t="s">
        <v>85</v>
      </c>
      <c r="O20" s="9" t="s">
        <v>85</v>
      </c>
      <c r="P20" s="9" t="s">
        <v>85</v>
      </c>
      <c r="Q20" s="9" t="s">
        <v>85</v>
      </c>
      <c r="R20" s="9">
        <v>0.713768</v>
      </c>
      <c r="S20" s="9" t="s">
        <v>85</v>
      </c>
      <c r="T20" s="9" t="s">
        <v>85</v>
      </c>
      <c r="U20" s="9">
        <v>0.695652</v>
      </c>
      <c r="V20" s="9" t="s">
        <v>85</v>
      </c>
      <c r="W20" s="9" t="s">
        <v>85</v>
      </c>
      <c r="X20" s="9" t="s">
        <v>85</v>
      </c>
      <c r="Y20" s="9" t="s">
        <v>85</v>
      </c>
      <c r="Z20" s="9" t="s">
        <v>85</v>
      </c>
      <c r="AA20" s="9" t="s">
        <v>85</v>
      </c>
      <c r="AB20" s="10" t="s">
        <v>85</v>
      </c>
      <c r="AC20" s="10" t="s">
        <v>85</v>
      </c>
      <c r="AD20" s="9">
        <v>0.75</v>
      </c>
      <c r="AE20" s="9" t="s">
        <v>85</v>
      </c>
      <c r="AF20" s="9" t="s">
        <v>85</v>
      </c>
      <c r="AG20" s="9">
        <v>0.742754</v>
      </c>
      <c r="AH20" s="9" t="s">
        <v>85</v>
      </c>
      <c r="AI20" s="9" t="s">
        <v>85</v>
      </c>
      <c r="AJ20" s="9" t="s">
        <v>85</v>
      </c>
      <c r="AK20" s="9" t="s">
        <v>85</v>
      </c>
      <c r="AL20" s="9" t="s">
        <v>85</v>
      </c>
      <c r="AM20" s="9" t="s">
        <v>85</v>
      </c>
      <c r="AN20" s="9" t="s">
        <v>85</v>
      </c>
      <c r="AO20" s="9" t="s">
        <v>85</v>
      </c>
      <c r="AP20" s="9">
        <v>0.764493</v>
      </c>
      <c r="AQ20" s="9" t="s">
        <v>85</v>
      </c>
      <c r="AR20" s="9" t="s">
        <v>85</v>
      </c>
      <c r="AS20" s="9">
        <v>0.753623</v>
      </c>
      <c r="AT20" s="9" t="s">
        <v>85</v>
      </c>
      <c r="AU20" s="9" t="s">
        <v>85</v>
      </c>
      <c r="AV20" s="9" t="s">
        <v>85</v>
      </c>
      <c r="AW20" s="9" t="s">
        <v>85</v>
      </c>
      <c r="AX20" s="9" t="s">
        <v>85</v>
      </c>
      <c r="AY20" s="9" t="s">
        <v>85</v>
      </c>
      <c r="AZ20" s="9" t="s">
        <v>85</v>
      </c>
      <c r="BA20" s="9" t="s">
        <v>85</v>
      </c>
      <c r="BB20" s="9" t="s">
        <v>85</v>
      </c>
      <c r="BC20" s="10" t="s">
        <v>85</v>
      </c>
      <c r="BD20" s="9" t="s">
        <v>85</v>
      </c>
      <c r="BE20" s="9" t="s">
        <v>85</v>
      </c>
      <c r="BF20" s="10" t="s">
        <v>85</v>
      </c>
      <c r="BG20" s="10" t="s">
        <v>85</v>
      </c>
      <c r="BH20" s="9" t="s">
        <v>85</v>
      </c>
      <c r="BI20" s="6"/>
      <c r="BJ20" s="6" t="str">
        <f t="shared" si="1"/>
        <v>12Bo_One_Acc</v>
      </c>
      <c r="BK20" s="6" t="str">
        <f t="shared" si="2"/>
        <v>12BoN_One_Acc</v>
      </c>
      <c r="BL20" s="6" t="str">
        <f t="shared" si="3"/>
        <v>10Bo_One_Acc</v>
      </c>
      <c r="BM20" s="6"/>
      <c r="BN20" s="6">
        <f t="shared" si="4"/>
        <v>12</v>
      </c>
      <c r="BO20" s="6"/>
      <c r="BP20" s="6"/>
      <c r="BQ20" s="6"/>
      <c r="BR20" s="6"/>
      <c r="BT20" s="6"/>
      <c r="BU20" s="6"/>
      <c r="BV20" s="6"/>
      <c r="BW20" s="6"/>
      <c r="BX20" s="6"/>
    </row>
    <row r="21" ht="15.75" customHeight="1">
      <c r="A21" s="1" t="s">
        <v>115</v>
      </c>
      <c r="B21" s="17">
        <v>80.0</v>
      </c>
      <c r="C21" s="17">
        <v>6.0</v>
      </c>
      <c r="D21" s="9" t="s">
        <v>85</v>
      </c>
      <c r="E21" s="9" t="s">
        <v>85</v>
      </c>
      <c r="F21" s="9">
        <v>0.582734</v>
      </c>
      <c r="G21" s="9" t="s">
        <v>85</v>
      </c>
      <c r="H21" s="9" t="s">
        <v>85</v>
      </c>
      <c r="I21" s="9">
        <v>0.302158</v>
      </c>
      <c r="J21" s="9" t="s">
        <v>85</v>
      </c>
      <c r="K21" s="9" t="s">
        <v>85</v>
      </c>
      <c r="L21" s="9" t="s">
        <v>85</v>
      </c>
      <c r="M21" s="9" t="s">
        <v>85</v>
      </c>
      <c r="N21" s="9" t="s">
        <v>85</v>
      </c>
      <c r="O21" s="9" t="s">
        <v>85</v>
      </c>
      <c r="P21" s="9" t="s">
        <v>85</v>
      </c>
      <c r="Q21" s="9" t="s">
        <v>85</v>
      </c>
      <c r="R21" s="9">
        <v>0.640288</v>
      </c>
      <c r="S21" s="9" t="s">
        <v>85</v>
      </c>
      <c r="T21" s="9" t="s">
        <v>85</v>
      </c>
      <c r="U21" s="9">
        <v>0.597122</v>
      </c>
      <c r="V21" s="9" t="s">
        <v>85</v>
      </c>
      <c r="W21" s="9" t="s">
        <v>85</v>
      </c>
      <c r="X21" s="9" t="s">
        <v>85</v>
      </c>
      <c r="Y21" s="9" t="s">
        <v>85</v>
      </c>
      <c r="Z21" s="9" t="s">
        <v>85</v>
      </c>
      <c r="AA21" s="9" t="s">
        <v>85</v>
      </c>
      <c r="AB21" s="10" t="s">
        <v>85</v>
      </c>
      <c r="AC21" s="10" t="s">
        <v>85</v>
      </c>
      <c r="AD21" s="9">
        <v>0.654676</v>
      </c>
      <c r="AE21" s="9" t="s">
        <v>85</v>
      </c>
      <c r="AF21" s="9" t="s">
        <v>85</v>
      </c>
      <c r="AG21" s="9">
        <v>0.633094</v>
      </c>
      <c r="AH21" s="9" t="s">
        <v>85</v>
      </c>
      <c r="AI21" s="9" t="s">
        <v>85</v>
      </c>
      <c r="AJ21" s="9" t="s">
        <v>85</v>
      </c>
      <c r="AK21" s="9" t="s">
        <v>85</v>
      </c>
      <c r="AL21" s="9" t="s">
        <v>85</v>
      </c>
      <c r="AM21" s="9" t="s">
        <v>85</v>
      </c>
      <c r="AN21" s="9" t="s">
        <v>85</v>
      </c>
      <c r="AO21" s="9" t="s">
        <v>85</v>
      </c>
      <c r="AP21" s="9">
        <v>0.690647</v>
      </c>
      <c r="AQ21" s="9" t="s">
        <v>85</v>
      </c>
      <c r="AR21" s="9" t="s">
        <v>85</v>
      </c>
      <c r="AS21" s="9">
        <v>0.654676</v>
      </c>
      <c r="AT21" s="9" t="s">
        <v>85</v>
      </c>
      <c r="AU21" s="9" t="s">
        <v>85</v>
      </c>
      <c r="AV21" s="9" t="s">
        <v>85</v>
      </c>
      <c r="AW21" s="9" t="s">
        <v>85</v>
      </c>
      <c r="AX21" s="9" t="s">
        <v>85</v>
      </c>
      <c r="AY21" s="9" t="s">
        <v>85</v>
      </c>
      <c r="AZ21" s="9" t="s">
        <v>85</v>
      </c>
      <c r="BA21" s="9" t="s">
        <v>85</v>
      </c>
      <c r="BB21" s="9" t="s">
        <v>85</v>
      </c>
      <c r="BC21" s="10" t="s">
        <v>85</v>
      </c>
      <c r="BD21" s="9" t="s">
        <v>85</v>
      </c>
      <c r="BE21" s="9" t="s">
        <v>85</v>
      </c>
      <c r="BF21" s="10" t="s">
        <v>85</v>
      </c>
      <c r="BG21" s="10" t="s">
        <v>85</v>
      </c>
      <c r="BH21" s="9" t="s">
        <v>85</v>
      </c>
      <c r="BI21" s="6"/>
      <c r="BJ21" s="6" t="str">
        <f t="shared" si="1"/>
        <v>12Bo_One_Acc</v>
      </c>
      <c r="BK21" s="6" t="str">
        <f t="shared" si="2"/>
        <v>10Bo_One_Acc</v>
      </c>
      <c r="BL21" s="6" t="str">
        <f t="shared" si="3"/>
        <v>10Bo_One_Acc</v>
      </c>
      <c r="BM21" s="6"/>
      <c r="BN21" s="6">
        <f t="shared" si="4"/>
        <v>12</v>
      </c>
      <c r="BO21" s="6"/>
      <c r="BP21" s="6"/>
      <c r="BQ21" s="6"/>
      <c r="BR21" s="6"/>
      <c r="BS21" s="6"/>
      <c r="BT21" s="6"/>
      <c r="BU21" s="6"/>
      <c r="BV21" s="6"/>
      <c r="BW21" s="6"/>
      <c r="BX21" s="6"/>
    </row>
    <row r="22" ht="15.75" customHeight="1">
      <c r="A22" s="1" t="s">
        <v>116</v>
      </c>
      <c r="B22" s="17">
        <v>512.0</v>
      </c>
      <c r="C22" s="17">
        <v>2.0</v>
      </c>
      <c r="D22" s="9" t="s">
        <v>85</v>
      </c>
      <c r="E22" s="9" t="s">
        <v>85</v>
      </c>
      <c r="F22" s="9">
        <v>0.741007</v>
      </c>
      <c r="G22" s="9" t="s">
        <v>85</v>
      </c>
      <c r="H22" s="9" t="s">
        <v>85</v>
      </c>
      <c r="I22" s="9">
        <v>0.748201</v>
      </c>
      <c r="J22" s="9" t="s">
        <v>85</v>
      </c>
      <c r="K22" s="9" t="s">
        <v>85</v>
      </c>
      <c r="L22" s="9" t="s">
        <v>85</v>
      </c>
      <c r="M22" s="9" t="s">
        <v>85</v>
      </c>
      <c r="N22" s="9" t="s">
        <v>85</v>
      </c>
      <c r="O22" s="9" t="s">
        <v>85</v>
      </c>
      <c r="P22" s="9" t="s">
        <v>85</v>
      </c>
      <c r="Q22" s="9" t="s">
        <v>85</v>
      </c>
      <c r="R22" s="9">
        <v>0.748201</v>
      </c>
      <c r="S22" s="9" t="s">
        <v>85</v>
      </c>
      <c r="T22" s="9" t="s">
        <v>85</v>
      </c>
      <c r="U22" s="9">
        <v>0.748201</v>
      </c>
      <c r="V22" s="9" t="s">
        <v>85</v>
      </c>
      <c r="W22" s="9" t="s">
        <v>85</v>
      </c>
      <c r="X22" s="9" t="s">
        <v>85</v>
      </c>
      <c r="Y22" s="9" t="s">
        <v>85</v>
      </c>
      <c r="Z22" s="9" t="s">
        <v>85</v>
      </c>
      <c r="AA22" s="9" t="s">
        <v>85</v>
      </c>
      <c r="AB22" s="10" t="s">
        <v>85</v>
      </c>
      <c r="AC22" s="10" t="s">
        <v>85</v>
      </c>
      <c r="AD22" s="9">
        <v>0.741007</v>
      </c>
      <c r="AE22" s="9" t="s">
        <v>85</v>
      </c>
      <c r="AF22" s="9" t="s">
        <v>85</v>
      </c>
      <c r="AG22" s="9">
        <v>0.748201</v>
      </c>
      <c r="AH22" s="9" t="s">
        <v>85</v>
      </c>
      <c r="AI22" s="9" t="s">
        <v>85</v>
      </c>
      <c r="AJ22" s="9" t="s">
        <v>85</v>
      </c>
      <c r="AK22" s="9" t="s">
        <v>85</v>
      </c>
      <c r="AL22" s="9" t="s">
        <v>85</v>
      </c>
      <c r="AM22" s="9" t="s">
        <v>85</v>
      </c>
      <c r="AN22" s="9" t="s">
        <v>85</v>
      </c>
      <c r="AO22" s="9" t="s">
        <v>85</v>
      </c>
      <c r="AP22" s="9">
        <v>0.705036</v>
      </c>
      <c r="AQ22" s="9" t="s">
        <v>85</v>
      </c>
      <c r="AR22" s="9" t="s">
        <v>85</v>
      </c>
      <c r="AS22" s="9">
        <v>0.748201</v>
      </c>
      <c r="AT22" s="9" t="s">
        <v>85</v>
      </c>
      <c r="AU22" s="9" t="s">
        <v>85</v>
      </c>
      <c r="AV22" s="9" t="s">
        <v>85</v>
      </c>
      <c r="AW22" s="9" t="s">
        <v>85</v>
      </c>
      <c r="AX22" s="9" t="s">
        <v>85</v>
      </c>
      <c r="AY22" s="9" t="s">
        <v>85</v>
      </c>
      <c r="AZ22" s="9" t="s">
        <v>85</v>
      </c>
      <c r="BA22" s="9" t="s">
        <v>85</v>
      </c>
      <c r="BB22" s="9" t="s">
        <v>85</v>
      </c>
      <c r="BC22" s="10" t="s">
        <v>85</v>
      </c>
      <c r="BD22" s="9" t="s">
        <v>85</v>
      </c>
      <c r="BE22" s="9" t="s">
        <v>85</v>
      </c>
      <c r="BF22" s="10" t="s">
        <v>85</v>
      </c>
      <c r="BG22" s="10" t="s">
        <v>85</v>
      </c>
      <c r="BH22" s="9" t="s">
        <v>85</v>
      </c>
      <c r="BI22" s="6"/>
      <c r="BJ22" s="6" t="str">
        <f t="shared" si="1"/>
        <v>5BoN_One_Acc</v>
      </c>
      <c r="BK22" s="6" t="str">
        <f t="shared" si="2"/>
        <v>5BoN_One_Acc</v>
      </c>
      <c r="BL22" s="6" t="str">
        <f t="shared" si="3"/>
        <v>5BoN_One_Acc</v>
      </c>
      <c r="BM22" s="6"/>
      <c r="BN22" s="6">
        <f t="shared" si="4"/>
        <v>5</v>
      </c>
      <c r="BO22" s="6"/>
      <c r="BP22" s="6"/>
      <c r="BQ22" s="6"/>
      <c r="BR22" s="6"/>
      <c r="BS22" s="6"/>
      <c r="BT22" s="6"/>
      <c r="BU22" s="6"/>
      <c r="BV22" s="6"/>
      <c r="BW22" s="6"/>
      <c r="BX22" s="6"/>
    </row>
    <row r="23" ht="15.75" customHeight="1">
      <c r="A23" s="1" t="s">
        <v>117</v>
      </c>
      <c r="B23" s="17">
        <v>96.0</v>
      </c>
      <c r="C23" s="17">
        <v>2.0</v>
      </c>
      <c r="D23" s="9" t="s">
        <v>85</v>
      </c>
      <c r="E23" s="9" t="s">
        <v>85</v>
      </c>
      <c r="F23" s="9">
        <v>0.64</v>
      </c>
      <c r="G23" s="9" t="s">
        <v>85</v>
      </c>
      <c r="H23" s="9" t="s">
        <v>85</v>
      </c>
      <c r="I23" s="9">
        <v>0.64</v>
      </c>
      <c r="J23" s="9" t="s">
        <v>85</v>
      </c>
      <c r="K23" s="9" t="s">
        <v>85</v>
      </c>
      <c r="L23" s="9" t="s">
        <v>85</v>
      </c>
      <c r="M23" s="9" t="s">
        <v>85</v>
      </c>
      <c r="N23" s="9" t="s">
        <v>85</v>
      </c>
      <c r="O23" s="9" t="s">
        <v>85</v>
      </c>
      <c r="P23" s="9" t="s">
        <v>85</v>
      </c>
      <c r="Q23" s="9" t="s">
        <v>85</v>
      </c>
      <c r="R23" s="9">
        <v>0.64</v>
      </c>
      <c r="S23" s="9" t="s">
        <v>85</v>
      </c>
      <c r="T23" s="9" t="s">
        <v>85</v>
      </c>
      <c r="U23" s="9">
        <v>0.64</v>
      </c>
      <c r="V23" s="9" t="s">
        <v>85</v>
      </c>
      <c r="W23" s="9" t="s">
        <v>85</v>
      </c>
      <c r="X23" s="9" t="s">
        <v>85</v>
      </c>
      <c r="Y23" s="9" t="s">
        <v>85</v>
      </c>
      <c r="Z23" s="9" t="s">
        <v>85</v>
      </c>
      <c r="AA23" s="9" t="s">
        <v>85</v>
      </c>
      <c r="AB23" s="10" t="s">
        <v>85</v>
      </c>
      <c r="AC23" s="10" t="s">
        <v>85</v>
      </c>
      <c r="AD23" s="9">
        <v>0.64</v>
      </c>
      <c r="AE23" s="9" t="s">
        <v>85</v>
      </c>
      <c r="AF23" s="9" t="s">
        <v>85</v>
      </c>
      <c r="AG23" s="9">
        <v>0.64</v>
      </c>
      <c r="AH23" s="9" t="s">
        <v>85</v>
      </c>
      <c r="AI23" s="9" t="s">
        <v>85</v>
      </c>
      <c r="AJ23" s="9" t="s">
        <v>85</v>
      </c>
      <c r="AK23" s="9" t="s">
        <v>85</v>
      </c>
      <c r="AL23" s="9" t="s">
        <v>85</v>
      </c>
      <c r="AM23" s="9" t="s">
        <v>85</v>
      </c>
      <c r="AN23" s="9" t="s">
        <v>85</v>
      </c>
      <c r="AO23" s="9" t="s">
        <v>85</v>
      </c>
      <c r="AP23" s="9">
        <v>0.64</v>
      </c>
      <c r="AQ23" s="9" t="s">
        <v>85</v>
      </c>
      <c r="AR23" s="9" t="s">
        <v>85</v>
      </c>
      <c r="AS23" s="9">
        <v>0.64</v>
      </c>
      <c r="AT23" s="9" t="s">
        <v>85</v>
      </c>
      <c r="AU23" s="9" t="s">
        <v>85</v>
      </c>
      <c r="AV23" s="9" t="s">
        <v>85</v>
      </c>
      <c r="AW23" s="9" t="s">
        <v>85</v>
      </c>
      <c r="AX23" s="9" t="s">
        <v>85</v>
      </c>
      <c r="AY23" s="9" t="s">
        <v>85</v>
      </c>
      <c r="AZ23" s="9" t="s">
        <v>85</v>
      </c>
      <c r="BA23" s="9" t="s">
        <v>85</v>
      </c>
      <c r="BB23" s="9" t="s">
        <v>85</v>
      </c>
      <c r="BC23" s="10" t="s">
        <v>85</v>
      </c>
      <c r="BD23" s="9" t="s">
        <v>85</v>
      </c>
      <c r="BE23" s="9" t="s">
        <v>85</v>
      </c>
      <c r="BF23" s="10" t="s">
        <v>85</v>
      </c>
      <c r="BG23" s="10" t="s">
        <v>85</v>
      </c>
      <c r="BH23" s="9" t="s">
        <v>85</v>
      </c>
      <c r="BI23" s="6"/>
      <c r="BJ23" s="6" t="str">
        <f t="shared" si="1"/>
        <v>5Bo_One_Acc</v>
      </c>
      <c r="BK23" s="6" t="str">
        <f t="shared" si="2"/>
        <v>5Bo_One_Acc</v>
      </c>
      <c r="BL23" s="6" t="str">
        <f t="shared" si="3"/>
        <v>5Bo_One_Acc</v>
      </c>
      <c r="BM23" s="6"/>
      <c r="BN23" s="6">
        <f t="shared" si="4"/>
        <v>5</v>
      </c>
      <c r="BO23" s="6"/>
      <c r="BP23" s="6"/>
      <c r="BQ23" s="6"/>
      <c r="BR23" s="6"/>
      <c r="BS23" s="6"/>
      <c r="BT23" s="6"/>
      <c r="BU23" s="6"/>
      <c r="BV23" s="6"/>
      <c r="BW23" s="6"/>
      <c r="BX23" s="6"/>
    </row>
    <row r="24" ht="15.75" customHeight="1">
      <c r="A24" s="1" t="s">
        <v>118</v>
      </c>
      <c r="B24" s="17">
        <v>140.0</v>
      </c>
      <c r="C24" s="17">
        <v>5.0</v>
      </c>
      <c r="D24" s="9" t="s">
        <v>85</v>
      </c>
      <c r="E24" s="9" t="s">
        <v>85</v>
      </c>
      <c r="F24" s="9">
        <v>0.922444</v>
      </c>
      <c r="G24" s="9" t="s">
        <v>85</v>
      </c>
      <c r="H24" s="9" t="s">
        <v>85</v>
      </c>
      <c r="I24" s="9">
        <v>0.583778</v>
      </c>
      <c r="J24" s="9" t="s">
        <v>85</v>
      </c>
      <c r="K24" s="9" t="s">
        <v>85</v>
      </c>
      <c r="L24" s="9" t="s">
        <v>85</v>
      </c>
      <c r="M24" s="9" t="s">
        <v>85</v>
      </c>
      <c r="N24" s="9" t="s">
        <v>85</v>
      </c>
      <c r="O24" s="9" t="s">
        <v>85</v>
      </c>
      <c r="P24" s="9" t="s">
        <v>85</v>
      </c>
      <c r="Q24" s="9" t="s">
        <v>85</v>
      </c>
      <c r="R24" s="9">
        <v>0.922</v>
      </c>
      <c r="S24" s="9" t="s">
        <v>85</v>
      </c>
      <c r="T24" s="9" t="s">
        <v>85</v>
      </c>
      <c r="U24" s="9">
        <v>0.922</v>
      </c>
      <c r="V24" s="9" t="s">
        <v>85</v>
      </c>
      <c r="W24" s="9" t="s">
        <v>85</v>
      </c>
      <c r="X24" s="9" t="s">
        <v>85</v>
      </c>
      <c r="Y24" s="9" t="s">
        <v>85</v>
      </c>
      <c r="Z24" s="9" t="s">
        <v>85</v>
      </c>
      <c r="AA24" s="9" t="s">
        <v>85</v>
      </c>
      <c r="AB24" s="10" t="s">
        <v>85</v>
      </c>
      <c r="AC24" s="10" t="s">
        <v>85</v>
      </c>
      <c r="AD24" s="9">
        <v>0.928444</v>
      </c>
      <c r="AE24" s="9" t="s">
        <v>85</v>
      </c>
      <c r="AF24" s="9" t="s">
        <v>85</v>
      </c>
      <c r="AG24" s="9">
        <v>0.924889</v>
      </c>
      <c r="AH24" s="9" t="s">
        <v>85</v>
      </c>
      <c r="AI24" s="9" t="s">
        <v>85</v>
      </c>
      <c r="AJ24" s="9" t="s">
        <v>85</v>
      </c>
      <c r="AK24" s="9" t="s">
        <v>85</v>
      </c>
      <c r="AL24" s="9" t="s">
        <v>85</v>
      </c>
      <c r="AM24" s="9" t="s">
        <v>85</v>
      </c>
      <c r="AN24" s="9" t="s">
        <v>85</v>
      </c>
      <c r="AO24" s="9" t="s">
        <v>85</v>
      </c>
      <c r="AP24" s="9">
        <v>0.928222</v>
      </c>
      <c r="AQ24" s="9" t="s">
        <v>85</v>
      </c>
      <c r="AR24" s="9" t="s">
        <v>85</v>
      </c>
      <c r="AS24" s="9">
        <v>0.925333</v>
      </c>
      <c r="AT24" s="9" t="s">
        <v>85</v>
      </c>
      <c r="AU24" s="9" t="s">
        <v>85</v>
      </c>
      <c r="AV24" s="9" t="s">
        <v>85</v>
      </c>
      <c r="AW24" s="9" t="s">
        <v>85</v>
      </c>
      <c r="AX24" s="9" t="s">
        <v>85</v>
      </c>
      <c r="AY24" s="9" t="s">
        <v>85</v>
      </c>
      <c r="AZ24" s="9" t="s">
        <v>85</v>
      </c>
      <c r="BA24" s="9" t="s">
        <v>85</v>
      </c>
      <c r="BB24" s="9" t="s">
        <v>85</v>
      </c>
      <c r="BC24" s="10" t="s">
        <v>85</v>
      </c>
      <c r="BD24" s="9" t="s">
        <v>85</v>
      </c>
      <c r="BE24" s="9" t="s">
        <v>85</v>
      </c>
      <c r="BF24" s="10" t="s">
        <v>85</v>
      </c>
      <c r="BG24" s="10" t="s">
        <v>85</v>
      </c>
      <c r="BH24" s="9" t="s">
        <v>85</v>
      </c>
      <c r="BI24" s="6"/>
      <c r="BJ24" s="6" t="str">
        <f t="shared" si="1"/>
        <v>10Bo_One_Acc</v>
      </c>
      <c r="BK24" s="6" t="str">
        <f t="shared" si="2"/>
        <v>12Bo_One_Acc</v>
      </c>
      <c r="BL24" s="6" t="str">
        <f t="shared" si="3"/>
        <v>12BoN_One_Acc</v>
      </c>
      <c r="BM24" s="6"/>
      <c r="BN24" s="6">
        <f t="shared" si="4"/>
        <v>10</v>
      </c>
      <c r="BO24" s="6"/>
      <c r="BP24" s="6"/>
      <c r="BR24" s="6"/>
      <c r="BS24" s="6"/>
      <c r="BT24" s="6"/>
      <c r="BU24" s="6"/>
      <c r="BV24" s="6"/>
      <c r="BW24" s="6"/>
      <c r="BX24" s="6"/>
    </row>
    <row r="25" ht="15.75" customHeight="1">
      <c r="A25" s="1" t="s">
        <v>119</v>
      </c>
      <c r="B25" s="17">
        <v>136.0</v>
      </c>
      <c r="C25" s="17">
        <v>2.0</v>
      </c>
      <c r="D25" s="9" t="s">
        <v>85</v>
      </c>
      <c r="E25" s="9" t="s">
        <v>85</v>
      </c>
      <c r="F25" s="9">
        <v>0.796748</v>
      </c>
      <c r="G25" s="9" t="s">
        <v>85</v>
      </c>
      <c r="H25" s="9" t="s">
        <v>85</v>
      </c>
      <c r="I25" s="9">
        <v>0.497096</v>
      </c>
      <c r="J25" s="9" t="s">
        <v>85</v>
      </c>
      <c r="K25" s="9" t="s">
        <v>85</v>
      </c>
      <c r="L25" s="9" t="s">
        <v>85</v>
      </c>
      <c r="M25" s="9" t="s">
        <v>85</v>
      </c>
      <c r="N25" s="9" t="s">
        <v>85</v>
      </c>
      <c r="O25" s="9" t="s">
        <v>85</v>
      </c>
      <c r="P25" s="9" t="s">
        <v>85</v>
      </c>
      <c r="Q25" s="9" t="s">
        <v>85</v>
      </c>
      <c r="R25" s="9">
        <v>0.789779</v>
      </c>
      <c r="S25" s="9" t="s">
        <v>85</v>
      </c>
      <c r="T25" s="9" t="s">
        <v>85</v>
      </c>
      <c r="U25" s="9">
        <v>0.81417</v>
      </c>
      <c r="V25" s="9" t="s">
        <v>85</v>
      </c>
      <c r="W25" s="9" t="s">
        <v>85</v>
      </c>
      <c r="X25" s="9" t="s">
        <v>85</v>
      </c>
      <c r="Y25" s="9" t="s">
        <v>85</v>
      </c>
      <c r="Z25" s="9" t="s">
        <v>85</v>
      </c>
      <c r="AA25" s="9" t="s">
        <v>85</v>
      </c>
      <c r="AB25" s="10" t="s">
        <v>85</v>
      </c>
      <c r="AC25" s="10" t="s">
        <v>85</v>
      </c>
      <c r="AD25" s="9">
        <v>0.851336</v>
      </c>
      <c r="AE25" s="9" t="s">
        <v>85</v>
      </c>
      <c r="AF25" s="9" t="s">
        <v>85</v>
      </c>
      <c r="AG25" s="9">
        <v>0.84669</v>
      </c>
      <c r="AH25" s="9" t="s">
        <v>85</v>
      </c>
      <c r="AI25" s="9" t="s">
        <v>85</v>
      </c>
      <c r="AJ25" s="9" t="s">
        <v>85</v>
      </c>
      <c r="AK25" s="9" t="s">
        <v>85</v>
      </c>
      <c r="AL25" s="9" t="s">
        <v>85</v>
      </c>
      <c r="AM25" s="9" t="s">
        <v>85</v>
      </c>
      <c r="AN25" s="9" t="s">
        <v>85</v>
      </c>
      <c r="AO25" s="9" t="s">
        <v>85</v>
      </c>
      <c r="AP25" s="9">
        <v>0.826945</v>
      </c>
      <c r="AQ25" s="9" t="s">
        <v>85</v>
      </c>
      <c r="AR25" s="9" t="s">
        <v>85</v>
      </c>
      <c r="AS25" s="9">
        <v>0.811847</v>
      </c>
      <c r="AT25" s="9" t="s">
        <v>85</v>
      </c>
      <c r="AU25" s="9" t="s">
        <v>85</v>
      </c>
      <c r="AV25" s="9" t="s">
        <v>85</v>
      </c>
      <c r="AW25" s="9" t="s">
        <v>85</v>
      </c>
      <c r="AX25" s="9" t="s">
        <v>85</v>
      </c>
      <c r="AY25" s="9" t="s">
        <v>85</v>
      </c>
      <c r="AZ25" s="9" t="s">
        <v>85</v>
      </c>
      <c r="BA25" s="9" t="s">
        <v>85</v>
      </c>
      <c r="BB25" s="9" t="s">
        <v>85</v>
      </c>
      <c r="BC25" s="10" t="s">
        <v>85</v>
      </c>
      <c r="BD25" s="9" t="s">
        <v>85</v>
      </c>
      <c r="BE25" s="9" t="s">
        <v>85</v>
      </c>
      <c r="BF25" s="10" t="s">
        <v>85</v>
      </c>
      <c r="BG25" s="10" t="s">
        <v>85</v>
      </c>
      <c r="BH25" s="9" t="s">
        <v>85</v>
      </c>
      <c r="BI25" s="6"/>
      <c r="BJ25" s="6" t="str">
        <f t="shared" si="1"/>
        <v>10Bo_One_Acc</v>
      </c>
      <c r="BK25" s="6" t="str">
        <f t="shared" si="2"/>
        <v>10BoN_One_Acc</v>
      </c>
      <c r="BL25" s="6" t="str">
        <f t="shared" si="3"/>
        <v>12Bo_One_Acc</v>
      </c>
      <c r="BM25" s="6"/>
      <c r="BN25" s="6">
        <f t="shared" si="4"/>
        <v>10</v>
      </c>
      <c r="BO25" s="6"/>
      <c r="BP25" s="6"/>
      <c r="BR25" s="6"/>
      <c r="BS25" s="6"/>
      <c r="BT25" s="6"/>
      <c r="BU25" s="6"/>
      <c r="BV25" s="6"/>
      <c r="BW25" s="6"/>
      <c r="BX25" s="6"/>
    </row>
    <row r="26" ht="15.75" customHeight="1">
      <c r="A26" s="1" t="s">
        <v>120</v>
      </c>
      <c r="B26" s="17">
        <v>96.0</v>
      </c>
      <c r="C26" s="17">
        <v>7.0</v>
      </c>
      <c r="D26" s="9" t="s">
        <v>85</v>
      </c>
      <c r="E26" s="9" t="s">
        <v>85</v>
      </c>
      <c r="F26" s="9">
        <v>0.632343</v>
      </c>
      <c r="G26" s="9" t="s">
        <v>85</v>
      </c>
      <c r="H26" s="9" t="s">
        <v>85</v>
      </c>
      <c r="I26" s="9">
        <v>0.242381</v>
      </c>
      <c r="J26" s="9" t="s">
        <v>85</v>
      </c>
      <c r="K26" s="9" t="s">
        <v>85</v>
      </c>
      <c r="L26" s="9" t="s">
        <v>85</v>
      </c>
      <c r="M26" s="9" t="s">
        <v>85</v>
      </c>
      <c r="N26" s="9" t="s">
        <v>85</v>
      </c>
      <c r="O26" s="9" t="s">
        <v>85</v>
      </c>
      <c r="P26" s="9" t="s">
        <v>85</v>
      </c>
      <c r="Q26" s="9" t="s">
        <v>85</v>
      </c>
      <c r="R26" s="9">
        <v>0.677474</v>
      </c>
      <c r="S26" s="9" t="s">
        <v>85</v>
      </c>
      <c r="T26" s="9" t="s">
        <v>85</v>
      </c>
      <c r="U26" s="9">
        <v>0.670341</v>
      </c>
      <c r="V26" s="9" t="s">
        <v>85</v>
      </c>
      <c r="W26" s="9" t="s">
        <v>85</v>
      </c>
      <c r="X26" s="9" t="s">
        <v>85</v>
      </c>
      <c r="Y26" s="9" t="s">
        <v>85</v>
      </c>
      <c r="Z26" s="9" t="s">
        <v>85</v>
      </c>
      <c r="AA26" s="9" t="s">
        <v>85</v>
      </c>
      <c r="AB26" s="10" t="s">
        <v>85</v>
      </c>
      <c r="AC26" s="10" t="s">
        <v>85</v>
      </c>
      <c r="AD26" s="9">
        <v>0.627415</v>
      </c>
      <c r="AE26" s="9" t="s">
        <v>85</v>
      </c>
      <c r="AF26" s="9" t="s">
        <v>85</v>
      </c>
      <c r="AG26" s="9">
        <v>0.66671</v>
      </c>
      <c r="AH26" s="9" t="s">
        <v>85</v>
      </c>
      <c r="AI26" s="9" t="s">
        <v>85</v>
      </c>
      <c r="AJ26" s="9" t="s">
        <v>85</v>
      </c>
      <c r="AK26" s="9" t="s">
        <v>85</v>
      </c>
      <c r="AL26" s="9" t="s">
        <v>85</v>
      </c>
      <c r="AM26" s="9" t="s">
        <v>85</v>
      </c>
      <c r="AN26" s="9" t="s">
        <v>85</v>
      </c>
      <c r="AO26" s="9" t="s">
        <v>85</v>
      </c>
      <c r="AP26" s="9">
        <v>0.67488</v>
      </c>
      <c r="AQ26" s="9" t="s">
        <v>85</v>
      </c>
      <c r="AR26" s="9" t="s">
        <v>85</v>
      </c>
      <c r="AS26" s="9">
        <v>0.638568</v>
      </c>
      <c r="AT26" s="9" t="s">
        <v>85</v>
      </c>
      <c r="AU26" s="9" t="s">
        <v>85</v>
      </c>
      <c r="AV26" s="9" t="s">
        <v>85</v>
      </c>
      <c r="AW26" s="9" t="s">
        <v>85</v>
      </c>
      <c r="AX26" s="9" t="s">
        <v>85</v>
      </c>
      <c r="AY26" s="9" t="s">
        <v>85</v>
      </c>
      <c r="AZ26" s="9" t="s">
        <v>85</v>
      </c>
      <c r="BA26" s="9" t="s">
        <v>85</v>
      </c>
      <c r="BB26" s="9" t="s">
        <v>85</v>
      </c>
      <c r="BC26" s="10" t="s">
        <v>85</v>
      </c>
      <c r="BD26" s="9" t="s">
        <v>85</v>
      </c>
      <c r="BE26" s="9" t="s">
        <v>85</v>
      </c>
      <c r="BF26" s="10" t="s">
        <v>85</v>
      </c>
      <c r="BG26" s="10" t="s">
        <v>85</v>
      </c>
      <c r="BH26" s="9" t="s">
        <v>85</v>
      </c>
      <c r="BI26" s="6"/>
      <c r="BJ26" s="6" t="str">
        <f t="shared" si="1"/>
        <v>8Bo_One_Acc</v>
      </c>
      <c r="BK26" s="6" t="str">
        <f t="shared" si="2"/>
        <v>12Bo_One_Acc</v>
      </c>
      <c r="BL26" s="6" t="str">
        <f t="shared" si="3"/>
        <v>8BoN_One_Acc</v>
      </c>
      <c r="BM26" s="6"/>
      <c r="BN26" s="6">
        <f t="shared" si="4"/>
        <v>8</v>
      </c>
      <c r="BO26" s="6"/>
      <c r="BP26" s="6"/>
      <c r="BQ26" s="6"/>
      <c r="BR26" s="6"/>
      <c r="BS26" s="6"/>
      <c r="BT26" s="6"/>
      <c r="BU26" s="6"/>
      <c r="BV26" s="6"/>
      <c r="BW26" s="6"/>
      <c r="BX26" s="6"/>
    </row>
    <row r="27" ht="15.75" customHeight="1">
      <c r="A27" s="1" t="s">
        <v>121</v>
      </c>
      <c r="B27" s="17">
        <v>1751.0</v>
      </c>
      <c r="C27" s="17">
        <v>4.0</v>
      </c>
      <c r="D27" s="9" t="s">
        <v>85</v>
      </c>
      <c r="E27" s="9" t="s">
        <v>85</v>
      </c>
      <c r="F27" s="9">
        <v>0.248</v>
      </c>
      <c r="G27" s="9" t="s">
        <v>85</v>
      </c>
      <c r="H27" s="9" t="s">
        <v>85</v>
      </c>
      <c r="I27" s="9">
        <v>0.252</v>
      </c>
      <c r="J27" s="9" t="s">
        <v>85</v>
      </c>
      <c r="K27" s="9" t="s">
        <v>85</v>
      </c>
      <c r="L27" s="9" t="s">
        <v>85</v>
      </c>
      <c r="M27" s="9" t="s">
        <v>85</v>
      </c>
      <c r="N27" s="9" t="s">
        <v>85</v>
      </c>
      <c r="O27" s="9" t="s">
        <v>85</v>
      </c>
      <c r="P27" s="9" t="s">
        <v>85</v>
      </c>
      <c r="Q27" s="9" t="s">
        <v>85</v>
      </c>
      <c r="R27" s="9">
        <v>0.252</v>
      </c>
      <c r="S27" s="9" t="s">
        <v>85</v>
      </c>
      <c r="T27" s="9" t="s">
        <v>85</v>
      </c>
      <c r="U27" s="9">
        <v>0.248</v>
      </c>
      <c r="V27" s="9" t="s">
        <v>85</v>
      </c>
      <c r="W27" s="9" t="s">
        <v>85</v>
      </c>
      <c r="X27" s="9" t="s">
        <v>85</v>
      </c>
      <c r="Y27" s="9" t="s">
        <v>85</v>
      </c>
      <c r="Z27" s="9" t="s">
        <v>85</v>
      </c>
      <c r="AA27" s="9" t="s">
        <v>85</v>
      </c>
      <c r="AB27" s="10" t="s">
        <v>85</v>
      </c>
      <c r="AC27" s="10" t="s">
        <v>85</v>
      </c>
      <c r="AD27" s="9">
        <v>0.248</v>
      </c>
      <c r="AE27" s="9" t="s">
        <v>85</v>
      </c>
      <c r="AF27" s="9" t="s">
        <v>85</v>
      </c>
      <c r="AG27" s="9">
        <v>0.252</v>
      </c>
      <c r="AH27" s="9" t="s">
        <v>85</v>
      </c>
      <c r="AI27" s="9" t="s">
        <v>85</v>
      </c>
      <c r="AJ27" s="9" t="s">
        <v>85</v>
      </c>
      <c r="AK27" s="9" t="s">
        <v>85</v>
      </c>
      <c r="AL27" s="9" t="s">
        <v>85</v>
      </c>
      <c r="AM27" s="9" t="s">
        <v>85</v>
      </c>
      <c r="AN27" s="9" t="s">
        <v>85</v>
      </c>
      <c r="AO27" s="9" t="s">
        <v>85</v>
      </c>
      <c r="AP27" s="9">
        <v>0.258</v>
      </c>
      <c r="AQ27" s="9" t="s">
        <v>85</v>
      </c>
      <c r="AR27" s="9" t="s">
        <v>85</v>
      </c>
      <c r="AS27" s="9">
        <v>0.286</v>
      </c>
      <c r="AT27" s="9" t="s">
        <v>85</v>
      </c>
      <c r="AU27" s="9" t="s">
        <v>85</v>
      </c>
      <c r="AV27" s="9" t="s">
        <v>85</v>
      </c>
      <c r="AW27" s="9" t="s">
        <v>85</v>
      </c>
      <c r="AX27" s="9" t="s">
        <v>85</v>
      </c>
      <c r="AY27" s="9" t="s">
        <v>85</v>
      </c>
      <c r="AZ27" s="9" t="s">
        <v>85</v>
      </c>
      <c r="BA27" s="9" t="s">
        <v>85</v>
      </c>
      <c r="BB27" s="9" t="s">
        <v>85</v>
      </c>
      <c r="BC27" s="10" t="s">
        <v>85</v>
      </c>
      <c r="BD27" s="9" t="s">
        <v>85</v>
      </c>
      <c r="BE27" s="9" t="s">
        <v>85</v>
      </c>
      <c r="BF27" s="10" t="s">
        <v>85</v>
      </c>
      <c r="BG27" s="10" t="s">
        <v>85</v>
      </c>
      <c r="BH27" s="9" t="s">
        <v>85</v>
      </c>
      <c r="BI27" s="6"/>
      <c r="BJ27" s="6" t="str">
        <f t="shared" si="1"/>
        <v>12BoN_One_Acc</v>
      </c>
      <c r="BK27" s="6" t="str">
        <f t="shared" si="2"/>
        <v>12Bo_One_Acc</v>
      </c>
      <c r="BL27" s="6" t="str">
        <f t="shared" si="3"/>
        <v>5BoN_One_Acc</v>
      </c>
      <c r="BM27" s="6"/>
      <c r="BN27" s="6">
        <f t="shared" si="4"/>
        <v>12</v>
      </c>
      <c r="BO27" s="6"/>
      <c r="BP27" s="6"/>
      <c r="BQ27" s="6"/>
      <c r="BR27" s="6"/>
      <c r="BS27" s="6"/>
      <c r="BT27" s="6"/>
      <c r="BU27" s="6"/>
      <c r="BV27" s="6"/>
      <c r="BW27" s="6"/>
      <c r="BX27" s="6"/>
    </row>
    <row r="28" ht="15.75" customHeight="1">
      <c r="A28" s="1" t="s">
        <v>122</v>
      </c>
      <c r="B28" s="17">
        <v>131.0</v>
      </c>
      <c r="C28" s="17">
        <v>14.0</v>
      </c>
      <c r="D28" s="9" t="s">
        <v>85</v>
      </c>
      <c r="E28" s="9" t="s">
        <v>85</v>
      </c>
      <c r="F28" s="9">
        <v>0.466864</v>
      </c>
      <c r="G28" s="9" t="s">
        <v>85</v>
      </c>
      <c r="H28" s="9" t="s">
        <v>85</v>
      </c>
      <c r="I28" s="9">
        <v>0.064497</v>
      </c>
      <c r="J28" s="9" t="s">
        <v>85</v>
      </c>
      <c r="K28" s="9" t="s">
        <v>85</v>
      </c>
      <c r="L28" s="9" t="s">
        <v>85</v>
      </c>
      <c r="M28" s="9" t="s">
        <v>85</v>
      </c>
      <c r="N28" s="9" t="s">
        <v>85</v>
      </c>
      <c r="O28" s="9" t="s">
        <v>85</v>
      </c>
      <c r="P28" s="9" t="s">
        <v>85</v>
      </c>
      <c r="Q28" s="9" t="s">
        <v>85</v>
      </c>
      <c r="R28" s="9">
        <v>0.632544</v>
      </c>
      <c r="S28" s="9" t="s">
        <v>85</v>
      </c>
      <c r="T28" s="9" t="s">
        <v>85</v>
      </c>
      <c r="U28" s="9">
        <v>0.63787</v>
      </c>
      <c r="V28" s="9" t="s">
        <v>85</v>
      </c>
      <c r="W28" s="9" t="s">
        <v>85</v>
      </c>
      <c r="X28" s="9" t="s">
        <v>85</v>
      </c>
      <c r="Y28" s="9" t="s">
        <v>85</v>
      </c>
      <c r="Z28" s="9" t="s">
        <v>85</v>
      </c>
      <c r="AA28" s="9" t="s">
        <v>85</v>
      </c>
      <c r="AB28" s="10" t="s">
        <v>85</v>
      </c>
      <c r="AC28" s="10" t="s">
        <v>85</v>
      </c>
      <c r="AD28" s="9">
        <v>0.552663</v>
      </c>
      <c r="AE28" s="9" t="s">
        <v>85</v>
      </c>
      <c r="AF28" s="9" t="s">
        <v>85</v>
      </c>
      <c r="AG28" s="9">
        <v>0.676331</v>
      </c>
      <c r="AH28" s="9" t="s">
        <v>85</v>
      </c>
      <c r="AI28" s="9" t="s">
        <v>85</v>
      </c>
      <c r="AJ28" s="9" t="s">
        <v>85</v>
      </c>
      <c r="AK28" s="9" t="s">
        <v>85</v>
      </c>
      <c r="AL28" s="9" t="s">
        <v>85</v>
      </c>
      <c r="AM28" s="9" t="s">
        <v>85</v>
      </c>
      <c r="AN28" s="9" t="s">
        <v>85</v>
      </c>
      <c r="AO28" s="9" t="s">
        <v>85</v>
      </c>
      <c r="AP28" s="9">
        <v>0.36213</v>
      </c>
      <c r="AQ28" s="9" t="s">
        <v>85</v>
      </c>
      <c r="AR28" s="9" t="s">
        <v>85</v>
      </c>
      <c r="AS28" s="9">
        <v>0.613018</v>
      </c>
      <c r="AT28" s="9" t="s">
        <v>85</v>
      </c>
      <c r="AU28" s="9" t="s">
        <v>85</v>
      </c>
      <c r="AV28" s="9" t="s">
        <v>85</v>
      </c>
      <c r="AW28" s="9" t="s">
        <v>85</v>
      </c>
      <c r="AX28" s="9" t="s">
        <v>85</v>
      </c>
      <c r="AY28" s="9" t="s">
        <v>85</v>
      </c>
      <c r="AZ28" s="9" t="s">
        <v>85</v>
      </c>
      <c r="BA28" s="9" t="s">
        <v>85</v>
      </c>
      <c r="BB28" s="9" t="s">
        <v>85</v>
      </c>
      <c r="BC28" s="10" t="s">
        <v>85</v>
      </c>
      <c r="BD28" s="9" t="s">
        <v>85</v>
      </c>
      <c r="BE28" s="9" t="s">
        <v>85</v>
      </c>
      <c r="BF28" s="10" t="s">
        <v>85</v>
      </c>
      <c r="BG28" s="10" t="s">
        <v>85</v>
      </c>
      <c r="BH28" s="9" t="s">
        <v>85</v>
      </c>
      <c r="BI28" s="6"/>
      <c r="BJ28" s="6" t="str">
        <f t="shared" si="1"/>
        <v>10BoN_One_Acc</v>
      </c>
      <c r="BK28" s="6" t="str">
        <f t="shared" si="2"/>
        <v>8BoN_One_Acc</v>
      </c>
      <c r="BL28" s="6" t="str">
        <f t="shared" si="3"/>
        <v>8Bo_One_Acc</v>
      </c>
      <c r="BM28" s="6"/>
      <c r="BN28" s="6">
        <f t="shared" si="4"/>
        <v>10</v>
      </c>
      <c r="BO28" s="6"/>
      <c r="BP28" s="6"/>
      <c r="BQ28" s="6"/>
      <c r="BR28" s="6"/>
      <c r="BT28" s="6"/>
      <c r="BU28" s="6"/>
      <c r="BV28" s="6"/>
      <c r="BW28" s="6"/>
      <c r="BX28" s="6"/>
    </row>
    <row r="29" ht="15.75" customHeight="1">
      <c r="A29" s="1" t="s">
        <v>123</v>
      </c>
      <c r="B29" s="17">
        <v>350.0</v>
      </c>
      <c r="C29" s="17">
        <v>4.0</v>
      </c>
      <c r="D29" s="9" t="s">
        <v>85</v>
      </c>
      <c r="E29" s="9" t="s">
        <v>85</v>
      </c>
      <c r="F29" s="9">
        <v>0.465909</v>
      </c>
      <c r="G29" s="9" t="s">
        <v>85</v>
      </c>
      <c r="H29" s="9" t="s">
        <v>85</v>
      </c>
      <c r="I29" s="9">
        <v>0.159091</v>
      </c>
      <c r="J29" s="9" t="s">
        <v>85</v>
      </c>
      <c r="K29" s="9" t="s">
        <v>85</v>
      </c>
      <c r="L29" s="9" t="s">
        <v>85</v>
      </c>
      <c r="M29" s="9" t="s">
        <v>85</v>
      </c>
      <c r="N29" s="9" t="s">
        <v>85</v>
      </c>
      <c r="O29" s="9" t="s">
        <v>85</v>
      </c>
      <c r="P29" s="9" t="s">
        <v>85</v>
      </c>
      <c r="Q29" s="9" t="s">
        <v>85</v>
      </c>
      <c r="R29" s="9">
        <v>0.613636</v>
      </c>
      <c r="S29" s="9" t="s">
        <v>85</v>
      </c>
      <c r="T29" s="9" t="s">
        <v>85</v>
      </c>
      <c r="U29" s="9">
        <v>0.556818</v>
      </c>
      <c r="V29" s="9" t="s">
        <v>85</v>
      </c>
      <c r="W29" s="9" t="s">
        <v>85</v>
      </c>
      <c r="X29" s="9" t="s">
        <v>85</v>
      </c>
      <c r="Y29" s="9" t="s">
        <v>85</v>
      </c>
      <c r="Z29" s="9" t="s">
        <v>85</v>
      </c>
      <c r="AA29" s="9" t="s">
        <v>85</v>
      </c>
      <c r="AB29" s="10" t="s">
        <v>85</v>
      </c>
      <c r="AC29" s="10" t="s">
        <v>85</v>
      </c>
      <c r="AD29" s="9">
        <v>0.545455</v>
      </c>
      <c r="AE29" s="9" t="s">
        <v>85</v>
      </c>
      <c r="AF29" s="9" t="s">
        <v>85</v>
      </c>
      <c r="AG29" s="9">
        <v>0.5</v>
      </c>
      <c r="AH29" s="9" t="s">
        <v>85</v>
      </c>
      <c r="AI29" s="9" t="s">
        <v>85</v>
      </c>
      <c r="AJ29" s="9" t="s">
        <v>85</v>
      </c>
      <c r="AK29" s="9" t="s">
        <v>85</v>
      </c>
      <c r="AL29" s="9" t="s">
        <v>85</v>
      </c>
      <c r="AM29" s="9" t="s">
        <v>85</v>
      </c>
      <c r="AN29" s="9" t="s">
        <v>85</v>
      </c>
      <c r="AO29" s="9" t="s">
        <v>85</v>
      </c>
      <c r="AP29" s="9">
        <v>0.715909</v>
      </c>
      <c r="AQ29" s="9" t="s">
        <v>85</v>
      </c>
      <c r="AR29" s="9" t="s">
        <v>85</v>
      </c>
      <c r="AS29" s="9">
        <v>0.681818</v>
      </c>
      <c r="AT29" s="9" t="s">
        <v>85</v>
      </c>
      <c r="AU29" s="9" t="s">
        <v>85</v>
      </c>
      <c r="AV29" s="9" t="s">
        <v>85</v>
      </c>
      <c r="AW29" s="9" t="s">
        <v>85</v>
      </c>
      <c r="AX29" s="9" t="s">
        <v>85</v>
      </c>
      <c r="AY29" s="9" t="s">
        <v>85</v>
      </c>
      <c r="AZ29" s="9" t="s">
        <v>85</v>
      </c>
      <c r="BA29" s="9" t="s">
        <v>85</v>
      </c>
      <c r="BB29" s="9" t="s">
        <v>85</v>
      </c>
      <c r="BC29" s="10" t="s">
        <v>85</v>
      </c>
      <c r="BD29" s="9" t="s">
        <v>85</v>
      </c>
      <c r="BE29" s="9" t="s">
        <v>85</v>
      </c>
      <c r="BF29" s="10" t="s">
        <v>85</v>
      </c>
      <c r="BG29" s="10" t="s">
        <v>85</v>
      </c>
      <c r="BH29" s="9" t="s">
        <v>85</v>
      </c>
      <c r="BI29" s="6"/>
      <c r="BJ29" s="6" t="str">
        <f t="shared" si="1"/>
        <v>12Bo_One_Acc</v>
      </c>
      <c r="BK29" s="6" t="str">
        <f t="shared" si="2"/>
        <v>12BoN_One_Acc</v>
      </c>
      <c r="BL29" s="6" t="str">
        <f t="shared" si="3"/>
        <v>8Bo_One_Acc</v>
      </c>
      <c r="BM29" s="6"/>
      <c r="BN29" s="6">
        <f t="shared" si="4"/>
        <v>12</v>
      </c>
      <c r="BO29" s="6"/>
      <c r="BP29" s="6"/>
      <c r="BQ29" s="6"/>
      <c r="BR29" s="6"/>
      <c r="BT29" s="6"/>
      <c r="BU29" s="6"/>
      <c r="BV29" s="6"/>
      <c r="BW29" s="6"/>
      <c r="BX29" s="6"/>
    </row>
    <row r="30" ht="15.75" customHeight="1">
      <c r="A30" s="1" t="s">
        <v>124</v>
      </c>
      <c r="B30" s="17">
        <v>131.0</v>
      </c>
      <c r="C30" s="17">
        <v>14.0</v>
      </c>
      <c r="D30" s="9" t="s">
        <v>85</v>
      </c>
      <c r="E30" s="9" t="s">
        <v>85</v>
      </c>
      <c r="F30" s="9">
        <v>0.560976</v>
      </c>
      <c r="G30" s="9" t="s">
        <v>85</v>
      </c>
      <c r="H30" s="9" t="s">
        <v>85</v>
      </c>
      <c r="I30" s="9">
        <v>0.143415</v>
      </c>
      <c r="J30" s="9" t="s">
        <v>85</v>
      </c>
      <c r="K30" s="9" t="s">
        <v>85</v>
      </c>
      <c r="L30" s="9" t="s">
        <v>85</v>
      </c>
      <c r="M30" s="9" t="s">
        <v>85</v>
      </c>
      <c r="N30" s="9" t="s">
        <v>85</v>
      </c>
      <c r="O30" s="9" t="s">
        <v>85</v>
      </c>
      <c r="P30" s="9" t="s">
        <v>85</v>
      </c>
      <c r="Q30" s="9" t="s">
        <v>85</v>
      </c>
      <c r="R30" s="9">
        <v>0.630244</v>
      </c>
      <c r="S30" s="9" t="s">
        <v>85</v>
      </c>
      <c r="T30" s="9" t="s">
        <v>85</v>
      </c>
      <c r="U30" s="9">
        <v>0.638537</v>
      </c>
      <c r="V30" s="9" t="s">
        <v>85</v>
      </c>
      <c r="W30" s="9" t="s">
        <v>85</v>
      </c>
      <c r="X30" s="9" t="s">
        <v>85</v>
      </c>
      <c r="Y30" s="9" t="s">
        <v>85</v>
      </c>
      <c r="Z30" s="9" t="s">
        <v>85</v>
      </c>
      <c r="AA30" s="9" t="s">
        <v>85</v>
      </c>
      <c r="AB30" s="10" t="s">
        <v>85</v>
      </c>
      <c r="AC30" s="10" t="s">
        <v>85</v>
      </c>
      <c r="AD30" s="9">
        <v>0.7</v>
      </c>
      <c r="AE30" s="9" t="s">
        <v>85</v>
      </c>
      <c r="AF30" s="9" t="s">
        <v>85</v>
      </c>
      <c r="AG30" s="9">
        <v>0.607805</v>
      </c>
      <c r="AH30" s="9" t="s">
        <v>85</v>
      </c>
      <c r="AI30" s="9" t="s">
        <v>85</v>
      </c>
      <c r="AJ30" s="9" t="s">
        <v>85</v>
      </c>
      <c r="AK30" s="9" t="s">
        <v>85</v>
      </c>
      <c r="AL30" s="9" t="s">
        <v>85</v>
      </c>
      <c r="AM30" s="9" t="s">
        <v>85</v>
      </c>
      <c r="AN30" s="9" t="s">
        <v>85</v>
      </c>
      <c r="AO30" s="9" t="s">
        <v>85</v>
      </c>
      <c r="AP30" s="9">
        <v>0.561951</v>
      </c>
      <c r="AQ30" s="9" t="s">
        <v>85</v>
      </c>
      <c r="AR30" s="9" t="s">
        <v>85</v>
      </c>
      <c r="AS30" s="9">
        <v>0.679024</v>
      </c>
      <c r="AT30" s="9" t="s">
        <v>85</v>
      </c>
      <c r="AU30" s="9" t="s">
        <v>85</v>
      </c>
      <c r="AV30" s="9" t="s">
        <v>85</v>
      </c>
      <c r="AW30" s="9" t="s">
        <v>85</v>
      </c>
      <c r="AX30" s="9" t="s">
        <v>85</v>
      </c>
      <c r="AY30" s="9" t="s">
        <v>85</v>
      </c>
      <c r="AZ30" s="9" t="s">
        <v>85</v>
      </c>
      <c r="BA30" s="9" t="s">
        <v>85</v>
      </c>
      <c r="BB30" s="9" t="s">
        <v>85</v>
      </c>
      <c r="BC30" s="10" t="s">
        <v>85</v>
      </c>
      <c r="BD30" s="9" t="s">
        <v>85</v>
      </c>
      <c r="BE30" s="9" t="s">
        <v>85</v>
      </c>
      <c r="BF30" s="10" t="s">
        <v>85</v>
      </c>
      <c r="BG30" s="10" t="s">
        <v>85</v>
      </c>
      <c r="BH30" s="9" t="s">
        <v>85</v>
      </c>
      <c r="BI30" s="6"/>
      <c r="BJ30" s="6" t="str">
        <f t="shared" si="1"/>
        <v>10Bo_One_Acc</v>
      </c>
      <c r="BK30" s="6" t="str">
        <f t="shared" si="2"/>
        <v>12BoN_One_Acc</v>
      </c>
      <c r="BL30" s="6" t="str">
        <f t="shared" si="3"/>
        <v>8BoN_One_Acc</v>
      </c>
      <c r="BM30" s="6"/>
      <c r="BN30" s="6">
        <f t="shared" si="4"/>
        <v>10</v>
      </c>
      <c r="BO30" s="6"/>
      <c r="BP30" s="6"/>
      <c r="BQ30" s="24"/>
      <c r="BR30" s="24"/>
      <c r="BS30" s="24"/>
      <c r="BT30" s="24"/>
      <c r="BU30" s="6"/>
      <c r="BV30" s="6"/>
      <c r="BW30" s="6"/>
      <c r="BX30" s="6"/>
    </row>
    <row r="31" ht="15.75" customHeight="1">
      <c r="A31" s="1" t="s">
        <v>125</v>
      </c>
      <c r="B31" s="17">
        <v>270.0</v>
      </c>
      <c r="C31" s="17">
        <v>50.0</v>
      </c>
      <c r="D31" s="9" t="s">
        <v>85</v>
      </c>
      <c r="E31" s="9" t="s">
        <v>85</v>
      </c>
      <c r="F31" s="9">
        <v>0.404396</v>
      </c>
      <c r="G31" s="9" t="s">
        <v>85</v>
      </c>
      <c r="H31" s="9" t="s">
        <v>85</v>
      </c>
      <c r="I31" s="9">
        <v>0.125275</v>
      </c>
      <c r="J31" s="9" t="s">
        <v>85</v>
      </c>
      <c r="K31" s="9" t="s">
        <v>85</v>
      </c>
      <c r="L31" s="9" t="s">
        <v>85</v>
      </c>
      <c r="M31" s="9" t="s">
        <v>85</v>
      </c>
      <c r="N31" s="9" t="s">
        <v>85</v>
      </c>
      <c r="O31" s="9" t="s">
        <v>85</v>
      </c>
      <c r="P31" s="9" t="s">
        <v>85</v>
      </c>
      <c r="Q31" s="9" t="s">
        <v>85</v>
      </c>
      <c r="R31" s="9">
        <v>0.492308</v>
      </c>
      <c r="S31" s="9" t="s">
        <v>85</v>
      </c>
      <c r="T31" s="9" t="s">
        <v>85</v>
      </c>
      <c r="U31" s="9">
        <v>0.505495</v>
      </c>
      <c r="V31" s="9" t="s">
        <v>85</v>
      </c>
      <c r="W31" s="9" t="s">
        <v>85</v>
      </c>
      <c r="X31" s="9" t="s">
        <v>85</v>
      </c>
      <c r="Y31" s="9" t="s">
        <v>85</v>
      </c>
      <c r="Z31" s="9" t="s">
        <v>85</v>
      </c>
      <c r="AA31" s="9" t="s">
        <v>85</v>
      </c>
      <c r="AB31" s="10" t="s">
        <v>85</v>
      </c>
      <c r="AC31" s="10" t="s">
        <v>85</v>
      </c>
      <c r="AD31" s="9">
        <v>0.452747</v>
      </c>
      <c r="AE31" s="9" t="s">
        <v>85</v>
      </c>
      <c r="AF31" s="9" t="s">
        <v>85</v>
      </c>
      <c r="AG31" s="9">
        <v>0.540659</v>
      </c>
      <c r="AH31" s="9" t="s">
        <v>85</v>
      </c>
      <c r="AI31" s="9" t="s">
        <v>85</v>
      </c>
      <c r="AJ31" s="9" t="s">
        <v>85</v>
      </c>
      <c r="AK31" s="9" t="s">
        <v>85</v>
      </c>
      <c r="AL31" s="9" t="s">
        <v>85</v>
      </c>
      <c r="AM31" s="9" t="s">
        <v>85</v>
      </c>
      <c r="AN31" s="9" t="s">
        <v>85</v>
      </c>
      <c r="AO31" s="9" t="s">
        <v>85</v>
      </c>
      <c r="AP31" s="9">
        <v>0.492308</v>
      </c>
      <c r="AQ31" s="9" t="s">
        <v>85</v>
      </c>
      <c r="AR31" s="9" t="s">
        <v>85</v>
      </c>
      <c r="AS31" s="9">
        <v>0.432967</v>
      </c>
      <c r="AT31" s="9" t="s">
        <v>85</v>
      </c>
      <c r="AU31" s="9" t="s">
        <v>85</v>
      </c>
      <c r="AV31" s="9" t="s">
        <v>85</v>
      </c>
      <c r="AW31" s="9" t="s">
        <v>85</v>
      </c>
      <c r="AX31" s="9" t="s">
        <v>85</v>
      </c>
      <c r="AY31" s="9" t="s">
        <v>85</v>
      </c>
      <c r="AZ31" s="9" t="s">
        <v>85</v>
      </c>
      <c r="BA31" s="9" t="s">
        <v>85</v>
      </c>
      <c r="BB31" s="9" t="s">
        <v>85</v>
      </c>
      <c r="BC31" s="10" t="s">
        <v>85</v>
      </c>
      <c r="BD31" s="9" t="s">
        <v>85</v>
      </c>
      <c r="BE31" s="9" t="s">
        <v>85</v>
      </c>
      <c r="BF31" s="10" t="s">
        <v>85</v>
      </c>
      <c r="BG31" s="10" t="s">
        <v>85</v>
      </c>
      <c r="BH31" s="9" t="s">
        <v>85</v>
      </c>
      <c r="BI31" s="6"/>
      <c r="BJ31" s="6" t="str">
        <f t="shared" si="1"/>
        <v>10BoN_One_Acc</v>
      </c>
      <c r="BK31" s="6" t="str">
        <f t="shared" si="2"/>
        <v>8BoN_One_Acc</v>
      </c>
      <c r="BL31" s="6" t="str">
        <f t="shared" si="3"/>
        <v>8Bo_One_Acc</v>
      </c>
      <c r="BM31" s="6"/>
      <c r="BN31" s="6">
        <f t="shared" si="4"/>
        <v>10</v>
      </c>
      <c r="BO31" s="6"/>
      <c r="BP31" s="6"/>
      <c r="BQ31" s="24"/>
      <c r="BR31" s="24"/>
      <c r="BS31" s="24"/>
      <c r="BT31" s="24"/>
      <c r="BU31" s="6"/>
      <c r="BV31" s="6"/>
      <c r="BW31" s="6"/>
      <c r="BX31" s="6"/>
    </row>
    <row r="32" ht="15.75" customHeight="1">
      <c r="A32" s="1" t="s">
        <v>126</v>
      </c>
      <c r="B32" s="17">
        <v>463.0</v>
      </c>
      <c r="C32" s="17">
        <v>7.0</v>
      </c>
      <c r="D32" s="9" t="s">
        <v>85</v>
      </c>
      <c r="E32" s="9" t="s">
        <v>85</v>
      </c>
      <c r="F32" s="9">
        <v>0.491429</v>
      </c>
      <c r="G32" s="9" t="s">
        <v>85</v>
      </c>
      <c r="H32" s="9" t="s">
        <v>85</v>
      </c>
      <c r="I32" s="9">
        <v>0.137143</v>
      </c>
      <c r="J32" s="9" t="s">
        <v>85</v>
      </c>
      <c r="K32" s="9" t="s">
        <v>85</v>
      </c>
      <c r="L32" s="9" t="s">
        <v>85</v>
      </c>
      <c r="M32" s="9" t="s">
        <v>85</v>
      </c>
      <c r="N32" s="9" t="s">
        <v>85</v>
      </c>
      <c r="O32" s="9" t="s">
        <v>85</v>
      </c>
      <c r="P32" s="9" t="s">
        <v>85</v>
      </c>
      <c r="Q32" s="9" t="s">
        <v>85</v>
      </c>
      <c r="R32" s="9">
        <v>0.668571</v>
      </c>
      <c r="S32" s="9" t="s">
        <v>85</v>
      </c>
      <c r="T32" s="9" t="s">
        <v>85</v>
      </c>
      <c r="U32" s="9">
        <v>0.622857</v>
      </c>
      <c r="V32" s="9" t="s">
        <v>85</v>
      </c>
      <c r="W32" s="9" t="s">
        <v>85</v>
      </c>
      <c r="X32" s="9" t="s">
        <v>85</v>
      </c>
      <c r="Y32" s="9" t="s">
        <v>85</v>
      </c>
      <c r="Z32" s="9" t="s">
        <v>85</v>
      </c>
      <c r="AA32" s="9" t="s">
        <v>85</v>
      </c>
      <c r="AB32" s="10" t="s">
        <v>85</v>
      </c>
      <c r="AC32" s="10" t="s">
        <v>85</v>
      </c>
      <c r="AD32" s="9">
        <v>0.611429</v>
      </c>
      <c r="AE32" s="9" t="s">
        <v>85</v>
      </c>
      <c r="AF32" s="9" t="s">
        <v>85</v>
      </c>
      <c r="AG32" s="9">
        <v>0.645714</v>
      </c>
      <c r="AH32" s="9" t="s">
        <v>85</v>
      </c>
      <c r="AI32" s="9" t="s">
        <v>85</v>
      </c>
      <c r="AJ32" s="9" t="s">
        <v>85</v>
      </c>
      <c r="AK32" s="9" t="s">
        <v>85</v>
      </c>
      <c r="AL32" s="9" t="s">
        <v>85</v>
      </c>
      <c r="AM32" s="9" t="s">
        <v>85</v>
      </c>
      <c r="AN32" s="9" t="s">
        <v>85</v>
      </c>
      <c r="AO32" s="9" t="s">
        <v>85</v>
      </c>
      <c r="AP32" s="9">
        <v>0.514286</v>
      </c>
      <c r="AQ32" s="9" t="s">
        <v>85</v>
      </c>
      <c r="AR32" s="9" t="s">
        <v>85</v>
      </c>
      <c r="AS32" s="9">
        <v>0.662857</v>
      </c>
      <c r="AT32" s="9" t="s">
        <v>85</v>
      </c>
      <c r="AU32" s="9" t="s">
        <v>85</v>
      </c>
      <c r="AV32" s="9" t="s">
        <v>85</v>
      </c>
      <c r="AW32" s="9" t="s">
        <v>85</v>
      </c>
      <c r="AX32" s="9" t="s">
        <v>85</v>
      </c>
      <c r="AY32" s="9" t="s">
        <v>85</v>
      </c>
      <c r="AZ32" s="9" t="s">
        <v>85</v>
      </c>
      <c r="BA32" s="9" t="s">
        <v>85</v>
      </c>
      <c r="BB32" s="9" t="s">
        <v>85</v>
      </c>
      <c r="BC32" s="10" t="s">
        <v>85</v>
      </c>
      <c r="BD32" s="9" t="s">
        <v>85</v>
      </c>
      <c r="BE32" s="9" t="s">
        <v>85</v>
      </c>
      <c r="BF32" s="10" t="s">
        <v>85</v>
      </c>
      <c r="BG32" s="10" t="s">
        <v>85</v>
      </c>
      <c r="BH32" s="9" t="s">
        <v>85</v>
      </c>
      <c r="BI32" s="6"/>
      <c r="BJ32" s="6" t="str">
        <f t="shared" si="1"/>
        <v>8Bo_One_Acc</v>
      </c>
      <c r="BK32" s="6" t="str">
        <f t="shared" si="2"/>
        <v>12BoN_One_Acc</v>
      </c>
      <c r="BL32" s="6" t="str">
        <f t="shared" si="3"/>
        <v>10BoN_One_Acc</v>
      </c>
      <c r="BM32" s="6"/>
      <c r="BN32" s="6">
        <f t="shared" si="4"/>
        <v>8</v>
      </c>
      <c r="BO32" s="6"/>
      <c r="BP32" s="6"/>
      <c r="BQ32" s="24"/>
      <c r="BR32" s="24"/>
      <c r="BS32" s="24"/>
      <c r="BT32" s="24"/>
      <c r="BU32" s="6"/>
      <c r="BV32" s="6"/>
      <c r="BW32" s="6"/>
      <c r="BX32" s="6"/>
    </row>
    <row r="33" ht="15.75" customHeight="1">
      <c r="A33" s="1" t="s">
        <v>127</v>
      </c>
      <c r="B33" s="17">
        <v>500.0</v>
      </c>
      <c r="C33" s="17">
        <v>2.0</v>
      </c>
      <c r="D33" s="9" t="s">
        <v>85</v>
      </c>
      <c r="E33" s="9" t="s">
        <v>85</v>
      </c>
      <c r="F33" s="9">
        <v>0.484091</v>
      </c>
      <c r="G33" s="9" t="s">
        <v>85</v>
      </c>
      <c r="H33" s="9" t="s">
        <v>85</v>
      </c>
      <c r="I33" s="9">
        <v>0.484091</v>
      </c>
      <c r="J33" s="9" t="s">
        <v>85</v>
      </c>
      <c r="K33" s="9" t="s">
        <v>85</v>
      </c>
      <c r="L33" s="9" t="s">
        <v>85</v>
      </c>
      <c r="M33" s="9" t="s">
        <v>85</v>
      </c>
      <c r="N33" s="9" t="s">
        <v>85</v>
      </c>
      <c r="O33" s="9" t="s">
        <v>85</v>
      </c>
      <c r="P33" s="9" t="s">
        <v>85</v>
      </c>
      <c r="Q33" s="9" t="s">
        <v>85</v>
      </c>
      <c r="R33" s="9">
        <v>0.484091</v>
      </c>
      <c r="S33" s="9" t="s">
        <v>85</v>
      </c>
      <c r="T33" s="9" t="s">
        <v>85</v>
      </c>
      <c r="U33" s="9">
        <v>0.484091</v>
      </c>
      <c r="V33" s="9" t="s">
        <v>85</v>
      </c>
      <c r="W33" s="9" t="s">
        <v>85</v>
      </c>
      <c r="X33" s="9" t="s">
        <v>85</v>
      </c>
      <c r="Y33" s="9" t="s">
        <v>85</v>
      </c>
      <c r="Z33" s="9" t="s">
        <v>85</v>
      </c>
      <c r="AA33" s="9" t="s">
        <v>85</v>
      </c>
      <c r="AB33" s="10" t="s">
        <v>85</v>
      </c>
      <c r="AC33" s="10" t="s">
        <v>85</v>
      </c>
      <c r="AD33" s="9">
        <v>0.484091</v>
      </c>
      <c r="AE33" s="9" t="s">
        <v>85</v>
      </c>
      <c r="AF33" s="9" t="s">
        <v>85</v>
      </c>
      <c r="AG33" s="9">
        <v>0.484091</v>
      </c>
      <c r="AH33" s="9" t="s">
        <v>85</v>
      </c>
      <c r="AI33" s="9" t="s">
        <v>85</v>
      </c>
      <c r="AJ33" s="9" t="s">
        <v>85</v>
      </c>
      <c r="AK33" s="9" t="s">
        <v>85</v>
      </c>
      <c r="AL33" s="9" t="s">
        <v>85</v>
      </c>
      <c r="AM33" s="9" t="s">
        <v>85</v>
      </c>
      <c r="AN33" s="9" t="s">
        <v>85</v>
      </c>
      <c r="AO33" s="9" t="s">
        <v>85</v>
      </c>
      <c r="AP33" s="9">
        <v>0.484091</v>
      </c>
      <c r="AQ33" s="9" t="s">
        <v>85</v>
      </c>
      <c r="AR33" s="9" t="s">
        <v>85</v>
      </c>
      <c r="AS33" s="9">
        <v>0.484091</v>
      </c>
      <c r="AT33" s="9" t="s">
        <v>85</v>
      </c>
      <c r="AU33" s="9" t="s">
        <v>85</v>
      </c>
      <c r="AV33" s="9" t="s">
        <v>85</v>
      </c>
      <c r="AW33" s="9" t="s">
        <v>85</v>
      </c>
      <c r="AX33" s="9" t="s">
        <v>85</v>
      </c>
      <c r="AY33" s="9" t="s">
        <v>85</v>
      </c>
      <c r="AZ33" s="9" t="s">
        <v>85</v>
      </c>
      <c r="BA33" s="9" t="s">
        <v>85</v>
      </c>
      <c r="BB33" s="9" t="s">
        <v>85</v>
      </c>
      <c r="BC33" s="10" t="s">
        <v>85</v>
      </c>
      <c r="BD33" s="9" t="s">
        <v>85</v>
      </c>
      <c r="BE33" s="9" t="s">
        <v>85</v>
      </c>
      <c r="BF33" s="10" t="s">
        <v>85</v>
      </c>
      <c r="BG33" s="10" t="s">
        <v>85</v>
      </c>
      <c r="BH33" s="9" t="s">
        <v>85</v>
      </c>
      <c r="BI33" s="6"/>
      <c r="BJ33" s="6" t="str">
        <f t="shared" si="1"/>
        <v>5Bo_One_Acc</v>
      </c>
      <c r="BK33" s="6" t="str">
        <f t="shared" si="2"/>
        <v>5Bo_One_Acc</v>
      </c>
      <c r="BL33" s="6" t="str">
        <f t="shared" si="3"/>
        <v>5Bo_One_Acc</v>
      </c>
      <c r="BM33" s="6"/>
      <c r="BN33" s="6">
        <f t="shared" si="4"/>
        <v>5</v>
      </c>
      <c r="BO33" s="6"/>
      <c r="BP33" s="6"/>
      <c r="BQ33" s="24"/>
      <c r="BR33" s="24"/>
      <c r="BS33" s="24"/>
      <c r="BT33" s="24"/>
      <c r="BU33" s="6"/>
      <c r="BV33" s="6"/>
      <c r="BX33" s="6"/>
    </row>
    <row r="34" ht="15.75" customHeight="1">
      <c r="A34" s="14" t="s">
        <v>128</v>
      </c>
      <c r="B34" s="17">
        <v>500.0</v>
      </c>
      <c r="C34" s="17">
        <v>2.0</v>
      </c>
      <c r="D34" s="9" t="s">
        <v>85</v>
      </c>
      <c r="E34" s="9" t="s">
        <v>85</v>
      </c>
      <c r="F34" s="9">
        <v>0.504938</v>
      </c>
      <c r="G34" s="9" t="s">
        <v>85</v>
      </c>
      <c r="H34" s="9" t="s">
        <v>85</v>
      </c>
      <c r="I34" s="9">
        <v>0.504938</v>
      </c>
      <c r="J34" s="9" t="s">
        <v>85</v>
      </c>
      <c r="K34" s="9" t="s">
        <v>85</v>
      </c>
      <c r="L34" s="9" t="s">
        <v>85</v>
      </c>
      <c r="M34" s="9" t="s">
        <v>85</v>
      </c>
      <c r="N34" s="9" t="s">
        <v>85</v>
      </c>
      <c r="O34" s="9" t="s">
        <v>85</v>
      </c>
      <c r="P34" s="9" t="s">
        <v>85</v>
      </c>
      <c r="Q34" s="9" t="s">
        <v>85</v>
      </c>
      <c r="R34" s="9">
        <v>0.504938</v>
      </c>
      <c r="S34" s="9" t="s">
        <v>85</v>
      </c>
      <c r="T34" s="9" t="s">
        <v>85</v>
      </c>
      <c r="U34" s="9">
        <v>0.504938</v>
      </c>
      <c r="V34" s="9" t="s">
        <v>85</v>
      </c>
      <c r="W34" s="9" t="s">
        <v>85</v>
      </c>
      <c r="X34" s="9" t="s">
        <v>85</v>
      </c>
      <c r="Y34" s="9" t="s">
        <v>85</v>
      </c>
      <c r="Z34" s="9" t="s">
        <v>85</v>
      </c>
      <c r="AA34" s="9" t="s">
        <v>85</v>
      </c>
      <c r="AB34" s="10" t="s">
        <v>85</v>
      </c>
      <c r="AC34" s="10" t="s">
        <v>85</v>
      </c>
      <c r="AD34" s="9">
        <v>0.504938</v>
      </c>
      <c r="AE34" s="9" t="s">
        <v>85</v>
      </c>
      <c r="AF34" s="9" t="s">
        <v>85</v>
      </c>
      <c r="AG34" s="9">
        <v>0.504938</v>
      </c>
      <c r="AH34" s="9" t="s">
        <v>85</v>
      </c>
      <c r="AI34" s="9" t="s">
        <v>85</v>
      </c>
      <c r="AJ34" s="9" t="s">
        <v>85</v>
      </c>
      <c r="AK34" s="9" t="s">
        <v>85</v>
      </c>
      <c r="AL34" s="9" t="s">
        <v>85</v>
      </c>
      <c r="AM34" s="9" t="s">
        <v>85</v>
      </c>
      <c r="AN34" s="9" t="s">
        <v>85</v>
      </c>
      <c r="AO34" s="9" t="s">
        <v>85</v>
      </c>
      <c r="AP34" s="9">
        <v>0.504938</v>
      </c>
      <c r="AQ34" s="9" t="s">
        <v>85</v>
      </c>
      <c r="AR34" s="9" t="s">
        <v>85</v>
      </c>
      <c r="AS34" s="9">
        <v>0.504938</v>
      </c>
      <c r="AT34" s="9" t="s">
        <v>85</v>
      </c>
      <c r="AU34" s="9" t="s">
        <v>85</v>
      </c>
      <c r="AV34" s="9" t="s">
        <v>85</v>
      </c>
      <c r="AW34" s="9" t="s">
        <v>85</v>
      </c>
      <c r="AX34" s="9" t="s">
        <v>85</v>
      </c>
      <c r="AY34" s="9" t="s">
        <v>85</v>
      </c>
      <c r="AZ34" s="9" t="s">
        <v>85</v>
      </c>
      <c r="BA34" s="9" t="s">
        <v>85</v>
      </c>
      <c r="BB34" s="9" t="s">
        <v>85</v>
      </c>
      <c r="BC34" s="10" t="s">
        <v>85</v>
      </c>
      <c r="BD34" s="9" t="s">
        <v>85</v>
      </c>
      <c r="BE34" s="9" t="s">
        <v>85</v>
      </c>
      <c r="BF34" s="10" t="s">
        <v>85</v>
      </c>
      <c r="BG34" s="10" t="s">
        <v>85</v>
      </c>
      <c r="BH34" s="9" t="s">
        <v>85</v>
      </c>
      <c r="BI34" s="6"/>
      <c r="BJ34" s="6" t="str">
        <f t="shared" si="1"/>
        <v>5Bo_One_Acc</v>
      </c>
      <c r="BK34" s="6" t="str">
        <f t="shared" si="2"/>
        <v>5Bo_One_Acc</v>
      </c>
      <c r="BL34" s="6" t="str">
        <f t="shared" si="3"/>
        <v>5Bo_One_Acc</v>
      </c>
      <c r="BM34" s="6"/>
      <c r="BN34" s="6">
        <f t="shared" si="4"/>
        <v>5</v>
      </c>
      <c r="BO34" s="6"/>
      <c r="BP34" s="6"/>
      <c r="BQ34" s="24"/>
      <c r="BR34" s="24"/>
      <c r="BS34" s="24"/>
      <c r="BT34" s="24"/>
      <c r="BU34" s="6"/>
      <c r="BV34" s="6"/>
      <c r="BW34" s="6"/>
      <c r="BX34" s="6"/>
    </row>
    <row r="35" ht="15.75" customHeight="1">
      <c r="A35" s="1" t="s">
        <v>129</v>
      </c>
      <c r="B35" s="17">
        <v>301.0</v>
      </c>
      <c r="C35" s="17">
        <v>2.0</v>
      </c>
      <c r="D35" s="9" t="s">
        <v>85</v>
      </c>
      <c r="E35" s="9" t="s">
        <v>85</v>
      </c>
      <c r="F35" s="9">
        <v>0.968421</v>
      </c>
      <c r="G35" s="9" t="s">
        <v>85</v>
      </c>
      <c r="H35" s="9" t="s">
        <v>85</v>
      </c>
      <c r="I35" s="9">
        <v>0.5</v>
      </c>
      <c r="J35" s="9" t="s">
        <v>85</v>
      </c>
      <c r="K35" s="9" t="s">
        <v>85</v>
      </c>
      <c r="L35" s="9" t="s">
        <v>85</v>
      </c>
      <c r="M35" s="9" t="s">
        <v>85</v>
      </c>
      <c r="N35" s="9" t="s">
        <v>85</v>
      </c>
      <c r="O35" s="9" t="s">
        <v>85</v>
      </c>
      <c r="P35" s="9" t="s">
        <v>85</v>
      </c>
      <c r="Q35" s="9" t="s">
        <v>85</v>
      </c>
      <c r="R35" s="9">
        <v>0.969825</v>
      </c>
      <c r="S35" s="9" t="s">
        <v>85</v>
      </c>
      <c r="T35" s="9" t="s">
        <v>85</v>
      </c>
      <c r="U35" s="9">
        <v>0.971579</v>
      </c>
      <c r="V35" s="9" t="s">
        <v>85</v>
      </c>
      <c r="W35" s="9" t="s">
        <v>85</v>
      </c>
      <c r="X35" s="9" t="s">
        <v>85</v>
      </c>
      <c r="Y35" s="9" t="s">
        <v>85</v>
      </c>
      <c r="Z35" s="9" t="s">
        <v>85</v>
      </c>
      <c r="AA35" s="9" t="s">
        <v>85</v>
      </c>
      <c r="AB35" s="10" t="s">
        <v>85</v>
      </c>
      <c r="AC35" s="10" t="s">
        <v>85</v>
      </c>
      <c r="AD35" s="9">
        <v>0.976491</v>
      </c>
      <c r="AE35" s="9" t="s">
        <v>85</v>
      </c>
      <c r="AF35" s="9" t="s">
        <v>85</v>
      </c>
      <c r="AG35" s="9">
        <v>0.972281</v>
      </c>
      <c r="AH35" s="9" t="s">
        <v>85</v>
      </c>
      <c r="AI35" s="9" t="s">
        <v>85</v>
      </c>
      <c r="AJ35" s="9" t="s">
        <v>85</v>
      </c>
      <c r="AK35" s="9" t="s">
        <v>85</v>
      </c>
      <c r="AL35" s="9" t="s">
        <v>85</v>
      </c>
      <c r="AM35" s="9" t="s">
        <v>85</v>
      </c>
      <c r="AN35" s="9" t="s">
        <v>85</v>
      </c>
      <c r="AO35" s="9" t="s">
        <v>85</v>
      </c>
      <c r="AP35" s="9">
        <v>0.96807</v>
      </c>
      <c r="AQ35" s="9" t="s">
        <v>85</v>
      </c>
      <c r="AR35" s="9" t="s">
        <v>85</v>
      </c>
      <c r="AS35" s="9">
        <v>0.964912</v>
      </c>
      <c r="AT35" s="9" t="s">
        <v>85</v>
      </c>
      <c r="AU35" s="9" t="s">
        <v>85</v>
      </c>
      <c r="AV35" s="9" t="s">
        <v>85</v>
      </c>
      <c r="AW35" s="9" t="s">
        <v>85</v>
      </c>
      <c r="AX35" s="9" t="s">
        <v>85</v>
      </c>
      <c r="AY35" s="9" t="s">
        <v>85</v>
      </c>
      <c r="AZ35" s="9" t="s">
        <v>85</v>
      </c>
      <c r="BA35" s="9" t="s">
        <v>85</v>
      </c>
      <c r="BB35" s="9" t="s">
        <v>85</v>
      </c>
      <c r="BC35" s="10" t="s">
        <v>85</v>
      </c>
      <c r="BD35" s="9" t="s">
        <v>85</v>
      </c>
      <c r="BE35" s="9" t="s">
        <v>85</v>
      </c>
      <c r="BF35" s="10" t="s">
        <v>85</v>
      </c>
      <c r="BG35" s="10" t="s">
        <v>85</v>
      </c>
      <c r="BH35" s="9" t="s">
        <v>85</v>
      </c>
      <c r="BI35" s="6"/>
      <c r="BJ35" s="6" t="str">
        <f t="shared" si="1"/>
        <v>10Bo_One_Acc</v>
      </c>
      <c r="BK35" s="6" t="str">
        <f t="shared" si="2"/>
        <v>10BoN_One_Acc</v>
      </c>
      <c r="BL35" s="6" t="str">
        <f t="shared" si="3"/>
        <v>8BoN_One_Acc</v>
      </c>
      <c r="BM35" s="6"/>
      <c r="BN35" s="6">
        <f t="shared" si="4"/>
        <v>10</v>
      </c>
      <c r="BO35" s="6"/>
      <c r="BP35" s="6"/>
      <c r="BQ35" s="24"/>
      <c r="BR35" s="24"/>
      <c r="BS35" s="24"/>
      <c r="BT35" s="24"/>
      <c r="BU35" s="6"/>
      <c r="BV35" s="6"/>
      <c r="BW35" s="6" t="s">
        <v>293</v>
      </c>
      <c r="BX35" s="6"/>
    </row>
    <row r="36" ht="15.75" customHeight="1">
      <c r="A36" s="1" t="s">
        <v>130</v>
      </c>
      <c r="B36" s="17">
        <v>301.0</v>
      </c>
      <c r="C36" s="17">
        <v>2.0</v>
      </c>
      <c r="D36" s="9" t="s">
        <v>85</v>
      </c>
      <c r="E36" s="9" t="s">
        <v>85</v>
      </c>
      <c r="F36" s="9">
        <v>0.961403</v>
      </c>
      <c r="G36" s="9" t="s">
        <v>85</v>
      </c>
      <c r="H36" s="9" t="s">
        <v>85</v>
      </c>
      <c r="I36" s="9">
        <v>0.5</v>
      </c>
      <c r="J36" s="9" t="s">
        <v>85</v>
      </c>
      <c r="K36" s="9" t="s">
        <v>85</v>
      </c>
      <c r="L36" s="9" t="s">
        <v>85</v>
      </c>
      <c r="M36" s="9" t="s">
        <v>85</v>
      </c>
      <c r="N36" s="9" t="s">
        <v>85</v>
      </c>
      <c r="O36" s="9" t="s">
        <v>85</v>
      </c>
      <c r="P36" s="9" t="s">
        <v>85</v>
      </c>
      <c r="Q36" s="9" t="s">
        <v>85</v>
      </c>
      <c r="R36" s="9">
        <v>0.949825</v>
      </c>
      <c r="S36" s="9" t="s">
        <v>85</v>
      </c>
      <c r="T36" s="9" t="s">
        <v>85</v>
      </c>
      <c r="U36" s="9">
        <v>0.948772</v>
      </c>
      <c r="V36" s="9" t="s">
        <v>85</v>
      </c>
      <c r="W36" s="9" t="s">
        <v>85</v>
      </c>
      <c r="X36" s="9" t="s">
        <v>85</v>
      </c>
      <c r="Y36" s="9" t="s">
        <v>85</v>
      </c>
      <c r="Z36" s="9" t="s">
        <v>85</v>
      </c>
      <c r="AA36" s="9" t="s">
        <v>85</v>
      </c>
      <c r="AB36" s="10" t="s">
        <v>85</v>
      </c>
      <c r="AC36" s="10" t="s">
        <v>85</v>
      </c>
      <c r="AD36" s="1" t="s">
        <v>85</v>
      </c>
      <c r="AE36" s="9" t="s">
        <v>85</v>
      </c>
      <c r="AF36" s="9" t="s">
        <v>85</v>
      </c>
      <c r="AG36" s="9">
        <v>0.94807</v>
      </c>
      <c r="AH36" s="9" t="s">
        <v>85</v>
      </c>
      <c r="AI36" s="9" t="s">
        <v>85</v>
      </c>
      <c r="AJ36" s="9" t="s">
        <v>85</v>
      </c>
      <c r="AK36" s="9" t="s">
        <v>85</v>
      </c>
      <c r="AL36" s="9" t="s">
        <v>85</v>
      </c>
      <c r="AM36" s="9" t="s">
        <v>85</v>
      </c>
      <c r="AN36" s="9" t="s">
        <v>85</v>
      </c>
      <c r="AO36" s="9" t="s">
        <v>85</v>
      </c>
      <c r="AP36" s="9">
        <v>0.952281</v>
      </c>
      <c r="AQ36" s="9" t="s">
        <v>85</v>
      </c>
      <c r="AR36" s="9" t="s">
        <v>85</v>
      </c>
      <c r="AS36" s="9">
        <v>0.95614</v>
      </c>
      <c r="AT36" s="9" t="s">
        <v>85</v>
      </c>
      <c r="AU36" s="9" t="s">
        <v>85</v>
      </c>
      <c r="AV36" s="9" t="s">
        <v>85</v>
      </c>
      <c r="AW36" s="9" t="s">
        <v>85</v>
      </c>
      <c r="AX36" s="9" t="s">
        <v>85</v>
      </c>
      <c r="AY36" s="9" t="s">
        <v>85</v>
      </c>
      <c r="AZ36" s="9" t="s">
        <v>85</v>
      </c>
      <c r="BA36" s="9" t="s">
        <v>85</v>
      </c>
      <c r="BB36" s="9" t="s">
        <v>85</v>
      </c>
      <c r="BC36" s="10" t="s">
        <v>85</v>
      </c>
      <c r="BD36" s="9" t="s">
        <v>85</v>
      </c>
      <c r="BE36" s="9" t="s">
        <v>85</v>
      </c>
      <c r="BF36" s="10" t="s">
        <v>85</v>
      </c>
      <c r="BG36" s="10" t="s">
        <v>85</v>
      </c>
      <c r="BH36" s="9" t="s">
        <v>85</v>
      </c>
      <c r="BI36" s="6"/>
      <c r="BJ36" s="6" t="str">
        <f t="shared" si="1"/>
        <v>5Bo_One_Acc</v>
      </c>
      <c r="BK36" s="6" t="str">
        <f t="shared" si="2"/>
        <v>12BoN_One_Acc</v>
      </c>
      <c r="BL36" s="6" t="str">
        <f t="shared" si="3"/>
        <v>12Bo_One_Acc</v>
      </c>
      <c r="BM36" s="6"/>
      <c r="BN36" s="6">
        <f t="shared" si="4"/>
        <v>5</v>
      </c>
      <c r="BO36" s="6"/>
      <c r="BP36" s="6"/>
      <c r="BQ36" s="24"/>
      <c r="BR36" s="24"/>
      <c r="BS36" s="24"/>
      <c r="BT36" s="24"/>
      <c r="BU36" s="6"/>
      <c r="BW36" s="6"/>
      <c r="BX36" s="6"/>
    </row>
    <row r="37" ht="15.75" customHeight="1">
      <c r="A37" s="1" t="s">
        <v>131</v>
      </c>
      <c r="B37" s="17">
        <v>150.0</v>
      </c>
      <c r="C37" s="17">
        <v>2.0</v>
      </c>
      <c r="D37" s="9" t="s">
        <v>85</v>
      </c>
      <c r="E37" s="9" t="s">
        <v>85</v>
      </c>
      <c r="F37" s="9">
        <v>0.92</v>
      </c>
      <c r="G37" s="9" t="s">
        <v>85</v>
      </c>
      <c r="H37" s="9" t="s">
        <v>85</v>
      </c>
      <c r="I37" s="9">
        <v>0.493333</v>
      </c>
      <c r="J37" s="9" t="s">
        <v>85</v>
      </c>
      <c r="K37" s="9" t="s">
        <v>85</v>
      </c>
      <c r="L37" s="9" t="s">
        <v>85</v>
      </c>
      <c r="M37" s="9" t="s">
        <v>85</v>
      </c>
      <c r="N37" s="9" t="s">
        <v>85</v>
      </c>
      <c r="O37" s="9" t="s">
        <v>85</v>
      </c>
      <c r="P37" s="9" t="s">
        <v>85</v>
      </c>
      <c r="Q37" s="9" t="s">
        <v>85</v>
      </c>
      <c r="R37" s="9">
        <v>0.973333</v>
      </c>
      <c r="S37" s="9" t="s">
        <v>85</v>
      </c>
      <c r="T37" s="9" t="s">
        <v>85</v>
      </c>
      <c r="U37" s="9">
        <v>0.966667</v>
      </c>
      <c r="V37" s="9" t="s">
        <v>85</v>
      </c>
      <c r="W37" s="9" t="s">
        <v>85</v>
      </c>
      <c r="X37" s="9" t="s">
        <v>85</v>
      </c>
      <c r="Y37" s="9" t="s">
        <v>85</v>
      </c>
      <c r="Z37" s="9" t="s">
        <v>85</v>
      </c>
      <c r="AA37" s="9" t="s">
        <v>85</v>
      </c>
      <c r="AB37" s="10" t="s">
        <v>85</v>
      </c>
      <c r="AC37" s="10" t="s">
        <v>85</v>
      </c>
      <c r="AD37" s="9">
        <v>0.953333</v>
      </c>
      <c r="AE37" s="9" t="s">
        <v>85</v>
      </c>
      <c r="AF37" s="9" t="s">
        <v>85</v>
      </c>
      <c r="AG37" s="9">
        <v>0.946667</v>
      </c>
      <c r="AH37" s="9" t="s">
        <v>85</v>
      </c>
      <c r="AI37" s="9" t="s">
        <v>85</v>
      </c>
      <c r="AJ37" s="9" t="s">
        <v>85</v>
      </c>
      <c r="AK37" s="9" t="s">
        <v>85</v>
      </c>
      <c r="AL37" s="9" t="s">
        <v>85</v>
      </c>
      <c r="AM37" s="9" t="s">
        <v>85</v>
      </c>
      <c r="AN37" s="9" t="s">
        <v>85</v>
      </c>
      <c r="AO37" s="9" t="s">
        <v>85</v>
      </c>
      <c r="AP37" s="9">
        <v>0.92</v>
      </c>
      <c r="AQ37" s="9" t="s">
        <v>85</v>
      </c>
      <c r="AR37" s="9" t="s">
        <v>85</v>
      </c>
      <c r="AS37" s="9">
        <v>0.94</v>
      </c>
      <c r="AT37" s="9" t="s">
        <v>85</v>
      </c>
      <c r="AU37" s="9" t="s">
        <v>85</v>
      </c>
      <c r="AV37" s="9" t="s">
        <v>85</v>
      </c>
      <c r="AW37" s="9" t="s">
        <v>85</v>
      </c>
      <c r="AX37" s="9" t="s">
        <v>85</v>
      </c>
      <c r="AY37" s="9" t="s">
        <v>85</v>
      </c>
      <c r="AZ37" s="9" t="s">
        <v>85</v>
      </c>
      <c r="BA37" s="9" t="s">
        <v>85</v>
      </c>
      <c r="BB37" s="9" t="s">
        <v>85</v>
      </c>
      <c r="BC37" s="10" t="s">
        <v>85</v>
      </c>
      <c r="BD37" s="9" t="s">
        <v>85</v>
      </c>
      <c r="BE37" s="9" t="s">
        <v>85</v>
      </c>
      <c r="BF37" s="10" t="s">
        <v>85</v>
      </c>
      <c r="BG37" s="10" t="s">
        <v>85</v>
      </c>
      <c r="BH37" s="9" t="s">
        <v>85</v>
      </c>
      <c r="BI37" s="6"/>
      <c r="BJ37" s="6" t="str">
        <f t="shared" si="1"/>
        <v>8Bo_One_Acc</v>
      </c>
      <c r="BK37" s="6" t="str">
        <f t="shared" si="2"/>
        <v>8BoN_One_Acc</v>
      </c>
      <c r="BL37" s="6" t="str">
        <f t="shared" si="3"/>
        <v>10Bo_One_Acc</v>
      </c>
      <c r="BM37" s="6"/>
      <c r="BN37" s="6">
        <f t="shared" si="4"/>
        <v>8</v>
      </c>
      <c r="BO37" s="6"/>
      <c r="BP37" s="6"/>
      <c r="BQ37" s="24"/>
      <c r="BR37" s="24"/>
      <c r="BS37" s="24"/>
      <c r="BT37" s="24"/>
      <c r="BU37" s="6"/>
      <c r="BV37" s="6"/>
      <c r="BW37" s="6"/>
      <c r="BX37" s="6"/>
    </row>
    <row r="38" ht="15.75" customHeight="1">
      <c r="A38" s="1" t="s">
        <v>132</v>
      </c>
      <c r="B38" s="17">
        <v>150.0</v>
      </c>
      <c r="C38" s="17">
        <v>2.0</v>
      </c>
      <c r="D38" s="9" t="s">
        <v>85</v>
      </c>
      <c r="E38" s="9" t="s">
        <v>85</v>
      </c>
      <c r="F38" s="9">
        <v>0.974684</v>
      </c>
      <c r="G38" s="9" t="s">
        <v>85</v>
      </c>
      <c r="H38" s="9" t="s">
        <v>85</v>
      </c>
      <c r="I38" s="9">
        <v>0.493671</v>
      </c>
      <c r="J38" s="9" t="s">
        <v>85</v>
      </c>
      <c r="K38" s="9" t="s">
        <v>85</v>
      </c>
      <c r="L38" s="9" t="s">
        <v>85</v>
      </c>
      <c r="M38" s="9" t="s">
        <v>85</v>
      </c>
      <c r="N38" s="9" t="s">
        <v>85</v>
      </c>
      <c r="O38" s="9" t="s">
        <v>85</v>
      </c>
      <c r="P38" s="9" t="s">
        <v>85</v>
      </c>
      <c r="Q38" s="9" t="s">
        <v>85</v>
      </c>
      <c r="R38" s="9">
        <v>0.952532</v>
      </c>
      <c r="S38" s="9" t="s">
        <v>85</v>
      </c>
      <c r="T38" s="9" t="s">
        <v>85</v>
      </c>
      <c r="U38" s="9">
        <v>0.96519</v>
      </c>
      <c r="V38" s="9" t="s">
        <v>85</v>
      </c>
      <c r="W38" s="9" t="s">
        <v>85</v>
      </c>
      <c r="X38" s="9" t="s">
        <v>85</v>
      </c>
      <c r="Y38" s="9" t="s">
        <v>85</v>
      </c>
      <c r="Z38" s="9" t="s">
        <v>85</v>
      </c>
      <c r="AA38" s="9" t="s">
        <v>85</v>
      </c>
      <c r="AB38" s="10" t="s">
        <v>85</v>
      </c>
      <c r="AC38" s="10" t="s">
        <v>85</v>
      </c>
      <c r="AD38" s="9">
        <v>0.955696</v>
      </c>
      <c r="AE38" s="9" t="s">
        <v>85</v>
      </c>
      <c r="AF38" s="9" t="s">
        <v>85</v>
      </c>
      <c r="AG38" s="9">
        <v>0.949367</v>
      </c>
      <c r="AH38" s="9" t="s">
        <v>85</v>
      </c>
      <c r="AI38" s="9" t="s">
        <v>85</v>
      </c>
      <c r="AJ38" s="9" t="s">
        <v>85</v>
      </c>
      <c r="AK38" s="9" t="s">
        <v>85</v>
      </c>
      <c r="AL38" s="9" t="s">
        <v>85</v>
      </c>
      <c r="AM38" s="9" t="s">
        <v>85</v>
      </c>
      <c r="AN38" s="9" t="s">
        <v>85</v>
      </c>
      <c r="AO38" s="9" t="s">
        <v>85</v>
      </c>
      <c r="AP38" s="9">
        <v>0.933544</v>
      </c>
      <c r="AQ38" s="9" t="s">
        <v>85</v>
      </c>
      <c r="AR38" s="9" t="s">
        <v>85</v>
      </c>
      <c r="AS38" s="9">
        <v>0.946203</v>
      </c>
      <c r="AT38" s="9" t="s">
        <v>85</v>
      </c>
      <c r="AU38" s="9" t="s">
        <v>85</v>
      </c>
      <c r="AV38" s="9" t="s">
        <v>85</v>
      </c>
      <c r="AW38" s="9" t="s">
        <v>85</v>
      </c>
      <c r="AX38" s="9" t="s">
        <v>85</v>
      </c>
      <c r="AY38" s="9" t="s">
        <v>85</v>
      </c>
      <c r="AZ38" s="9" t="s">
        <v>85</v>
      </c>
      <c r="BA38" s="9" t="s">
        <v>85</v>
      </c>
      <c r="BB38" s="9" t="s">
        <v>85</v>
      </c>
      <c r="BC38" s="10" t="s">
        <v>85</v>
      </c>
      <c r="BD38" s="9" t="s">
        <v>85</v>
      </c>
      <c r="BE38" s="9" t="s">
        <v>85</v>
      </c>
      <c r="BF38" s="10" t="s">
        <v>85</v>
      </c>
      <c r="BG38" s="10" t="s">
        <v>85</v>
      </c>
      <c r="BH38" s="9" t="s">
        <v>85</v>
      </c>
      <c r="BI38" s="6"/>
      <c r="BJ38" s="6" t="str">
        <f t="shared" si="1"/>
        <v>5Bo_One_Acc</v>
      </c>
      <c r="BK38" s="6" t="str">
        <f t="shared" si="2"/>
        <v>8BoN_One_Acc</v>
      </c>
      <c r="BL38" s="6" t="str">
        <f t="shared" si="3"/>
        <v>10Bo_One_Acc</v>
      </c>
      <c r="BM38" s="6"/>
      <c r="BN38" s="6">
        <f t="shared" si="4"/>
        <v>5</v>
      </c>
      <c r="BO38" s="6"/>
      <c r="BP38" s="6"/>
      <c r="BQ38" s="6"/>
      <c r="BR38" s="6"/>
      <c r="BS38" s="6"/>
      <c r="BT38" s="6"/>
      <c r="BU38" s="6"/>
      <c r="BV38" s="6"/>
      <c r="BW38" s="6"/>
      <c r="BX38" s="6"/>
    </row>
    <row r="39" ht="15.75" customHeight="1">
      <c r="A39" s="1" t="s">
        <v>133</v>
      </c>
      <c r="B39" s="17">
        <v>150.0</v>
      </c>
      <c r="C39" s="17">
        <v>2.0</v>
      </c>
      <c r="D39" s="9" t="s">
        <v>85</v>
      </c>
      <c r="E39" s="9" t="s">
        <v>85</v>
      </c>
      <c r="F39" s="9">
        <v>0.974684</v>
      </c>
      <c r="G39" s="9" t="s">
        <v>85</v>
      </c>
      <c r="H39" s="9" t="s">
        <v>85</v>
      </c>
      <c r="I39" s="9">
        <v>0.474684</v>
      </c>
      <c r="J39" s="9" t="s">
        <v>85</v>
      </c>
      <c r="K39" s="9" t="s">
        <v>85</v>
      </c>
      <c r="L39" s="9" t="s">
        <v>85</v>
      </c>
      <c r="M39" s="9" t="s">
        <v>85</v>
      </c>
      <c r="N39" s="9" t="s">
        <v>85</v>
      </c>
      <c r="O39" s="9" t="s">
        <v>85</v>
      </c>
      <c r="P39" s="9" t="s">
        <v>85</v>
      </c>
      <c r="Q39" s="9" t="s">
        <v>85</v>
      </c>
      <c r="R39" s="9">
        <v>0.974684</v>
      </c>
      <c r="S39" s="9" t="s">
        <v>85</v>
      </c>
      <c r="T39" s="9" t="s">
        <v>85</v>
      </c>
      <c r="U39" s="9">
        <v>0.977848</v>
      </c>
      <c r="V39" s="9" t="s">
        <v>85</v>
      </c>
      <c r="W39" s="9" t="s">
        <v>85</v>
      </c>
      <c r="X39" s="9" t="s">
        <v>85</v>
      </c>
      <c r="Y39" s="9" t="s">
        <v>85</v>
      </c>
      <c r="Z39" s="9" t="s">
        <v>85</v>
      </c>
      <c r="AA39" s="9" t="s">
        <v>85</v>
      </c>
      <c r="AB39" s="10" t="s">
        <v>85</v>
      </c>
      <c r="AC39" s="10" t="s">
        <v>85</v>
      </c>
      <c r="AD39" s="9">
        <v>0.981013</v>
      </c>
      <c r="AE39" s="9" t="s">
        <v>85</v>
      </c>
      <c r="AF39" s="9" t="s">
        <v>85</v>
      </c>
      <c r="AG39" s="9">
        <v>0.984177</v>
      </c>
      <c r="AH39" s="9" t="s">
        <v>85</v>
      </c>
      <c r="AI39" s="9" t="s">
        <v>85</v>
      </c>
      <c r="AJ39" s="9" t="s">
        <v>85</v>
      </c>
      <c r="AK39" s="9" t="s">
        <v>85</v>
      </c>
      <c r="AL39" s="9" t="s">
        <v>85</v>
      </c>
      <c r="AM39" s="9" t="s">
        <v>85</v>
      </c>
      <c r="AN39" s="9" t="s">
        <v>85</v>
      </c>
      <c r="AO39" s="9" t="s">
        <v>85</v>
      </c>
      <c r="AP39" s="9">
        <v>0.974684</v>
      </c>
      <c r="AQ39" s="9" t="s">
        <v>85</v>
      </c>
      <c r="AR39" s="9" t="s">
        <v>85</v>
      </c>
      <c r="AS39" s="9">
        <v>0.971519</v>
      </c>
      <c r="AT39" s="9" t="s">
        <v>85</v>
      </c>
      <c r="AU39" s="9" t="s">
        <v>85</v>
      </c>
      <c r="AV39" s="9" t="s">
        <v>85</v>
      </c>
      <c r="AW39" s="9" t="s">
        <v>85</v>
      </c>
      <c r="AX39" s="9" t="s">
        <v>85</v>
      </c>
      <c r="AY39" s="9" t="s">
        <v>85</v>
      </c>
      <c r="AZ39" s="9" t="s">
        <v>85</v>
      </c>
      <c r="BA39" s="9" t="s">
        <v>85</v>
      </c>
      <c r="BB39" s="9" t="s">
        <v>85</v>
      </c>
      <c r="BC39" s="10" t="s">
        <v>85</v>
      </c>
      <c r="BD39" s="9" t="s">
        <v>85</v>
      </c>
      <c r="BE39" s="9" t="s">
        <v>85</v>
      </c>
      <c r="BF39" s="10" t="s">
        <v>85</v>
      </c>
      <c r="BG39" s="10" t="s">
        <v>85</v>
      </c>
      <c r="BH39" s="9" t="s">
        <v>85</v>
      </c>
      <c r="BI39" s="6"/>
      <c r="BJ39" s="6" t="str">
        <f t="shared" si="1"/>
        <v>10BoN_One_Acc</v>
      </c>
      <c r="BK39" s="6" t="str">
        <f t="shared" si="2"/>
        <v>10Bo_One_Acc</v>
      </c>
      <c r="BL39" s="6" t="str">
        <f t="shared" si="3"/>
        <v>8BoN_One_Acc</v>
      </c>
      <c r="BM39" s="6"/>
      <c r="BN39" s="6">
        <f t="shared" si="4"/>
        <v>10</v>
      </c>
      <c r="BO39" s="6"/>
      <c r="BP39" s="6"/>
      <c r="BQ39" s="6"/>
      <c r="BR39" s="6"/>
      <c r="BS39" s="6"/>
      <c r="BT39" s="6"/>
      <c r="BU39" s="6"/>
      <c r="BV39" s="6"/>
      <c r="BW39" s="6"/>
      <c r="BX39" s="6"/>
    </row>
    <row r="40" ht="15.75" customHeight="1">
      <c r="A40" s="1" t="s">
        <v>134</v>
      </c>
      <c r="B40" s="17">
        <v>150.0</v>
      </c>
      <c r="C40" s="17">
        <v>2.0</v>
      </c>
      <c r="D40" s="9" t="s">
        <v>85</v>
      </c>
      <c r="E40" s="9" t="s">
        <v>85</v>
      </c>
      <c r="F40" s="9">
        <v>0.961905</v>
      </c>
      <c r="G40" s="9" t="s">
        <v>85</v>
      </c>
      <c r="H40" s="9" t="s">
        <v>85</v>
      </c>
      <c r="I40" s="9">
        <v>0.52381</v>
      </c>
      <c r="J40" s="9" t="s">
        <v>85</v>
      </c>
      <c r="K40" s="9" t="s">
        <v>85</v>
      </c>
      <c r="L40" s="9" t="s">
        <v>85</v>
      </c>
      <c r="M40" s="9" t="s">
        <v>85</v>
      </c>
      <c r="N40" s="9" t="s">
        <v>85</v>
      </c>
      <c r="O40" s="9" t="s">
        <v>85</v>
      </c>
      <c r="P40" s="9" t="s">
        <v>85</v>
      </c>
      <c r="Q40" s="9" t="s">
        <v>85</v>
      </c>
      <c r="R40" s="9">
        <v>0.939683</v>
      </c>
      <c r="S40" s="9" t="s">
        <v>85</v>
      </c>
      <c r="T40" s="9" t="s">
        <v>85</v>
      </c>
      <c r="U40" s="9">
        <v>0.933333</v>
      </c>
      <c r="V40" s="9" t="s">
        <v>85</v>
      </c>
      <c r="W40" s="9" t="s">
        <v>85</v>
      </c>
      <c r="X40" s="9" t="s">
        <v>85</v>
      </c>
      <c r="Y40" s="9" t="s">
        <v>85</v>
      </c>
      <c r="Z40" s="9" t="s">
        <v>85</v>
      </c>
      <c r="AA40" s="9" t="s">
        <v>85</v>
      </c>
      <c r="AB40" s="10" t="s">
        <v>85</v>
      </c>
      <c r="AC40" s="10" t="s">
        <v>85</v>
      </c>
      <c r="AD40" s="9">
        <v>0.952381</v>
      </c>
      <c r="AE40" s="9" t="s">
        <v>85</v>
      </c>
      <c r="AF40" s="9" t="s">
        <v>85</v>
      </c>
      <c r="AG40" s="9">
        <v>0.949206</v>
      </c>
      <c r="AH40" s="9" t="s">
        <v>85</v>
      </c>
      <c r="AI40" s="9" t="s">
        <v>85</v>
      </c>
      <c r="AJ40" s="9" t="s">
        <v>85</v>
      </c>
      <c r="AK40" s="9" t="s">
        <v>85</v>
      </c>
      <c r="AL40" s="9" t="s">
        <v>85</v>
      </c>
      <c r="AM40" s="9" t="s">
        <v>85</v>
      </c>
      <c r="AN40" s="9" t="s">
        <v>85</v>
      </c>
      <c r="AO40" s="9" t="s">
        <v>85</v>
      </c>
      <c r="AP40" s="9">
        <v>0.946032</v>
      </c>
      <c r="AQ40" s="9" t="s">
        <v>85</v>
      </c>
      <c r="AR40" s="9" t="s">
        <v>85</v>
      </c>
      <c r="AS40" s="9">
        <v>0.955556</v>
      </c>
      <c r="AT40" s="9" t="s">
        <v>85</v>
      </c>
      <c r="AU40" s="9" t="s">
        <v>85</v>
      </c>
      <c r="AV40" s="9" t="s">
        <v>85</v>
      </c>
      <c r="AW40" s="9" t="s">
        <v>85</v>
      </c>
      <c r="AX40" s="9" t="s">
        <v>85</v>
      </c>
      <c r="AY40" s="9" t="s">
        <v>85</v>
      </c>
      <c r="AZ40" s="9" t="s">
        <v>85</v>
      </c>
      <c r="BA40" s="9" t="s">
        <v>85</v>
      </c>
      <c r="BB40" s="9" t="s">
        <v>85</v>
      </c>
      <c r="BC40" s="10" t="s">
        <v>85</v>
      </c>
      <c r="BD40" s="9" t="s">
        <v>85</v>
      </c>
      <c r="BE40" s="9" t="s">
        <v>85</v>
      </c>
      <c r="BF40" s="10" t="s">
        <v>85</v>
      </c>
      <c r="BG40" s="10" t="s">
        <v>85</v>
      </c>
      <c r="BH40" s="9" t="s">
        <v>85</v>
      </c>
      <c r="BI40" s="6"/>
      <c r="BJ40" s="6" t="str">
        <f t="shared" si="1"/>
        <v>5Bo_One_Acc</v>
      </c>
      <c r="BK40" s="6" t="str">
        <f t="shared" si="2"/>
        <v>12BoN_One_Acc</v>
      </c>
      <c r="BL40" s="6" t="str">
        <f t="shared" si="3"/>
        <v>10Bo_One_Acc</v>
      </c>
      <c r="BM40" s="6"/>
      <c r="BN40" s="6">
        <f t="shared" si="4"/>
        <v>5</v>
      </c>
      <c r="BO40" s="6"/>
      <c r="BP40" s="6"/>
      <c r="BQ40" s="6"/>
      <c r="BR40" s="6"/>
      <c r="BS40" s="6"/>
      <c r="BT40" s="6"/>
      <c r="BU40" s="6"/>
      <c r="BV40" s="6"/>
      <c r="BW40" s="6"/>
      <c r="BX40" s="6"/>
    </row>
    <row r="41" ht="15.75" customHeight="1">
      <c r="A41" s="1" t="s">
        <v>135</v>
      </c>
      <c r="B41" s="17">
        <v>431.0</v>
      </c>
      <c r="C41" s="17">
        <v>2.0</v>
      </c>
      <c r="D41" s="9" t="s">
        <v>85</v>
      </c>
      <c r="E41" s="9" t="s">
        <v>85</v>
      </c>
      <c r="F41" s="9">
        <v>0.504762</v>
      </c>
      <c r="G41" s="9" t="s">
        <v>85</v>
      </c>
      <c r="H41" s="9" t="s">
        <v>85</v>
      </c>
      <c r="I41" s="9">
        <v>0.52381</v>
      </c>
      <c r="J41" s="9" t="s">
        <v>85</v>
      </c>
      <c r="K41" s="9" t="s">
        <v>85</v>
      </c>
      <c r="L41" s="9" t="s">
        <v>85</v>
      </c>
      <c r="M41" s="9" t="s">
        <v>85</v>
      </c>
      <c r="N41" s="9" t="s">
        <v>85</v>
      </c>
      <c r="O41" s="9" t="s">
        <v>85</v>
      </c>
      <c r="P41" s="9" t="s">
        <v>85</v>
      </c>
      <c r="Q41" s="9" t="s">
        <v>85</v>
      </c>
      <c r="R41" s="9">
        <v>0.552381</v>
      </c>
      <c r="S41" s="9" t="s">
        <v>85</v>
      </c>
      <c r="T41" s="9" t="s">
        <v>85</v>
      </c>
      <c r="U41" s="9">
        <v>0.542857</v>
      </c>
      <c r="V41" s="9" t="s">
        <v>85</v>
      </c>
      <c r="W41" s="9" t="s">
        <v>85</v>
      </c>
      <c r="X41" s="9" t="s">
        <v>85</v>
      </c>
      <c r="Y41" s="9" t="s">
        <v>85</v>
      </c>
      <c r="Z41" s="9" t="s">
        <v>85</v>
      </c>
      <c r="AA41" s="9" t="s">
        <v>85</v>
      </c>
      <c r="AB41" s="10" t="s">
        <v>85</v>
      </c>
      <c r="AC41" s="10" t="s">
        <v>85</v>
      </c>
      <c r="AD41" s="9">
        <v>0.552381</v>
      </c>
      <c r="AE41" s="9" t="s">
        <v>85</v>
      </c>
      <c r="AF41" s="9" t="s">
        <v>85</v>
      </c>
      <c r="AG41" s="9">
        <v>0.571429</v>
      </c>
      <c r="AH41" s="9" t="s">
        <v>85</v>
      </c>
      <c r="AI41" s="9" t="s">
        <v>85</v>
      </c>
      <c r="AJ41" s="9" t="s">
        <v>85</v>
      </c>
      <c r="AK41" s="9" t="s">
        <v>85</v>
      </c>
      <c r="AL41" s="9" t="s">
        <v>85</v>
      </c>
      <c r="AM41" s="9" t="s">
        <v>85</v>
      </c>
      <c r="AN41" s="9" t="s">
        <v>85</v>
      </c>
      <c r="AO41" s="9" t="s">
        <v>85</v>
      </c>
      <c r="AP41" s="9">
        <v>0.590476</v>
      </c>
      <c r="AQ41" s="9" t="s">
        <v>85</v>
      </c>
      <c r="AR41" s="9" t="s">
        <v>85</v>
      </c>
      <c r="AS41" s="9">
        <v>0.542857</v>
      </c>
      <c r="AT41" s="9" t="s">
        <v>85</v>
      </c>
      <c r="AU41" s="9" t="s">
        <v>85</v>
      </c>
      <c r="AV41" s="9" t="s">
        <v>85</v>
      </c>
      <c r="AW41" s="9" t="s">
        <v>85</v>
      </c>
      <c r="AX41" s="9" t="s">
        <v>85</v>
      </c>
      <c r="AY41" s="9" t="s">
        <v>85</v>
      </c>
      <c r="AZ41" s="9" t="s">
        <v>85</v>
      </c>
      <c r="BA41" s="9" t="s">
        <v>85</v>
      </c>
      <c r="BB41" s="9" t="s">
        <v>85</v>
      </c>
      <c r="BC41" s="10" t="s">
        <v>85</v>
      </c>
      <c r="BD41" s="9" t="s">
        <v>85</v>
      </c>
      <c r="BE41" s="9" t="s">
        <v>85</v>
      </c>
      <c r="BF41" s="10" t="s">
        <v>85</v>
      </c>
      <c r="BG41" s="10" t="s">
        <v>85</v>
      </c>
      <c r="BH41" s="9" t="s">
        <v>85</v>
      </c>
      <c r="BI41" s="6"/>
      <c r="BJ41" s="6" t="str">
        <f t="shared" si="1"/>
        <v>12Bo_One_Acc</v>
      </c>
      <c r="BK41" s="6" t="str">
        <f t="shared" si="2"/>
        <v>10BoN_One_Acc</v>
      </c>
      <c r="BL41" s="6" t="str">
        <f t="shared" si="3"/>
        <v>8Bo_One_Acc</v>
      </c>
      <c r="BM41" s="6"/>
      <c r="BN41" s="6">
        <f t="shared" si="4"/>
        <v>12</v>
      </c>
      <c r="BO41" s="6"/>
      <c r="BP41" s="6"/>
      <c r="BQ41" s="6"/>
      <c r="BR41" s="6"/>
      <c r="BS41" s="6"/>
      <c r="BT41" s="6"/>
      <c r="BU41" s="6"/>
      <c r="BV41" s="6"/>
      <c r="BW41" s="6"/>
      <c r="BX41" s="6"/>
    </row>
    <row r="42" ht="15.75" customHeight="1">
      <c r="A42" s="1" t="s">
        <v>136</v>
      </c>
      <c r="B42" s="17">
        <v>1092.0</v>
      </c>
      <c r="C42" s="17">
        <v>5.0</v>
      </c>
      <c r="D42" s="9" t="s">
        <v>85</v>
      </c>
      <c r="E42" s="9" t="s">
        <v>85</v>
      </c>
      <c r="F42" s="9">
        <v>0.37013</v>
      </c>
      <c r="G42" s="9" t="s">
        <v>85</v>
      </c>
      <c r="H42" s="9" t="s">
        <v>85</v>
      </c>
      <c r="I42" s="9">
        <v>0.191558</v>
      </c>
      <c r="J42" s="9" t="s">
        <v>85</v>
      </c>
      <c r="K42" s="9" t="s">
        <v>85</v>
      </c>
      <c r="L42" s="9" t="s">
        <v>85</v>
      </c>
      <c r="M42" s="9" t="s">
        <v>85</v>
      </c>
      <c r="N42" s="9" t="s">
        <v>85</v>
      </c>
      <c r="O42" s="9" t="s">
        <v>85</v>
      </c>
      <c r="P42" s="9" t="s">
        <v>85</v>
      </c>
      <c r="Q42" s="9" t="s">
        <v>85</v>
      </c>
      <c r="R42" s="9">
        <v>0.418831</v>
      </c>
      <c r="S42" s="9" t="s">
        <v>85</v>
      </c>
      <c r="T42" s="9" t="s">
        <v>85</v>
      </c>
      <c r="U42" s="9">
        <v>0.405844</v>
      </c>
      <c r="V42" s="9" t="s">
        <v>85</v>
      </c>
      <c r="W42" s="9" t="s">
        <v>85</v>
      </c>
      <c r="X42" s="9" t="s">
        <v>85</v>
      </c>
      <c r="Y42" s="9" t="s">
        <v>85</v>
      </c>
      <c r="Z42" s="9" t="s">
        <v>85</v>
      </c>
      <c r="AA42" s="9" t="s">
        <v>85</v>
      </c>
      <c r="AB42" s="10" t="s">
        <v>85</v>
      </c>
      <c r="AC42" s="10" t="s">
        <v>85</v>
      </c>
      <c r="AD42" s="9">
        <v>0.402597</v>
      </c>
      <c r="AE42" s="9" t="s">
        <v>85</v>
      </c>
      <c r="AF42" s="9" t="s">
        <v>85</v>
      </c>
      <c r="AG42" s="9">
        <v>0.422078</v>
      </c>
      <c r="AH42" s="9" t="s">
        <v>85</v>
      </c>
      <c r="AI42" s="9" t="s">
        <v>85</v>
      </c>
      <c r="AJ42" s="9" t="s">
        <v>85</v>
      </c>
      <c r="AK42" s="9" t="s">
        <v>85</v>
      </c>
      <c r="AL42" s="9" t="s">
        <v>85</v>
      </c>
      <c r="AM42" s="9" t="s">
        <v>85</v>
      </c>
      <c r="AN42" s="9" t="s">
        <v>85</v>
      </c>
      <c r="AO42" s="9" t="s">
        <v>85</v>
      </c>
      <c r="AP42" s="9">
        <v>0.409091</v>
      </c>
      <c r="AQ42" s="9" t="s">
        <v>85</v>
      </c>
      <c r="AR42" s="9" t="s">
        <v>85</v>
      </c>
      <c r="AS42" s="9">
        <v>0.412338</v>
      </c>
      <c r="AT42" s="9" t="s">
        <v>85</v>
      </c>
      <c r="AU42" s="9" t="s">
        <v>85</v>
      </c>
      <c r="AV42" s="9" t="s">
        <v>85</v>
      </c>
      <c r="AW42" s="9" t="s">
        <v>85</v>
      </c>
      <c r="AX42" s="9" t="s">
        <v>85</v>
      </c>
      <c r="AY42" s="9" t="s">
        <v>85</v>
      </c>
      <c r="AZ42" s="9" t="s">
        <v>85</v>
      </c>
      <c r="BA42" s="9" t="s">
        <v>85</v>
      </c>
      <c r="BB42" s="9" t="s">
        <v>85</v>
      </c>
      <c r="BC42" s="10" t="s">
        <v>85</v>
      </c>
      <c r="BD42" s="9" t="s">
        <v>85</v>
      </c>
      <c r="BE42" s="9" t="s">
        <v>85</v>
      </c>
      <c r="BF42" s="10" t="s">
        <v>85</v>
      </c>
      <c r="BG42" s="10" t="s">
        <v>85</v>
      </c>
      <c r="BH42" s="9" t="s">
        <v>85</v>
      </c>
      <c r="BI42" s="6"/>
      <c r="BJ42" s="6" t="str">
        <f t="shared" si="1"/>
        <v>10BoN_One_Acc</v>
      </c>
      <c r="BK42" s="6" t="str">
        <f t="shared" si="2"/>
        <v>8Bo_One_Acc</v>
      </c>
      <c r="BL42" s="6" t="str">
        <f t="shared" si="3"/>
        <v>12BoN_One_Acc</v>
      </c>
      <c r="BM42" s="6"/>
      <c r="BN42" s="6">
        <f t="shared" si="4"/>
        <v>10</v>
      </c>
      <c r="BO42" s="6"/>
      <c r="BP42" s="6"/>
      <c r="BQ42" s="6"/>
      <c r="BR42" s="6"/>
      <c r="BS42" s="6"/>
      <c r="BT42" s="6"/>
      <c r="BU42" s="6"/>
      <c r="BV42" s="6"/>
      <c r="BW42" s="6"/>
      <c r="BX42" s="6"/>
    </row>
    <row r="43" ht="15.75" customHeight="1">
      <c r="A43" s="1" t="s">
        <v>137</v>
      </c>
      <c r="B43" s="17">
        <v>512.0</v>
      </c>
      <c r="C43" s="17">
        <v>2.0</v>
      </c>
      <c r="D43" s="9" t="s">
        <v>85</v>
      </c>
      <c r="E43" s="9" t="s">
        <v>85</v>
      </c>
      <c r="F43" s="9">
        <v>0.5625</v>
      </c>
      <c r="G43" s="9" t="s">
        <v>85</v>
      </c>
      <c r="H43" s="9" t="s">
        <v>85</v>
      </c>
      <c r="I43" s="9">
        <v>0.59375</v>
      </c>
      <c r="J43" s="9" t="s">
        <v>85</v>
      </c>
      <c r="K43" s="9" t="s">
        <v>85</v>
      </c>
      <c r="L43" s="9" t="s">
        <v>85</v>
      </c>
      <c r="M43" s="9" t="s">
        <v>85</v>
      </c>
      <c r="N43" s="9" t="s">
        <v>85</v>
      </c>
      <c r="O43" s="9" t="s">
        <v>85</v>
      </c>
      <c r="P43" s="9" t="s">
        <v>85</v>
      </c>
      <c r="Q43" s="9" t="s">
        <v>85</v>
      </c>
      <c r="R43" s="9">
        <v>0.484375</v>
      </c>
      <c r="S43" s="9" t="s">
        <v>85</v>
      </c>
      <c r="T43" s="9" t="s">
        <v>85</v>
      </c>
      <c r="U43" s="9">
        <v>0.4375</v>
      </c>
      <c r="V43" s="9" t="s">
        <v>85</v>
      </c>
      <c r="W43" s="9" t="s">
        <v>85</v>
      </c>
      <c r="X43" s="9" t="s">
        <v>85</v>
      </c>
      <c r="Y43" s="9" t="s">
        <v>85</v>
      </c>
      <c r="Z43" s="9" t="s">
        <v>85</v>
      </c>
      <c r="AA43" s="9" t="s">
        <v>85</v>
      </c>
      <c r="AB43" s="10" t="s">
        <v>85</v>
      </c>
      <c r="AC43" s="10" t="s">
        <v>85</v>
      </c>
      <c r="AD43" s="9">
        <v>0.578125</v>
      </c>
      <c r="AE43" s="9" t="s">
        <v>85</v>
      </c>
      <c r="AF43" s="9" t="s">
        <v>85</v>
      </c>
      <c r="AG43" s="9">
        <v>0.5625</v>
      </c>
      <c r="AH43" s="9" t="s">
        <v>85</v>
      </c>
      <c r="AI43" s="9" t="s">
        <v>85</v>
      </c>
      <c r="AJ43" s="9" t="s">
        <v>85</v>
      </c>
      <c r="AK43" s="9" t="s">
        <v>85</v>
      </c>
      <c r="AL43" s="9" t="s">
        <v>85</v>
      </c>
      <c r="AM43" s="9" t="s">
        <v>85</v>
      </c>
      <c r="AN43" s="9" t="s">
        <v>85</v>
      </c>
      <c r="AO43" s="9" t="s">
        <v>85</v>
      </c>
      <c r="AP43" s="9">
        <v>0.484375</v>
      </c>
      <c r="AQ43" s="9" t="s">
        <v>85</v>
      </c>
      <c r="AR43" s="9" t="s">
        <v>85</v>
      </c>
      <c r="AS43" s="9">
        <v>0.484375</v>
      </c>
      <c r="AT43" s="9" t="s">
        <v>85</v>
      </c>
      <c r="AU43" s="9" t="s">
        <v>85</v>
      </c>
      <c r="AV43" s="9" t="s">
        <v>85</v>
      </c>
      <c r="AW43" s="9" t="s">
        <v>85</v>
      </c>
      <c r="AX43" s="9" t="s">
        <v>85</v>
      </c>
      <c r="AY43" s="9" t="s">
        <v>85</v>
      </c>
      <c r="AZ43" s="9" t="s">
        <v>85</v>
      </c>
      <c r="BA43" s="9" t="s">
        <v>85</v>
      </c>
      <c r="BB43" s="9" t="s">
        <v>85</v>
      </c>
      <c r="BC43" s="10" t="s">
        <v>85</v>
      </c>
      <c r="BD43" s="9" t="s">
        <v>85</v>
      </c>
      <c r="BE43" s="9" t="s">
        <v>85</v>
      </c>
      <c r="BF43" s="10" t="s">
        <v>85</v>
      </c>
      <c r="BG43" s="10" t="s">
        <v>85</v>
      </c>
      <c r="BH43" s="9" t="s">
        <v>85</v>
      </c>
      <c r="BI43" s="6"/>
      <c r="BJ43" s="6" t="str">
        <f t="shared" si="1"/>
        <v>5BoN_One_Acc</v>
      </c>
      <c r="BK43" s="6" t="str">
        <f t="shared" si="2"/>
        <v>10Bo_One_Acc</v>
      </c>
      <c r="BL43" s="6" t="str">
        <f t="shared" si="3"/>
        <v>5Bo_One_Acc</v>
      </c>
      <c r="BM43" s="6"/>
      <c r="BN43" s="6">
        <f t="shared" si="4"/>
        <v>5</v>
      </c>
      <c r="BO43" s="6"/>
      <c r="BP43" s="6"/>
      <c r="BQ43" s="6"/>
      <c r="BR43" s="6"/>
      <c r="BS43" s="6"/>
      <c r="BT43" s="6"/>
      <c r="BU43" s="6"/>
      <c r="BV43" s="6"/>
      <c r="BW43" s="6"/>
      <c r="BX43" s="6"/>
    </row>
    <row r="44" ht="15.75" customHeight="1">
      <c r="A44" s="1" t="s">
        <v>138</v>
      </c>
      <c r="B44" s="17">
        <v>3000.0</v>
      </c>
      <c r="C44" s="17">
        <v>2.0</v>
      </c>
      <c r="D44" s="9" t="s">
        <v>85</v>
      </c>
      <c r="E44" s="9" t="s">
        <v>85</v>
      </c>
      <c r="F44" s="9">
        <v>0.798319</v>
      </c>
      <c r="G44" s="9" t="s">
        <v>85</v>
      </c>
      <c r="H44" s="9" t="s">
        <v>85</v>
      </c>
      <c r="I44" s="9">
        <v>0.428571</v>
      </c>
      <c r="J44" s="9" t="s">
        <v>85</v>
      </c>
      <c r="K44" s="9" t="s">
        <v>85</v>
      </c>
      <c r="L44" s="9" t="s">
        <v>85</v>
      </c>
      <c r="M44" s="9" t="s">
        <v>85</v>
      </c>
      <c r="N44" s="9" t="s">
        <v>85</v>
      </c>
      <c r="O44" s="9" t="s">
        <v>85</v>
      </c>
      <c r="P44" s="9" t="s">
        <v>85</v>
      </c>
      <c r="Q44" s="9" t="s">
        <v>85</v>
      </c>
      <c r="R44" s="9">
        <v>0.84874</v>
      </c>
      <c r="S44" s="9" t="s">
        <v>85</v>
      </c>
      <c r="T44" s="9" t="s">
        <v>85</v>
      </c>
      <c r="U44" s="9">
        <v>0.831933</v>
      </c>
      <c r="V44" s="9" t="s">
        <v>85</v>
      </c>
      <c r="W44" s="9" t="s">
        <v>85</v>
      </c>
      <c r="X44" s="9" t="s">
        <v>85</v>
      </c>
      <c r="Y44" s="9" t="s">
        <v>85</v>
      </c>
      <c r="Z44" s="9" t="s">
        <v>85</v>
      </c>
      <c r="AA44" s="9" t="s">
        <v>85</v>
      </c>
      <c r="AB44" s="10" t="s">
        <v>85</v>
      </c>
      <c r="AC44" s="10" t="s">
        <v>85</v>
      </c>
      <c r="AD44" s="9">
        <v>0.84874</v>
      </c>
      <c r="AE44" s="9" t="s">
        <v>85</v>
      </c>
      <c r="AF44" s="9" t="s">
        <v>85</v>
      </c>
      <c r="AG44" s="9">
        <v>0.865546</v>
      </c>
      <c r="AH44" s="9" t="s">
        <v>85</v>
      </c>
      <c r="AI44" s="9" t="s">
        <v>85</v>
      </c>
      <c r="AJ44" s="9" t="s">
        <v>85</v>
      </c>
      <c r="AK44" s="9" t="s">
        <v>85</v>
      </c>
      <c r="AL44" s="9" t="s">
        <v>85</v>
      </c>
      <c r="AM44" s="9" t="s">
        <v>85</v>
      </c>
      <c r="AN44" s="9" t="s">
        <v>85</v>
      </c>
      <c r="AO44" s="9" t="s">
        <v>85</v>
      </c>
      <c r="AP44" s="9">
        <v>0.89916</v>
      </c>
      <c r="AQ44" s="9" t="s">
        <v>85</v>
      </c>
      <c r="AR44" s="9" t="s">
        <v>85</v>
      </c>
      <c r="AS44" s="9">
        <v>0.890756</v>
      </c>
      <c r="AT44" s="9" t="s">
        <v>85</v>
      </c>
      <c r="AU44" s="9" t="s">
        <v>85</v>
      </c>
      <c r="AV44" s="9" t="s">
        <v>85</v>
      </c>
      <c r="AW44" s="9" t="s">
        <v>85</v>
      </c>
      <c r="AX44" s="9" t="s">
        <v>85</v>
      </c>
      <c r="AY44" s="9" t="s">
        <v>85</v>
      </c>
      <c r="AZ44" s="9" t="s">
        <v>85</v>
      </c>
      <c r="BA44" s="9" t="s">
        <v>85</v>
      </c>
      <c r="BB44" s="9" t="s">
        <v>85</v>
      </c>
      <c r="BC44" s="10" t="s">
        <v>85</v>
      </c>
      <c r="BD44" s="9" t="s">
        <v>85</v>
      </c>
      <c r="BE44" s="9" t="s">
        <v>85</v>
      </c>
      <c r="BF44" s="10" t="s">
        <v>85</v>
      </c>
      <c r="BG44" s="10" t="s">
        <v>85</v>
      </c>
      <c r="BH44" s="9" t="s">
        <v>85</v>
      </c>
      <c r="BI44" s="6"/>
      <c r="BJ44" s="6" t="str">
        <f t="shared" si="1"/>
        <v>12Bo_One_Acc</v>
      </c>
      <c r="BK44" s="6" t="str">
        <f t="shared" si="2"/>
        <v>12BoN_One_Acc</v>
      </c>
      <c r="BL44" s="6" t="str">
        <f t="shared" si="3"/>
        <v>10BoN_One_Acc</v>
      </c>
      <c r="BM44" s="6"/>
      <c r="BN44" s="6">
        <f t="shared" si="4"/>
        <v>12</v>
      </c>
      <c r="BO44" s="6"/>
      <c r="BP44" s="6"/>
      <c r="BQ44" s="6"/>
      <c r="BR44" s="6"/>
      <c r="BS44" s="6"/>
      <c r="BT44" s="6"/>
      <c r="BU44" s="6"/>
      <c r="BV44" s="6"/>
      <c r="BW44" s="6"/>
      <c r="BX44" s="6"/>
    </row>
    <row r="45" ht="15.75" customHeight="1">
      <c r="A45" s="1" t="s">
        <v>139</v>
      </c>
      <c r="B45" s="17">
        <v>1882.0</v>
      </c>
      <c r="C45" s="17">
        <v>7.0</v>
      </c>
      <c r="D45" s="9" t="s">
        <v>85</v>
      </c>
      <c r="E45" s="9" t="s">
        <v>85</v>
      </c>
      <c r="F45" s="9">
        <v>0.325455</v>
      </c>
      <c r="G45" s="9" t="s">
        <v>85</v>
      </c>
      <c r="H45" s="9" t="s">
        <v>85</v>
      </c>
      <c r="I45" s="9">
        <v>0.183636</v>
      </c>
      <c r="J45" s="9" t="s">
        <v>85</v>
      </c>
      <c r="K45" s="9" t="s">
        <v>85</v>
      </c>
      <c r="L45" s="9" t="s">
        <v>85</v>
      </c>
      <c r="M45" s="9" t="s">
        <v>85</v>
      </c>
      <c r="N45" s="9" t="s">
        <v>85</v>
      </c>
      <c r="O45" s="9" t="s">
        <v>85</v>
      </c>
      <c r="P45" s="9" t="s">
        <v>85</v>
      </c>
      <c r="Q45" s="9" t="s">
        <v>85</v>
      </c>
      <c r="R45" s="9">
        <v>0.321818</v>
      </c>
      <c r="S45" s="9" t="s">
        <v>85</v>
      </c>
      <c r="T45" s="9" t="s">
        <v>85</v>
      </c>
      <c r="U45" s="9">
        <v>0.318182</v>
      </c>
      <c r="V45" s="9" t="s">
        <v>85</v>
      </c>
      <c r="W45" s="9" t="s">
        <v>85</v>
      </c>
      <c r="X45" s="9" t="s">
        <v>85</v>
      </c>
      <c r="Y45" s="9" t="s">
        <v>85</v>
      </c>
      <c r="Z45" s="9" t="s">
        <v>85</v>
      </c>
      <c r="AA45" s="9" t="s">
        <v>85</v>
      </c>
      <c r="AB45" s="10" t="s">
        <v>85</v>
      </c>
      <c r="AC45" s="10" t="s">
        <v>85</v>
      </c>
      <c r="AD45" s="9">
        <v>0.272727</v>
      </c>
      <c r="AE45" s="9" t="s">
        <v>85</v>
      </c>
      <c r="AF45" s="9" t="s">
        <v>85</v>
      </c>
      <c r="AG45" s="9">
        <v>0.272727</v>
      </c>
      <c r="AH45" s="9" t="s">
        <v>85</v>
      </c>
      <c r="AI45" s="9" t="s">
        <v>85</v>
      </c>
      <c r="AJ45" s="9" t="s">
        <v>85</v>
      </c>
      <c r="AK45" s="9" t="s">
        <v>85</v>
      </c>
      <c r="AL45" s="9" t="s">
        <v>85</v>
      </c>
      <c r="AM45" s="9" t="s">
        <v>85</v>
      </c>
      <c r="AN45" s="9" t="s">
        <v>85</v>
      </c>
      <c r="AO45" s="9" t="s">
        <v>85</v>
      </c>
      <c r="AP45" s="9">
        <v>0.327273</v>
      </c>
      <c r="AQ45" s="9" t="s">
        <v>85</v>
      </c>
      <c r="AR45" s="9" t="s">
        <v>85</v>
      </c>
      <c r="AS45" s="9">
        <v>0.3</v>
      </c>
      <c r="AT45" s="9" t="s">
        <v>85</v>
      </c>
      <c r="AU45" s="9" t="s">
        <v>85</v>
      </c>
      <c r="AV45" s="9" t="s">
        <v>85</v>
      </c>
      <c r="AW45" s="9" t="s">
        <v>85</v>
      </c>
      <c r="AX45" s="9" t="s">
        <v>85</v>
      </c>
      <c r="AY45" s="9" t="s">
        <v>85</v>
      </c>
      <c r="AZ45" s="9" t="s">
        <v>85</v>
      </c>
      <c r="BA45" s="9" t="s">
        <v>85</v>
      </c>
      <c r="BB45" s="9" t="s">
        <v>85</v>
      </c>
      <c r="BC45" s="10" t="s">
        <v>85</v>
      </c>
      <c r="BD45" s="9" t="s">
        <v>85</v>
      </c>
      <c r="BE45" s="9" t="s">
        <v>85</v>
      </c>
      <c r="BF45" s="10" t="s">
        <v>85</v>
      </c>
      <c r="BG45" s="10" t="s">
        <v>85</v>
      </c>
      <c r="BH45" s="9" t="s">
        <v>85</v>
      </c>
      <c r="BI45" s="6"/>
      <c r="BJ45" s="6" t="str">
        <f t="shared" si="1"/>
        <v>12Bo_One_Acc</v>
      </c>
      <c r="BK45" s="6" t="str">
        <f t="shared" si="2"/>
        <v>5Bo_One_Acc</v>
      </c>
      <c r="BL45" s="6" t="str">
        <f t="shared" si="3"/>
        <v>8Bo_One_Acc</v>
      </c>
      <c r="BM45" s="6"/>
      <c r="BN45" s="6">
        <f t="shared" si="4"/>
        <v>12</v>
      </c>
      <c r="BO45" s="6"/>
      <c r="BP45" s="6"/>
      <c r="BQ45" s="6"/>
      <c r="BR45" s="6"/>
      <c r="BS45" s="6"/>
      <c r="BT45" s="6"/>
      <c r="BU45" s="6"/>
      <c r="BV45" s="6"/>
      <c r="BW45" s="6"/>
      <c r="BX45" s="6"/>
    </row>
    <row r="46" ht="15.75" customHeight="1">
      <c r="A46" s="1" t="s">
        <v>140</v>
      </c>
      <c r="B46" s="17">
        <v>601.0</v>
      </c>
      <c r="C46" s="17">
        <v>3.0</v>
      </c>
      <c r="D46" s="9" t="s">
        <v>85</v>
      </c>
      <c r="E46" s="9" t="s">
        <v>85</v>
      </c>
      <c r="F46" s="9">
        <v>0.823293</v>
      </c>
      <c r="G46" s="9" t="s">
        <v>85</v>
      </c>
      <c r="H46" s="9" t="s">
        <v>85</v>
      </c>
      <c r="I46" s="9">
        <v>0.473896</v>
      </c>
      <c r="J46" s="9" t="s">
        <v>85</v>
      </c>
      <c r="K46" s="9" t="s">
        <v>85</v>
      </c>
      <c r="L46" s="9" t="s">
        <v>85</v>
      </c>
      <c r="M46" s="9" t="s">
        <v>85</v>
      </c>
      <c r="N46" s="9" t="s">
        <v>85</v>
      </c>
      <c r="O46" s="9" t="s">
        <v>85</v>
      </c>
      <c r="P46" s="9" t="s">
        <v>85</v>
      </c>
      <c r="Q46" s="9" t="s">
        <v>85</v>
      </c>
      <c r="R46" s="9">
        <v>0.815261</v>
      </c>
      <c r="S46" s="9" t="s">
        <v>85</v>
      </c>
      <c r="T46" s="9" t="s">
        <v>85</v>
      </c>
      <c r="U46" s="9">
        <v>0.839357</v>
      </c>
      <c r="V46" s="9" t="s">
        <v>85</v>
      </c>
      <c r="W46" s="9" t="s">
        <v>85</v>
      </c>
      <c r="X46" s="9" t="s">
        <v>85</v>
      </c>
      <c r="Y46" s="9" t="s">
        <v>85</v>
      </c>
      <c r="Z46" s="9" t="s">
        <v>85</v>
      </c>
      <c r="AA46" s="9" t="s">
        <v>85</v>
      </c>
      <c r="AB46" s="10" t="s">
        <v>85</v>
      </c>
      <c r="AC46" s="10" t="s">
        <v>85</v>
      </c>
      <c r="AD46" s="9">
        <v>0.819277</v>
      </c>
      <c r="AE46" s="9" t="s">
        <v>85</v>
      </c>
      <c r="AF46" s="9" t="s">
        <v>85</v>
      </c>
      <c r="AG46" s="9">
        <v>0.807229</v>
      </c>
      <c r="AH46" s="9" t="s">
        <v>85</v>
      </c>
      <c r="AI46" s="9" t="s">
        <v>85</v>
      </c>
      <c r="AJ46" s="9" t="s">
        <v>85</v>
      </c>
      <c r="AK46" s="9" t="s">
        <v>85</v>
      </c>
      <c r="AL46" s="9" t="s">
        <v>85</v>
      </c>
      <c r="AM46" s="9" t="s">
        <v>85</v>
      </c>
      <c r="AN46" s="9" t="s">
        <v>85</v>
      </c>
      <c r="AO46" s="9" t="s">
        <v>85</v>
      </c>
      <c r="AP46" s="9">
        <v>0.827309</v>
      </c>
      <c r="AQ46" s="9" t="s">
        <v>85</v>
      </c>
      <c r="AR46" s="9" t="s">
        <v>85</v>
      </c>
      <c r="AS46" s="9">
        <v>0.827309</v>
      </c>
      <c r="AT46" s="9" t="s">
        <v>85</v>
      </c>
      <c r="AU46" s="9" t="s">
        <v>85</v>
      </c>
      <c r="AV46" s="9" t="s">
        <v>85</v>
      </c>
      <c r="AW46" s="9" t="s">
        <v>85</v>
      </c>
      <c r="AX46" s="9" t="s">
        <v>85</v>
      </c>
      <c r="AY46" s="9" t="s">
        <v>85</v>
      </c>
      <c r="AZ46" s="9" t="s">
        <v>85</v>
      </c>
      <c r="BA46" s="9" t="s">
        <v>85</v>
      </c>
      <c r="BB46" s="9" t="s">
        <v>85</v>
      </c>
      <c r="BC46" s="10" t="s">
        <v>85</v>
      </c>
      <c r="BD46" s="9" t="s">
        <v>85</v>
      </c>
      <c r="BE46" s="9" t="s">
        <v>85</v>
      </c>
      <c r="BF46" s="10" t="s">
        <v>85</v>
      </c>
      <c r="BG46" s="10" t="s">
        <v>85</v>
      </c>
      <c r="BH46" s="9" t="s">
        <v>85</v>
      </c>
      <c r="BI46" s="6"/>
      <c r="BJ46" s="6" t="str">
        <f t="shared" si="1"/>
        <v>8BoN_One_Acc</v>
      </c>
      <c r="BK46" s="6" t="str">
        <f t="shared" si="2"/>
        <v>12Bo_One_Acc</v>
      </c>
      <c r="BL46" s="6" t="str">
        <f t="shared" si="3"/>
        <v>12Bo_One_Acc</v>
      </c>
      <c r="BM46" s="6"/>
      <c r="BN46" s="6">
        <f t="shared" si="4"/>
        <v>8</v>
      </c>
      <c r="BO46" s="6"/>
      <c r="BP46" s="6"/>
      <c r="BQ46" s="6"/>
      <c r="BR46" s="6"/>
      <c r="BS46" s="6"/>
      <c r="BT46" s="6"/>
      <c r="BU46" s="6"/>
      <c r="BV46" s="6"/>
      <c r="BW46" s="6"/>
      <c r="BX46" s="6"/>
    </row>
    <row r="47" ht="15.75" customHeight="1">
      <c r="A47" s="1" t="s">
        <v>141</v>
      </c>
      <c r="B47" s="17">
        <v>601.0</v>
      </c>
      <c r="C47" s="17">
        <v>3.0</v>
      </c>
      <c r="D47" s="9" t="s">
        <v>85</v>
      </c>
      <c r="E47" s="9" t="s">
        <v>85</v>
      </c>
      <c r="F47" s="9">
        <v>0.807229</v>
      </c>
      <c r="G47" s="9" t="s">
        <v>85</v>
      </c>
      <c r="H47" s="9" t="s">
        <v>85</v>
      </c>
      <c r="I47" s="9">
        <v>0.35743</v>
      </c>
      <c r="J47" s="9" t="s">
        <v>85</v>
      </c>
      <c r="K47" s="9" t="s">
        <v>85</v>
      </c>
      <c r="L47" s="9" t="s">
        <v>85</v>
      </c>
      <c r="M47" s="9" t="s">
        <v>85</v>
      </c>
      <c r="N47" s="9" t="s">
        <v>85</v>
      </c>
      <c r="O47" s="9" t="s">
        <v>85</v>
      </c>
      <c r="P47" s="9" t="s">
        <v>85</v>
      </c>
      <c r="Q47" s="9" t="s">
        <v>85</v>
      </c>
      <c r="R47" s="9">
        <v>0.803213</v>
      </c>
      <c r="S47" s="9" t="s">
        <v>85</v>
      </c>
      <c r="T47" s="9" t="s">
        <v>85</v>
      </c>
      <c r="U47" s="9">
        <v>0.795181</v>
      </c>
      <c r="V47" s="9" t="s">
        <v>85</v>
      </c>
      <c r="W47" s="9" t="s">
        <v>85</v>
      </c>
      <c r="X47" s="9" t="s">
        <v>85</v>
      </c>
      <c r="Y47" s="9" t="s">
        <v>85</v>
      </c>
      <c r="Z47" s="9" t="s">
        <v>85</v>
      </c>
      <c r="AA47" s="9" t="s">
        <v>85</v>
      </c>
      <c r="AB47" s="10" t="s">
        <v>85</v>
      </c>
      <c r="AC47" s="10" t="s">
        <v>85</v>
      </c>
      <c r="AD47" s="9">
        <v>0.795181</v>
      </c>
      <c r="AE47" s="9" t="s">
        <v>85</v>
      </c>
      <c r="AF47" s="9" t="s">
        <v>85</v>
      </c>
      <c r="AG47" s="9">
        <v>0.799197</v>
      </c>
      <c r="AH47" s="9" t="s">
        <v>85</v>
      </c>
      <c r="AI47" s="9" t="s">
        <v>85</v>
      </c>
      <c r="AJ47" s="9" t="s">
        <v>85</v>
      </c>
      <c r="AK47" s="9" t="s">
        <v>85</v>
      </c>
      <c r="AL47" s="9" t="s">
        <v>85</v>
      </c>
      <c r="AM47" s="9" t="s">
        <v>85</v>
      </c>
      <c r="AN47" s="9" t="s">
        <v>85</v>
      </c>
      <c r="AO47" s="9" t="s">
        <v>85</v>
      </c>
      <c r="AP47" s="9">
        <v>0.803213</v>
      </c>
      <c r="AQ47" s="9" t="s">
        <v>85</v>
      </c>
      <c r="AR47" s="9" t="s">
        <v>85</v>
      </c>
      <c r="AS47" s="9">
        <v>0.795181</v>
      </c>
      <c r="AT47" s="9" t="s">
        <v>85</v>
      </c>
      <c r="AU47" s="9" t="s">
        <v>85</v>
      </c>
      <c r="AV47" s="9" t="s">
        <v>85</v>
      </c>
      <c r="AW47" s="9" t="s">
        <v>85</v>
      </c>
      <c r="AX47" s="9" t="s">
        <v>85</v>
      </c>
      <c r="AY47" s="9" t="s">
        <v>85</v>
      </c>
      <c r="AZ47" s="9" t="s">
        <v>85</v>
      </c>
      <c r="BA47" s="9" t="s">
        <v>85</v>
      </c>
      <c r="BB47" s="9" t="s">
        <v>85</v>
      </c>
      <c r="BC47" s="10" t="s">
        <v>85</v>
      </c>
      <c r="BD47" s="9" t="s">
        <v>85</v>
      </c>
      <c r="BE47" s="9" t="s">
        <v>85</v>
      </c>
      <c r="BF47" s="10" t="s">
        <v>85</v>
      </c>
      <c r="BG47" s="10" t="s">
        <v>85</v>
      </c>
      <c r="BH47" s="9" t="s">
        <v>85</v>
      </c>
      <c r="BI47" s="6"/>
      <c r="BJ47" s="6" t="str">
        <f t="shared" si="1"/>
        <v>5Bo_One_Acc</v>
      </c>
      <c r="BK47" s="6" t="str">
        <f t="shared" si="2"/>
        <v>8Bo_One_Acc</v>
      </c>
      <c r="BL47" s="6" t="str">
        <f t="shared" si="3"/>
        <v>8Bo_One_Acc</v>
      </c>
      <c r="BM47" s="6"/>
      <c r="BN47" s="6">
        <f t="shared" si="4"/>
        <v>5</v>
      </c>
      <c r="BO47" s="6"/>
      <c r="BP47" s="6"/>
      <c r="BQ47" s="6"/>
      <c r="BR47" s="6"/>
      <c r="BS47" s="6"/>
      <c r="BT47" s="6"/>
      <c r="BU47" s="6"/>
      <c r="BV47" s="6"/>
      <c r="BW47" s="6"/>
      <c r="BX47" s="6"/>
    </row>
    <row r="48" ht="15.75" customHeight="1">
      <c r="A48" s="1" t="s">
        <v>142</v>
      </c>
      <c r="B48" s="17">
        <v>24.0</v>
      </c>
      <c r="C48" s="17">
        <v>2.0</v>
      </c>
      <c r="D48" s="9" t="s">
        <v>85</v>
      </c>
      <c r="E48" s="9" t="s">
        <v>85</v>
      </c>
      <c r="F48" s="9">
        <v>0.924198</v>
      </c>
      <c r="G48" s="9" t="s">
        <v>85</v>
      </c>
      <c r="H48" s="9" t="s">
        <v>85</v>
      </c>
      <c r="I48" s="9">
        <v>0.498542</v>
      </c>
      <c r="J48" s="9" t="s">
        <v>85</v>
      </c>
      <c r="K48" s="9" t="s">
        <v>85</v>
      </c>
      <c r="L48" s="9" t="s">
        <v>85</v>
      </c>
      <c r="M48" s="9" t="s">
        <v>85</v>
      </c>
      <c r="N48" s="9" t="s">
        <v>85</v>
      </c>
      <c r="O48" s="9" t="s">
        <v>85</v>
      </c>
      <c r="P48" s="9" t="s">
        <v>85</v>
      </c>
      <c r="Q48" s="9" t="s">
        <v>85</v>
      </c>
      <c r="R48" s="9">
        <v>0.923226</v>
      </c>
      <c r="S48" s="9" t="s">
        <v>85</v>
      </c>
      <c r="T48" s="9" t="s">
        <v>85</v>
      </c>
      <c r="U48" s="9">
        <v>0.924198</v>
      </c>
      <c r="V48" s="9" t="s">
        <v>85</v>
      </c>
      <c r="W48" s="9" t="s">
        <v>85</v>
      </c>
      <c r="X48" s="9" t="s">
        <v>85</v>
      </c>
      <c r="Y48" s="9" t="s">
        <v>85</v>
      </c>
      <c r="Z48" s="9" t="s">
        <v>85</v>
      </c>
      <c r="AA48" s="9" t="s">
        <v>85</v>
      </c>
      <c r="AB48" s="10" t="s">
        <v>85</v>
      </c>
      <c r="AC48" s="10" t="s">
        <v>85</v>
      </c>
      <c r="AD48" s="9">
        <v>0.924198</v>
      </c>
      <c r="AE48" s="9" t="s">
        <v>85</v>
      </c>
      <c r="AF48" s="9" t="s">
        <v>85</v>
      </c>
      <c r="AG48" s="9">
        <v>0.926142</v>
      </c>
      <c r="AH48" s="9" t="s">
        <v>85</v>
      </c>
      <c r="AI48" s="9" t="s">
        <v>85</v>
      </c>
      <c r="AJ48" s="9" t="s">
        <v>85</v>
      </c>
      <c r="AK48" s="9" t="s">
        <v>85</v>
      </c>
      <c r="AL48" s="9" t="s">
        <v>85</v>
      </c>
      <c r="AM48" s="9" t="s">
        <v>85</v>
      </c>
      <c r="AN48" s="9" t="s">
        <v>85</v>
      </c>
      <c r="AO48" s="9" t="s">
        <v>85</v>
      </c>
      <c r="AP48" s="9">
        <v>0.931973</v>
      </c>
      <c r="AQ48" s="9" t="s">
        <v>85</v>
      </c>
      <c r="AR48" s="9" t="s">
        <v>85</v>
      </c>
      <c r="AS48" s="9">
        <v>0.927114</v>
      </c>
      <c r="AT48" s="9" t="s">
        <v>85</v>
      </c>
      <c r="AU48" s="9" t="s">
        <v>85</v>
      </c>
      <c r="AV48" s="9" t="s">
        <v>85</v>
      </c>
      <c r="AW48" s="9" t="s">
        <v>85</v>
      </c>
      <c r="AX48" s="9" t="s">
        <v>85</v>
      </c>
      <c r="AY48" s="9" t="s">
        <v>85</v>
      </c>
      <c r="AZ48" s="9" t="s">
        <v>85</v>
      </c>
      <c r="BA48" s="9" t="s">
        <v>85</v>
      </c>
      <c r="BB48" s="9" t="s">
        <v>85</v>
      </c>
      <c r="BC48" s="10" t="s">
        <v>85</v>
      </c>
      <c r="BD48" s="9" t="s">
        <v>85</v>
      </c>
      <c r="BE48" s="9" t="s">
        <v>85</v>
      </c>
      <c r="BF48" s="10" t="s">
        <v>85</v>
      </c>
      <c r="BG48" s="10" t="s">
        <v>85</v>
      </c>
      <c r="BH48" s="9" t="s">
        <v>85</v>
      </c>
      <c r="BI48" s="6"/>
      <c r="BJ48" s="6" t="str">
        <f t="shared" si="1"/>
        <v>12Bo_One_Acc</v>
      </c>
      <c r="BK48" s="6" t="str">
        <f t="shared" si="2"/>
        <v>12BoN_One_Acc</v>
      </c>
      <c r="BL48" s="6" t="str">
        <f t="shared" si="3"/>
        <v>10BoN_One_Acc</v>
      </c>
      <c r="BM48" s="6"/>
      <c r="BN48" s="6">
        <f t="shared" si="4"/>
        <v>12</v>
      </c>
      <c r="BO48" s="6"/>
      <c r="BP48" s="6"/>
      <c r="BQ48" s="6"/>
      <c r="BR48" s="6"/>
      <c r="BS48" s="6"/>
      <c r="BT48" s="6"/>
      <c r="BU48" s="6"/>
      <c r="BV48" s="6"/>
      <c r="BW48" s="6"/>
      <c r="BX48" s="6"/>
    </row>
    <row r="49" ht="15.75" customHeight="1">
      <c r="A49" s="1" t="s">
        <v>143</v>
      </c>
      <c r="B49" s="17">
        <v>720.0</v>
      </c>
      <c r="C49" s="17">
        <v>3.0</v>
      </c>
      <c r="D49" s="9" t="s">
        <v>85</v>
      </c>
      <c r="E49" s="9" t="s">
        <v>85</v>
      </c>
      <c r="F49" s="9">
        <v>0.709333</v>
      </c>
      <c r="G49" s="9" t="s">
        <v>85</v>
      </c>
      <c r="H49" s="9" t="s">
        <v>85</v>
      </c>
      <c r="I49" s="9">
        <v>0.333333</v>
      </c>
      <c r="J49" s="9" t="s">
        <v>85</v>
      </c>
      <c r="K49" s="9" t="s">
        <v>85</v>
      </c>
      <c r="L49" s="9" t="s">
        <v>85</v>
      </c>
      <c r="M49" s="9" t="s">
        <v>85</v>
      </c>
      <c r="N49" s="9" t="s">
        <v>85</v>
      </c>
      <c r="O49" s="9" t="s">
        <v>85</v>
      </c>
      <c r="P49" s="9" t="s">
        <v>85</v>
      </c>
      <c r="Q49" s="9" t="s">
        <v>85</v>
      </c>
      <c r="R49" s="9">
        <v>0.674667</v>
      </c>
      <c r="S49" s="9" t="s">
        <v>85</v>
      </c>
      <c r="T49" s="9" t="s">
        <v>85</v>
      </c>
      <c r="U49" s="9">
        <v>0.677333</v>
      </c>
      <c r="V49" s="9" t="s">
        <v>85</v>
      </c>
      <c r="W49" s="9" t="s">
        <v>85</v>
      </c>
      <c r="X49" s="9" t="s">
        <v>85</v>
      </c>
      <c r="Y49" s="9" t="s">
        <v>85</v>
      </c>
      <c r="Z49" s="9" t="s">
        <v>85</v>
      </c>
      <c r="AA49" s="9" t="s">
        <v>85</v>
      </c>
      <c r="AB49" s="10" t="s">
        <v>85</v>
      </c>
      <c r="AC49" s="10" t="s">
        <v>85</v>
      </c>
      <c r="AD49" s="9">
        <v>0.650667</v>
      </c>
      <c r="AE49" s="9" t="s">
        <v>85</v>
      </c>
      <c r="AF49" s="9" t="s">
        <v>85</v>
      </c>
      <c r="AG49" s="9">
        <v>0.666667</v>
      </c>
      <c r="AH49" s="9" t="s">
        <v>85</v>
      </c>
      <c r="AI49" s="9" t="s">
        <v>85</v>
      </c>
      <c r="AJ49" s="9" t="s">
        <v>85</v>
      </c>
      <c r="AK49" s="9" t="s">
        <v>85</v>
      </c>
      <c r="AL49" s="9" t="s">
        <v>85</v>
      </c>
      <c r="AM49" s="9" t="s">
        <v>85</v>
      </c>
      <c r="AN49" s="9" t="s">
        <v>85</v>
      </c>
      <c r="AO49" s="9" t="s">
        <v>85</v>
      </c>
      <c r="AP49" s="9">
        <v>0.685333</v>
      </c>
      <c r="AQ49" s="9" t="s">
        <v>85</v>
      </c>
      <c r="AR49" s="9" t="s">
        <v>85</v>
      </c>
      <c r="AS49" s="9">
        <v>0.685333</v>
      </c>
      <c r="AT49" s="9" t="s">
        <v>85</v>
      </c>
      <c r="AU49" s="9" t="s">
        <v>85</v>
      </c>
      <c r="AV49" s="9" t="s">
        <v>85</v>
      </c>
      <c r="AW49" s="9" t="s">
        <v>85</v>
      </c>
      <c r="AX49" s="9" t="s">
        <v>85</v>
      </c>
      <c r="AY49" s="9" t="s">
        <v>85</v>
      </c>
      <c r="AZ49" s="9" t="s">
        <v>85</v>
      </c>
      <c r="BA49" s="9" t="s">
        <v>85</v>
      </c>
      <c r="BB49" s="9" t="s">
        <v>85</v>
      </c>
      <c r="BC49" s="10" t="s">
        <v>85</v>
      </c>
      <c r="BD49" s="9" t="s">
        <v>85</v>
      </c>
      <c r="BE49" s="9" t="s">
        <v>85</v>
      </c>
      <c r="BF49" s="10" t="s">
        <v>85</v>
      </c>
      <c r="BG49" s="10" t="s">
        <v>85</v>
      </c>
      <c r="BH49" s="9" t="s">
        <v>85</v>
      </c>
      <c r="BI49" s="6"/>
      <c r="BJ49" s="6" t="str">
        <f t="shared" si="1"/>
        <v>5Bo_One_Acc</v>
      </c>
      <c r="BK49" s="6" t="str">
        <f t="shared" si="2"/>
        <v>12Bo_One_Acc</v>
      </c>
      <c r="BL49" s="6" t="str">
        <f t="shared" si="3"/>
        <v>12Bo_One_Acc</v>
      </c>
      <c r="BM49" s="6"/>
      <c r="BN49" s="6">
        <f t="shared" si="4"/>
        <v>5</v>
      </c>
      <c r="BO49" s="6"/>
      <c r="BP49" s="6"/>
      <c r="BQ49" s="6"/>
      <c r="BR49" s="6"/>
      <c r="BS49" s="6"/>
      <c r="BT49" s="6"/>
      <c r="BU49" s="6"/>
      <c r="BV49" s="6"/>
      <c r="BW49" s="6"/>
      <c r="BX49" s="6"/>
    </row>
    <row r="50" ht="15.75" customHeight="1">
      <c r="A50" s="1" t="s">
        <v>144</v>
      </c>
      <c r="B50" s="17">
        <v>637.0</v>
      </c>
      <c r="C50" s="17">
        <v>2.0</v>
      </c>
      <c r="D50" s="9" t="s">
        <v>85</v>
      </c>
      <c r="E50" s="9" t="s">
        <v>85</v>
      </c>
      <c r="F50" s="9">
        <v>0.540984</v>
      </c>
      <c r="G50" s="9" t="s">
        <v>85</v>
      </c>
      <c r="H50" s="9" t="s">
        <v>85</v>
      </c>
      <c r="I50" s="9">
        <v>0.540984</v>
      </c>
      <c r="J50" s="9" t="s">
        <v>85</v>
      </c>
      <c r="K50" s="9" t="s">
        <v>85</v>
      </c>
      <c r="L50" s="9" t="s">
        <v>85</v>
      </c>
      <c r="M50" s="9" t="s">
        <v>85</v>
      </c>
      <c r="N50" s="9" t="s">
        <v>85</v>
      </c>
      <c r="O50" s="9" t="s">
        <v>85</v>
      </c>
      <c r="P50" s="9" t="s">
        <v>85</v>
      </c>
      <c r="Q50" s="9" t="s">
        <v>85</v>
      </c>
      <c r="R50" s="9">
        <v>0.540984</v>
      </c>
      <c r="S50" s="9" t="s">
        <v>85</v>
      </c>
      <c r="T50" s="9" t="s">
        <v>85</v>
      </c>
      <c r="U50" s="9">
        <v>0.540984</v>
      </c>
      <c r="V50" s="9" t="s">
        <v>85</v>
      </c>
      <c r="W50" s="9" t="s">
        <v>85</v>
      </c>
      <c r="X50" s="9" t="s">
        <v>85</v>
      </c>
      <c r="Y50" s="9" t="s">
        <v>85</v>
      </c>
      <c r="Z50" s="9" t="s">
        <v>85</v>
      </c>
      <c r="AA50" s="9" t="s">
        <v>85</v>
      </c>
      <c r="AB50" s="10" t="s">
        <v>85</v>
      </c>
      <c r="AC50" s="10" t="s">
        <v>85</v>
      </c>
      <c r="AD50" s="9">
        <v>0.540984</v>
      </c>
      <c r="AE50" s="9" t="s">
        <v>85</v>
      </c>
      <c r="AF50" s="9" t="s">
        <v>85</v>
      </c>
      <c r="AG50" s="9">
        <v>0.540984</v>
      </c>
      <c r="AH50" s="9" t="s">
        <v>85</v>
      </c>
      <c r="AI50" s="9" t="s">
        <v>85</v>
      </c>
      <c r="AJ50" s="9" t="s">
        <v>85</v>
      </c>
      <c r="AK50" s="9" t="s">
        <v>85</v>
      </c>
      <c r="AL50" s="9" t="s">
        <v>85</v>
      </c>
      <c r="AM50" s="9" t="s">
        <v>85</v>
      </c>
      <c r="AN50" s="9" t="s">
        <v>85</v>
      </c>
      <c r="AO50" s="9" t="s">
        <v>85</v>
      </c>
      <c r="AP50" s="9">
        <v>0.540984</v>
      </c>
      <c r="AQ50" s="9" t="s">
        <v>85</v>
      </c>
      <c r="AR50" s="9" t="s">
        <v>85</v>
      </c>
      <c r="AS50" s="9">
        <v>0.540984</v>
      </c>
      <c r="AT50" s="9" t="s">
        <v>85</v>
      </c>
      <c r="AU50" s="9" t="s">
        <v>85</v>
      </c>
      <c r="AV50" s="9" t="s">
        <v>85</v>
      </c>
      <c r="AW50" s="9" t="s">
        <v>85</v>
      </c>
      <c r="AX50" s="9" t="s">
        <v>85</v>
      </c>
      <c r="AY50" s="9" t="s">
        <v>85</v>
      </c>
      <c r="AZ50" s="9" t="s">
        <v>85</v>
      </c>
      <c r="BA50" s="9" t="s">
        <v>85</v>
      </c>
      <c r="BB50" s="9" t="s">
        <v>85</v>
      </c>
      <c r="BC50" s="10" t="s">
        <v>85</v>
      </c>
      <c r="BD50" s="9" t="s">
        <v>85</v>
      </c>
      <c r="BE50" s="9" t="s">
        <v>85</v>
      </c>
      <c r="BF50" s="10" t="s">
        <v>85</v>
      </c>
      <c r="BG50" s="10" t="s">
        <v>85</v>
      </c>
      <c r="BH50" s="9" t="s">
        <v>85</v>
      </c>
      <c r="BI50" s="6"/>
      <c r="BJ50" s="6" t="str">
        <f t="shared" si="1"/>
        <v>5Bo_One_Acc</v>
      </c>
      <c r="BK50" s="6" t="str">
        <f t="shared" si="2"/>
        <v>5Bo_One_Acc</v>
      </c>
      <c r="BL50" s="6" t="str">
        <f t="shared" si="3"/>
        <v>5Bo_One_Acc</v>
      </c>
      <c r="BM50" s="6"/>
      <c r="BN50" s="6">
        <f t="shared" si="4"/>
        <v>5</v>
      </c>
      <c r="BO50" s="6"/>
      <c r="BP50" s="6"/>
      <c r="BQ50" s="6"/>
      <c r="BR50" s="6"/>
      <c r="BS50" s="6"/>
      <c r="BT50" s="6"/>
      <c r="BU50" s="6"/>
      <c r="BV50" s="6"/>
      <c r="BW50" s="6"/>
      <c r="BX50" s="6"/>
    </row>
    <row r="51" ht="15.75" customHeight="1">
      <c r="A51" s="1" t="s">
        <v>145</v>
      </c>
      <c r="B51" s="17">
        <v>319.0</v>
      </c>
      <c r="C51" s="17">
        <v>7.0</v>
      </c>
      <c r="D51" s="9" t="s">
        <v>85</v>
      </c>
      <c r="E51" s="9" t="s">
        <v>85</v>
      </c>
      <c r="F51" s="9">
        <v>0.60274</v>
      </c>
      <c r="G51" s="9" t="s">
        <v>85</v>
      </c>
      <c r="H51" s="9" t="s">
        <v>85</v>
      </c>
      <c r="I51" s="9">
        <v>0.260274</v>
      </c>
      <c r="J51" s="9" t="s">
        <v>85</v>
      </c>
      <c r="K51" s="9" t="s">
        <v>85</v>
      </c>
      <c r="L51" s="9" t="s">
        <v>85</v>
      </c>
      <c r="M51" s="9" t="s">
        <v>85</v>
      </c>
      <c r="N51" s="9" t="s">
        <v>85</v>
      </c>
      <c r="O51" s="9" t="s">
        <v>85</v>
      </c>
      <c r="P51" s="9" t="s">
        <v>85</v>
      </c>
      <c r="Q51" s="9" t="s">
        <v>85</v>
      </c>
      <c r="R51" s="9">
        <v>0.630137</v>
      </c>
      <c r="S51" s="9" t="s">
        <v>85</v>
      </c>
      <c r="T51" s="9" t="s">
        <v>85</v>
      </c>
      <c r="U51" s="9">
        <v>0.643836</v>
      </c>
      <c r="V51" s="9" t="s">
        <v>85</v>
      </c>
      <c r="W51" s="9" t="s">
        <v>85</v>
      </c>
      <c r="X51" s="9" t="s">
        <v>85</v>
      </c>
      <c r="Y51" s="9" t="s">
        <v>85</v>
      </c>
      <c r="Z51" s="9" t="s">
        <v>85</v>
      </c>
      <c r="AA51" s="9" t="s">
        <v>85</v>
      </c>
      <c r="AB51" s="10" t="s">
        <v>85</v>
      </c>
      <c r="AC51" s="10" t="s">
        <v>85</v>
      </c>
      <c r="AD51" s="9">
        <v>0.589041</v>
      </c>
      <c r="AE51" s="9" t="s">
        <v>85</v>
      </c>
      <c r="AF51" s="9" t="s">
        <v>85</v>
      </c>
      <c r="AG51" s="9">
        <v>0.60274</v>
      </c>
      <c r="AH51" s="9" t="s">
        <v>85</v>
      </c>
      <c r="AI51" s="9" t="s">
        <v>85</v>
      </c>
      <c r="AJ51" s="9" t="s">
        <v>85</v>
      </c>
      <c r="AK51" s="9" t="s">
        <v>85</v>
      </c>
      <c r="AL51" s="9" t="s">
        <v>85</v>
      </c>
      <c r="AM51" s="9" t="s">
        <v>85</v>
      </c>
      <c r="AN51" s="9" t="s">
        <v>85</v>
      </c>
      <c r="AO51" s="9" t="s">
        <v>85</v>
      </c>
      <c r="AP51" s="9">
        <v>0.630137</v>
      </c>
      <c r="AQ51" s="9" t="s">
        <v>85</v>
      </c>
      <c r="AR51" s="9" t="s">
        <v>85</v>
      </c>
      <c r="AS51" s="9">
        <v>0.589041</v>
      </c>
      <c r="AT51" s="9" t="s">
        <v>85</v>
      </c>
      <c r="AU51" s="9" t="s">
        <v>85</v>
      </c>
      <c r="AV51" s="9" t="s">
        <v>85</v>
      </c>
      <c r="AW51" s="9" t="s">
        <v>85</v>
      </c>
      <c r="AX51" s="9" t="s">
        <v>85</v>
      </c>
      <c r="AY51" s="9" t="s">
        <v>85</v>
      </c>
      <c r="AZ51" s="9" t="s">
        <v>85</v>
      </c>
      <c r="BA51" s="9" t="s">
        <v>85</v>
      </c>
      <c r="BB51" s="9" t="s">
        <v>85</v>
      </c>
      <c r="BC51" s="10" t="s">
        <v>85</v>
      </c>
      <c r="BD51" s="9" t="s">
        <v>85</v>
      </c>
      <c r="BE51" s="9" t="s">
        <v>85</v>
      </c>
      <c r="BF51" s="10" t="s">
        <v>85</v>
      </c>
      <c r="BG51" s="10" t="s">
        <v>85</v>
      </c>
      <c r="BH51" s="9" t="s">
        <v>85</v>
      </c>
      <c r="BI51" s="6"/>
      <c r="BJ51" s="6" t="str">
        <f t="shared" si="1"/>
        <v>8BoN_One_Acc</v>
      </c>
      <c r="BK51" s="6" t="str">
        <f t="shared" si="2"/>
        <v>8Bo_One_Acc</v>
      </c>
      <c r="BL51" s="6" t="str">
        <f t="shared" si="3"/>
        <v>8Bo_One_Acc</v>
      </c>
      <c r="BM51" s="6"/>
      <c r="BN51" s="6">
        <f t="shared" si="4"/>
        <v>8</v>
      </c>
      <c r="BO51" s="6"/>
      <c r="BP51" s="6"/>
      <c r="BQ51" s="6"/>
      <c r="BR51" s="6"/>
      <c r="BS51" s="6"/>
      <c r="BT51" s="6"/>
      <c r="BU51" s="6"/>
      <c r="BV51" s="6"/>
      <c r="BW51" s="6"/>
      <c r="BX51" s="6"/>
    </row>
    <row r="52" ht="15.75" customHeight="1">
      <c r="A52" s="1" t="s">
        <v>146</v>
      </c>
      <c r="B52" s="17">
        <v>1024.0</v>
      </c>
      <c r="C52" s="17">
        <v>8.0</v>
      </c>
      <c r="D52" s="9" t="s">
        <v>85</v>
      </c>
      <c r="E52" s="9" t="s">
        <v>85</v>
      </c>
      <c r="F52" s="9">
        <v>0.672921</v>
      </c>
      <c r="G52" s="9" t="s">
        <v>85</v>
      </c>
      <c r="H52" s="9" t="s">
        <v>85</v>
      </c>
      <c r="I52" s="9">
        <v>0.123241</v>
      </c>
      <c r="J52" s="9" t="s">
        <v>85</v>
      </c>
      <c r="K52" s="9" t="s">
        <v>85</v>
      </c>
      <c r="L52" s="9" t="s">
        <v>85</v>
      </c>
      <c r="M52" s="9" t="s">
        <v>85</v>
      </c>
      <c r="N52" s="9" t="s">
        <v>85</v>
      </c>
      <c r="O52" s="9" t="s">
        <v>85</v>
      </c>
      <c r="P52" s="9" t="s">
        <v>85</v>
      </c>
      <c r="Q52" s="9" t="s">
        <v>85</v>
      </c>
      <c r="R52" s="9">
        <v>0.61791</v>
      </c>
      <c r="S52" s="9" t="s">
        <v>85</v>
      </c>
      <c r="T52" s="9" t="s">
        <v>85</v>
      </c>
      <c r="U52" s="9">
        <v>0.732623</v>
      </c>
      <c r="V52" s="9" t="s">
        <v>85</v>
      </c>
      <c r="W52" s="9" t="s">
        <v>85</v>
      </c>
      <c r="X52" s="9" t="s">
        <v>85</v>
      </c>
      <c r="Y52" s="9" t="s">
        <v>85</v>
      </c>
      <c r="Z52" s="9" t="s">
        <v>85</v>
      </c>
      <c r="AA52" s="9" t="s">
        <v>85</v>
      </c>
      <c r="AB52" s="10" t="s">
        <v>85</v>
      </c>
      <c r="AC52" s="10" t="s">
        <v>85</v>
      </c>
      <c r="AD52" s="9">
        <v>0.710021</v>
      </c>
      <c r="AE52" s="9" t="s">
        <v>85</v>
      </c>
      <c r="AF52" s="9" t="s">
        <v>85</v>
      </c>
      <c r="AG52" s="9">
        <v>0.696802</v>
      </c>
      <c r="AH52" s="9" t="s">
        <v>85</v>
      </c>
      <c r="AI52" s="9" t="s">
        <v>85</v>
      </c>
      <c r="AJ52" s="9" t="s">
        <v>85</v>
      </c>
      <c r="AK52" s="9" t="s">
        <v>85</v>
      </c>
      <c r="AL52" s="9" t="s">
        <v>85</v>
      </c>
      <c r="AM52" s="9" t="s">
        <v>85</v>
      </c>
      <c r="AN52" s="9" t="s">
        <v>85</v>
      </c>
      <c r="AO52" s="9" t="s">
        <v>85</v>
      </c>
      <c r="AP52" s="9">
        <v>0.696802</v>
      </c>
      <c r="AQ52" s="9" t="s">
        <v>85</v>
      </c>
      <c r="AR52" s="9" t="s">
        <v>85</v>
      </c>
      <c r="AS52" s="9">
        <v>0.731343</v>
      </c>
      <c r="AT52" s="9" t="s">
        <v>85</v>
      </c>
      <c r="AU52" s="9" t="s">
        <v>85</v>
      </c>
      <c r="AV52" s="9" t="s">
        <v>85</v>
      </c>
      <c r="AW52" s="9" t="s">
        <v>85</v>
      </c>
      <c r="AX52" s="9" t="s">
        <v>85</v>
      </c>
      <c r="AY52" s="9" t="s">
        <v>85</v>
      </c>
      <c r="AZ52" s="9" t="s">
        <v>85</v>
      </c>
      <c r="BA52" s="9" t="s">
        <v>85</v>
      </c>
      <c r="BB52" s="9" t="s">
        <v>85</v>
      </c>
      <c r="BC52" s="10" t="s">
        <v>85</v>
      </c>
      <c r="BD52" s="9" t="s">
        <v>85</v>
      </c>
      <c r="BE52" s="9" t="s">
        <v>85</v>
      </c>
      <c r="BF52" s="10" t="s">
        <v>85</v>
      </c>
      <c r="BG52" s="10" t="s">
        <v>85</v>
      </c>
      <c r="BH52" s="9" t="s">
        <v>85</v>
      </c>
      <c r="BI52" s="6"/>
      <c r="BJ52" s="6" t="str">
        <f t="shared" si="1"/>
        <v>8BoN_One_Acc</v>
      </c>
      <c r="BK52" s="6" t="str">
        <f t="shared" si="2"/>
        <v>12BoN_One_Acc</v>
      </c>
      <c r="BL52" s="6" t="str">
        <f t="shared" si="3"/>
        <v>10Bo_One_Acc</v>
      </c>
      <c r="BM52" s="6"/>
      <c r="BN52" s="6">
        <f t="shared" si="4"/>
        <v>8</v>
      </c>
      <c r="BO52" s="6"/>
      <c r="BP52" s="6"/>
      <c r="BQ52" s="6"/>
      <c r="BR52" s="6"/>
      <c r="BS52" s="6"/>
      <c r="BT52" s="6"/>
      <c r="BU52" s="6"/>
      <c r="BV52" s="6"/>
      <c r="BW52" s="6"/>
      <c r="BX52" s="6"/>
    </row>
    <row r="53" ht="15.75" customHeight="1">
      <c r="A53" s="1" t="s">
        <v>147</v>
      </c>
      <c r="B53" s="17">
        <v>448.0</v>
      </c>
      <c r="C53" s="17">
        <v>3.0</v>
      </c>
      <c r="D53" s="9" t="s">
        <v>85</v>
      </c>
      <c r="E53" s="9" t="s">
        <v>85</v>
      </c>
      <c r="F53" s="9">
        <v>0.95</v>
      </c>
      <c r="G53" s="9" t="s">
        <v>85</v>
      </c>
      <c r="H53" s="9" t="s">
        <v>85</v>
      </c>
      <c r="I53" s="9">
        <v>0.316667</v>
      </c>
      <c r="J53" s="9" t="s">
        <v>85</v>
      </c>
      <c r="K53" s="9" t="s">
        <v>85</v>
      </c>
      <c r="L53" s="9" t="s">
        <v>85</v>
      </c>
      <c r="M53" s="9" t="s">
        <v>85</v>
      </c>
      <c r="N53" s="9" t="s">
        <v>85</v>
      </c>
      <c r="O53" s="9" t="s">
        <v>85</v>
      </c>
      <c r="P53" s="9" t="s">
        <v>85</v>
      </c>
      <c r="Q53" s="9" t="s">
        <v>85</v>
      </c>
      <c r="R53" s="9">
        <v>0.916667</v>
      </c>
      <c r="S53" s="9" t="s">
        <v>85</v>
      </c>
      <c r="T53" s="9" t="s">
        <v>85</v>
      </c>
      <c r="U53" s="9">
        <v>0.916667</v>
      </c>
      <c r="V53" s="9" t="s">
        <v>85</v>
      </c>
      <c r="W53" s="9" t="s">
        <v>85</v>
      </c>
      <c r="X53" s="9" t="s">
        <v>85</v>
      </c>
      <c r="Y53" s="9" t="s">
        <v>85</v>
      </c>
      <c r="Z53" s="9" t="s">
        <v>85</v>
      </c>
      <c r="AA53" s="9" t="s">
        <v>85</v>
      </c>
      <c r="AB53" s="10" t="s">
        <v>85</v>
      </c>
      <c r="AC53" s="10" t="s">
        <v>85</v>
      </c>
      <c r="AD53" s="9">
        <v>0.95</v>
      </c>
      <c r="AE53" s="9" t="s">
        <v>85</v>
      </c>
      <c r="AF53" s="9" t="s">
        <v>85</v>
      </c>
      <c r="AG53" s="9">
        <v>0.9</v>
      </c>
      <c r="AH53" s="9" t="s">
        <v>85</v>
      </c>
      <c r="AI53" s="9" t="s">
        <v>85</v>
      </c>
      <c r="AJ53" s="9" t="s">
        <v>85</v>
      </c>
      <c r="AK53" s="9" t="s">
        <v>85</v>
      </c>
      <c r="AL53" s="9" t="s">
        <v>85</v>
      </c>
      <c r="AM53" s="9" t="s">
        <v>85</v>
      </c>
      <c r="AN53" s="9" t="s">
        <v>85</v>
      </c>
      <c r="AO53" s="9" t="s">
        <v>85</v>
      </c>
      <c r="AP53" s="9">
        <v>0.933333</v>
      </c>
      <c r="AQ53" s="9" t="s">
        <v>85</v>
      </c>
      <c r="AR53" s="9" t="s">
        <v>85</v>
      </c>
      <c r="AS53" s="9">
        <v>0.65</v>
      </c>
      <c r="AT53" s="9" t="s">
        <v>85</v>
      </c>
      <c r="AU53" s="9" t="s">
        <v>85</v>
      </c>
      <c r="AV53" s="9" t="s">
        <v>85</v>
      </c>
      <c r="AW53" s="9" t="s">
        <v>85</v>
      </c>
      <c r="AX53" s="9" t="s">
        <v>85</v>
      </c>
      <c r="AY53" s="9" t="s">
        <v>85</v>
      </c>
      <c r="AZ53" s="9" t="s">
        <v>85</v>
      </c>
      <c r="BA53" s="9" t="s">
        <v>85</v>
      </c>
      <c r="BB53" s="9" t="s">
        <v>85</v>
      </c>
      <c r="BC53" s="10" t="s">
        <v>85</v>
      </c>
      <c r="BD53" s="9" t="s">
        <v>85</v>
      </c>
      <c r="BE53" s="9" t="s">
        <v>85</v>
      </c>
      <c r="BF53" s="10" t="s">
        <v>85</v>
      </c>
      <c r="BG53" s="10" t="s">
        <v>85</v>
      </c>
      <c r="BH53" s="9" t="s">
        <v>85</v>
      </c>
      <c r="BI53" s="6"/>
      <c r="BJ53" s="6" t="str">
        <f t="shared" si="1"/>
        <v>5Bo_One_Acc</v>
      </c>
      <c r="BK53" s="6" t="str">
        <f t="shared" si="2"/>
        <v>5Bo_One_Acc</v>
      </c>
      <c r="BL53" s="6" t="str">
        <f t="shared" si="3"/>
        <v>12Bo_One_Acc</v>
      </c>
      <c r="BM53" s="6"/>
      <c r="BN53" s="6">
        <f t="shared" si="4"/>
        <v>5</v>
      </c>
      <c r="BO53" s="6"/>
      <c r="BP53" s="6"/>
      <c r="BQ53" s="6"/>
      <c r="BR53" s="6"/>
      <c r="BS53" s="6"/>
      <c r="BT53" s="6"/>
      <c r="BU53" s="6"/>
      <c r="BV53" s="6"/>
      <c r="BW53" s="6"/>
      <c r="BX53" s="6"/>
    </row>
    <row r="54" ht="15.75" customHeight="1">
      <c r="A54" s="1" t="s">
        <v>148</v>
      </c>
      <c r="B54" s="17">
        <v>99.0</v>
      </c>
      <c r="C54" s="17">
        <v>10.0</v>
      </c>
      <c r="D54" s="9" t="s">
        <v>85</v>
      </c>
      <c r="E54" s="9" t="s">
        <v>85</v>
      </c>
      <c r="F54" s="9">
        <v>0.526316</v>
      </c>
      <c r="G54" s="9" t="s">
        <v>85</v>
      </c>
      <c r="H54" s="9" t="s">
        <v>85</v>
      </c>
      <c r="I54" s="9">
        <v>0.514474</v>
      </c>
      <c r="J54" s="9" t="s">
        <v>85</v>
      </c>
      <c r="K54" s="9" t="s">
        <v>85</v>
      </c>
      <c r="L54" s="9" t="s">
        <v>85</v>
      </c>
      <c r="M54" s="9" t="s">
        <v>85</v>
      </c>
      <c r="N54" s="9" t="s">
        <v>85</v>
      </c>
      <c r="O54" s="9" t="s">
        <v>85</v>
      </c>
      <c r="P54" s="9" t="s">
        <v>85</v>
      </c>
      <c r="Q54" s="9" t="s">
        <v>85</v>
      </c>
      <c r="R54" s="9">
        <v>0.596053</v>
      </c>
      <c r="S54" s="9" t="s">
        <v>85</v>
      </c>
      <c r="T54" s="9" t="s">
        <v>85</v>
      </c>
      <c r="U54" s="9">
        <v>0.546053</v>
      </c>
      <c r="V54" s="9" t="s">
        <v>85</v>
      </c>
      <c r="W54" s="9" t="s">
        <v>85</v>
      </c>
      <c r="X54" s="9" t="s">
        <v>85</v>
      </c>
      <c r="Y54" s="9" t="s">
        <v>85</v>
      </c>
      <c r="Z54" s="9" t="s">
        <v>85</v>
      </c>
      <c r="AA54" s="9" t="s">
        <v>85</v>
      </c>
      <c r="AB54" s="10" t="s">
        <v>85</v>
      </c>
      <c r="AC54" s="10" t="s">
        <v>85</v>
      </c>
      <c r="AD54" s="9">
        <v>0.573684</v>
      </c>
      <c r="AE54" s="9" t="s">
        <v>85</v>
      </c>
      <c r="AF54" s="9" t="s">
        <v>85</v>
      </c>
      <c r="AG54" s="9">
        <v>0.586842</v>
      </c>
      <c r="AH54" s="9" t="s">
        <v>85</v>
      </c>
      <c r="AI54" s="9" t="s">
        <v>85</v>
      </c>
      <c r="AJ54" s="9" t="s">
        <v>85</v>
      </c>
      <c r="AK54" s="9" t="s">
        <v>85</v>
      </c>
      <c r="AL54" s="9" t="s">
        <v>85</v>
      </c>
      <c r="AM54" s="9" t="s">
        <v>85</v>
      </c>
      <c r="AN54" s="9" t="s">
        <v>85</v>
      </c>
      <c r="AO54" s="9" t="s">
        <v>85</v>
      </c>
      <c r="AP54" s="9">
        <v>0.584211</v>
      </c>
      <c r="AQ54" s="9" t="s">
        <v>85</v>
      </c>
      <c r="AR54" s="9" t="s">
        <v>85</v>
      </c>
      <c r="AS54" s="9">
        <v>0.610526</v>
      </c>
      <c r="AT54" s="9" t="s">
        <v>85</v>
      </c>
      <c r="AU54" s="9" t="s">
        <v>85</v>
      </c>
      <c r="AV54" s="9" t="s">
        <v>85</v>
      </c>
      <c r="AW54" s="9" t="s">
        <v>85</v>
      </c>
      <c r="AX54" s="9" t="s">
        <v>85</v>
      </c>
      <c r="AY54" s="9" t="s">
        <v>85</v>
      </c>
      <c r="AZ54" s="9" t="s">
        <v>85</v>
      </c>
      <c r="BA54" s="9" t="s">
        <v>85</v>
      </c>
      <c r="BB54" s="9" t="s">
        <v>85</v>
      </c>
      <c r="BC54" s="10" t="s">
        <v>85</v>
      </c>
      <c r="BD54" s="9" t="s">
        <v>85</v>
      </c>
      <c r="BE54" s="9" t="s">
        <v>85</v>
      </c>
      <c r="BF54" s="10" t="s">
        <v>85</v>
      </c>
      <c r="BG54" s="10" t="s">
        <v>85</v>
      </c>
      <c r="BH54" s="9" t="s">
        <v>85</v>
      </c>
      <c r="BI54" s="6"/>
      <c r="BJ54" s="6" t="str">
        <f t="shared" si="1"/>
        <v>12BoN_One_Acc</v>
      </c>
      <c r="BK54" s="6" t="str">
        <f t="shared" si="2"/>
        <v>8Bo_One_Acc</v>
      </c>
      <c r="BL54" s="6" t="str">
        <f t="shared" si="3"/>
        <v>10BoN_One_Acc</v>
      </c>
      <c r="BM54" s="6"/>
      <c r="BN54" s="6">
        <f t="shared" si="4"/>
        <v>12</v>
      </c>
      <c r="BO54" s="6"/>
      <c r="BP54" s="6"/>
      <c r="BQ54" s="6"/>
      <c r="BR54" s="6"/>
      <c r="BS54" s="6"/>
      <c r="BT54" s="6"/>
      <c r="BU54" s="6"/>
      <c r="BV54" s="6"/>
      <c r="BW54" s="6"/>
      <c r="BX54" s="6"/>
    </row>
    <row r="55" ht="15.75" customHeight="1">
      <c r="A55" s="1" t="s">
        <v>149</v>
      </c>
      <c r="B55" s="17">
        <v>80.0</v>
      </c>
      <c r="C55" s="17">
        <v>3.0</v>
      </c>
      <c r="D55" s="9" t="s">
        <v>85</v>
      </c>
      <c r="E55" s="9" t="s">
        <v>85</v>
      </c>
      <c r="F55" s="9">
        <v>0.519481</v>
      </c>
      <c r="G55" s="9" t="s">
        <v>85</v>
      </c>
      <c r="H55" s="9" t="s">
        <v>85</v>
      </c>
      <c r="I55" s="9">
        <v>0.188312</v>
      </c>
      <c r="J55" s="9" t="s">
        <v>85</v>
      </c>
      <c r="K55" s="9" t="s">
        <v>85</v>
      </c>
      <c r="L55" s="9" t="s">
        <v>85</v>
      </c>
      <c r="M55" s="9" t="s">
        <v>85</v>
      </c>
      <c r="N55" s="9" t="s">
        <v>85</v>
      </c>
      <c r="O55" s="9" t="s">
        <v>85</v>
      </c>
      <c r="P55" s="9" t="s">
        <v>85</v>
      </c>
      <c r="Q55" s="9" t="s">
        <v>85</v>
      </c>
      <c r="R55" s="9">
        <v>0.571429</v>
      </c>
      <c r="S55" s="9" t="s">
        <v>85</v>
      </c>
      <c r="T55" s="9" t="s">
        <v>85</v>
      </c>
      <c r="U55" s="9">
        <v>0.512987</v>
      </c>
      <c r="V55" s="9" t="s">
        <v>85</v>
      </c>
      <c r="W55" s="9" t="s">
        <v>85</v>
      </c>
      <c r="X55" s="9" t="s">
        <v>85</v>
      </c>
      <c r="Y55" s="9" t="s">
        <v>85</v>
      </c>
      <c r="Z55" s="9" t="s">
        <v>85</v>
      </c>
      <c r="AA55" s="9" t="s">
        <v>85</v>
      </c>
      <c r="AB55" s="10" t="s">
        <v>85</v>
      </c>
      <c r="AC55" s="10" t="s">
        <v>85</v>
      </c>
      <c r="AD55" s="9">
        <v>0.597403</v>
      </c>
      <c r="AE55" s="9" t="s">
        <v>85</v>
      </c>
      <c r="AF55" s="9" t="s">
        <v>85</v>
      </c>
      <c r="AG55" s="9">
        <v>0.564935</v>
      </c>
      <c r="AH55" s="9" t="s">
        <v>85</v>
      </c>
      <c r="AI55" s="9" t="s">
        <v>85</v>
      </c>
      <c r="AJ55" s="9" t="s">
        <v>85</v>
      </c>
      <c r="AK55" s="9" t="s">
        <v>85</v>
      </c>
      <c r="AL55" s="9" t="s">
        <v>85</v>
      </c>
      <c r="AM55" s="9" t="s">
        <v>85</v>
      </c>
      <c r="AN55" s="9" t="s">
        <v>85</v>
      </c>
      <c r="AO55" s="9" t="s">
        <v>85</v>
      </c>
      <c r="AP55" s="9">
        <v>0.616883</v>
      </c>
      <c r="AQ55" s="9" t="s">
        <v>85</v>
      </c>
      <c r="AR55" s="9" t="s">
        <v>85</v>
      </c>
      <c r="AS55" s="9">
        <v>0.603896</v>
      </c>
      <c r="AT55" s="9" t="s">
        <v>85</v>
      </c>
      <c r="AU55" s="9" t="s">
        <v>85</v>
      </c>
      <c r="AV55" s="9" t="s">
        <v>85</v>
      </c>
      <c r="AW55" s="9" t="s">
        <v>85</v>
      </c>
      <c r="AX55" s="9" t="s">
        <v>85</v>
      </c>
      <c r="AY55" s="9" t="s">
        <v>85</v>
      </c>
      <c r="AZ55" s="9" t="s">
        <v>85</v>
      </c>
      <c r="BA55" s="9" t="s">
        <v>85</v>
      </c>
      <c r="BB55" s="9" t="s">
        <v>85</v>
      </c>
      <c r="BC55" s="10" t="s">
        <v>85</v>
      </c>
      <c r="BD55" s="9" t="s">
        <v>85</v>
      </c>
      <c r="BE55" s="9" t="s">
        <v>85</v>
      </c>
      <c r="BF55" s="10" t="s">
        <v>85</v>
      </c>
      <c r="BG55" s="10" t="s">
        <v>85</v>
      </c>
      <c r="BH55" s="9" t="s">
        <v>85</v>
      </c>
      <c r="BI55" s="6"/>
      <c r="BJ55" s="6" t="str">
        <f t="shared" si="1"/>
        <v>12Bo_One_Acc</v>
      </c>
      <c r="BK55" s="6" t="str">
        <f t="shared" si="2"/>
        <v>12BoN_One_Acc</v>
      </c>
      <c r="BL55" s="6" t="str">
        <f t="shared" si="3"/>
        <v>10Bo_One_Acc</v>
      </c>
      <c r="BM55" s="6"/>
      <c r="BN55" s="6">
        <f t="shared" si="4"/>
        <v>12</v>
      </c>
      <c r="BO55" s="6"/>
      <c r="BP55" s="6"/>
      <c r="BQ55" s="6"/>
      <c r="BR55" s="6"/>
      <c r="BS55" s="6"/>
      <c r="BT55" s="6"/>
      <c r="BU55" s="6"/>
      <c r="BV55" s="6"/>
      <c r="BW55" s="6"/>
      <c r="BX55" s="6"/>
    </row>
    <row r="56" ht="15.75" customHeight="1">
      <c r="A56" s="1" t="s">
        <v>150</v>
      </c>
      <c r="B56" s="17">
        <v>80.0</v>
      </c>
      <c r="C56" s="17">
        <v>2.0</v>
      </c>
      <c r="D56" s="9" t="s">
        <v>85</v>
      </c>
      <c r="E56" s="9" t="s">
        <v>85</v>
      </c>
      <c r="F56" s="9">
        <v>0.666667</v>
      </c>
      <c r="G56" s="9" t="s">
        <v>85</v>
      </c>
      <c r="H56" s="9" t="s">
        <v>85</v>
      </c>
      <c r="I56" s="9">
        <v>0.570447</v>
      </c>
      <c r="J56" s="9" t="s">
        <v>85</v>
      </c>
      <c r="K56" s="9" t="s">
        <v>85</v>
      </c>
      <c r="L56" s="9" t="s">
        <v>85</v>
      </c>
      <c r="M56" s="9" t="s">
        <v>85</v>
      </c>
      <c r="N56" s="9" t="s">
        <v>85</v>
      </c>
      <c r="O56" s="9" t="s">
        <v>85</v>
      </c>
      <c r="P56" s="9" t="s">
        <v>85</v>
      </c>
      <c r="Q56" s="9" t="s">
        <v>85</v>
      </c>
      <c r="R56" s="9">
        <v>0.762887</v>
      </c>
      <c r="S56" s="9" t="s">
        <v>85</v>
      </c>
      <c r="T56" s="9" t="s">
        <v>85</v>
      </c>
      <c r="U56" s="9">
        <v>0.718213</v>
      </c>
      <c r="V56" s="9" t="s">
        <v>85</v>
      </c>
      <c r="W56" s="9" t="s">
        <v>85</v>
      </c>
      <c r="X56" s="9" t="s">
        <v>85</v>
      </c>
      <c r="Y56" s="9" t="s">
        <v>85</v>
      </c>
      <c r="Z56" s="9" t="s">
        <v>85</v>
      </c>
      <c r="AA56" s="9" t="s">
        <v>85</v>
      </c>
      <c r="AB56" s="10" t="s">
        <v>85</v>
      </c>
      <c r="AC56" s="10" t="s">
        <v>85</v>
      </c>
      <c r="AD56" s="9">
        <v>0.725086</v>
      </c>
      <c r="AE56" s="9" t="s">
        <v>85</v>
      </c>
      <c r="AF56" s="9" t="s">
        <v>85</v>
      </c>
      <c r="AG56" s="9">
        <v>0.728522</v>
      </c>
      <c r="AH56" s="9" t="s">
        <v>85</v>
      </c>
      <c r="AI56" s="9" t="s">
        <v>85</v>
      </c>
      <c r="AJ56" s="9" t="s">
        <v>85</v>
      </c>
      <c r="AK56" s="9" t="s">
        <v>85</v>
      </c>
      <c r="AL56" s="9" t="s">
        <v>85</v>
      </c>
      <c r="AM56" s="9" t="s">
        <v>85</v>
      </c>
      <c r="AN56" s="9" t="s">
        <v>85</v>
      </c>
      <c r="AO56" s="9" t="s">
        <v>85</v>
      </c>
      <c r="AP56" s="9">
        <v>0.71134</v>
      </c>
      <c r="AQ56" s="9" t="s">
        <v>85</v>
      </c>
      <c r="AR56" s="9" t="s">
        <v>85</v>
      </c>
      <c r="AS56" s="9">
        <v>0.728522</v>
      </c>
      <c r="AT56" s="9" t="s">
        <v>85</v>
      </c>
      <c r="AU56" s="9" t="s">
        <v>85</v>
      </c>
      <c r="AV56" s="9" t="s">
        <v>85</v>
      </c>
      <c r="AW56" s="9" t="s">
        <v>85</v>
      </c>
      <c r="AX56" s="9" t="s">
        <v>85</v>
      </c>
      <c r="AY56" s="9" t="s">
        <v>85</v>
      </c>
      <c r="AZ56" s="9" t="s">
        <v>85</v>
      </c>
      <c r="BA56" s="9" t="s">
        <v>85</v>
      </c>
      <c r="BB56" s="9" t="s">
        <v>85</v>
      </c>
      <c r="BC56" s="10" t="s">
        <v>85</v>
      </c>
      <c r="BD56" s="9" t="s">
        <v>85</v>
      </c>
      <c r="BE56" s="9" t="s">
        <v>85</v>
      </c>
      <c r="BF56" s="10" t="s">
        <v>85</v>
      </c>
      <c r="BG56" s="10" t="s">
        <v>85</v>
      </c>
      <c r="BH56" s="9" t="s">
        <v>85</v>
      </c>
      <c r="BI56" s="6"/>
      <c r="BJ56" s="6" t="str">
        <f t="shared" si="1"/>
        <v>8Bo_One_Acc</v>
      </c>
      <c r="BK56" s="6" t="str">
        <f t="shared" si="2"/>
        <v>10BoN_One_Acc</v>
      </c>
      <c r="BL56" s="6" t="str">
        <f t="shared" si="3"/>
        <v>10BoN_One_Acc</v>
      </c>
      <c r="BM56" s="6"/>
      <c r="BN56" s="6">
        <f t="shared" si="4"/>
        <v>8</v>
      </c>
      <c r="BO56" s="6"/>
      <c r="BP56" s="6"/>
      <c r="BQ56" s="6"/>
      <c r="BR56" s="6"/>
      <c r="BS56" s="6"/>
      <c r="BT56" s="6"/>
      <c r="BU56" s="6"/>
      <c r="BV56" s="6"/>
      <c r="BW56" s="6"/>
      <c r="BX56" s="6"/>
    </row>
    <row r="57" ht="15.75" customHeight="1">
      <c r="A57" s="1" t="s">
        <v>151</v>
      </c>
      <c r="B57" s="17">
        <v>80.0</v>
      </c>
      <c r="C57" s="17">
        <v>6.0</v>
      </c>
      <c r="D57" s="9" t="s">
        <v>85</v>
      </c>
      <c r="E57" s="9" t="s">
        <v>85</v>
      </c>
      <c r="F57" s="9">
        <v>0.525974</v>
      </c>
      <c r="G57" s="9" t="s">
        <v>85</v>
      </c>
      <c r="H57" s="9" t="s">
        <v>85</v>
      </c>
      <c r="I57" s="9">
        <v>0.272727</v>
      </c>
      <c r="J57" s="9" t="s">
        <v>85</v>
      </c>
      <c r="K57" s="9" t="s">
        <v>85</v>
      </c>
      <c r="L57" s="9" t="s">
        <v>85</v>
      </c>
      <c r="M57" s="9" t="s">
        <v>85</v>
      </c>
      <c r="N57" s="9" t="s">
        <v>85</v>
      </c>
      <c r="O57" s="9" t="s">
        <v>85</v>
      </c>
      <c r="P57" s="9" t="s">
        <v>85</v>
      </c>
      <c r="Q57" s="9" t="s">
        <v>85</v>
      </c>
      <c r="R57" s="9">
        <v>0.545455</v>
      </c>
      <c r="S57" s="9" t="s">
        <v>85</v>
      </c>
      <c r="T57" s="9" t="s">
        <v>85</v>
      </c>
      <c r="U57" s="9">
        <v>0.474026</v>
      </c>
      <c r="V57" s="9" t="s">
        <v>85</v>
      </c>
      <c r="W57" s="9" t="s">
        <v>85</v>
      </c>
      <c r="X57" s="9" t="s">
        <v>85</v>
      </c>
      <c r="Y57" s="9" t="s">
        <v>85</v>
      </c>
      <c r="Z57" s="9" t="s">
        <v>85</v>
      </c>
      <c r="AA57" s="9" t="s">
        <v>85</v>
      </c>
      <c r="AB57" s="10" t="s">
        <v>85</v>
      </c>
      <c r="AC57" s="10" t="s">
        <v>85</v>
      </c>
      <c r="AD57" s="9">
        <v>0.506494</v>
      </c>
      <c r="AE57" s="9" t="s">
        <v>85</v>
      </c>
      <c r="AF57" s="9" t="s">
        <v>85</v>
      </c>
      <c r="AG57" s="9">
        <v>0.519481</v>
      </c>
      <c r="AH57" s="9" t="s">
        <v>85</v>
      </c>
      <c r="AI57" s="9" t="s">
        <v>85</v>
      </c>
      <c r="AJ57" s="9" t="s">
        <v>85</v>
      </c>
      <c r="AK57" s="9" t="s">
        <v>85</v>
      </c>
      <c r="AL57" s="9" t="s">
        <v>85</v>
      </c>
      <c r="AM57" s="9" t="s">
        <v>85</v>
      </c>
      <c r="AN57" s="9" t="s">
        <v>85</v>
      </c>
      <c r="AO57" s="9" t="s">
        <v>85</v>
      </c>
      <c r="AP57" s="9">
        <v>0.506494</v>
      </c>
      <c r="AQ57" s="9" t="s">
        <v>85</v>
      </c>
      <c r="AR57" s="9" t="s">
        <v>85</v>
      </c>
      <c r="AS57" s="9">
        <v>0.590909</v>
      </c>
      <c r="AT57" s="9" t="s">
        <v>85</v>
      </c>
      <c r="AU57" s="9" t="s">
        <v>85</v>
      </c>
      <c r="AV57" s="9" t="s">
        <v>85</v>
      </c>
      <c r="AW57" s="9" t="s">
        <v>85</v>
      </c>
      <c r="AX57" s="9" t="s">
        <v>85</v>
      </c>
      <c r="AY57" s="9" t="s">
        <v>85</v>
      </c>
      <c r="AZ57" s="9" t="s">
        <v>85</v>
      </c>
      <c r="BA57" s="9" t="s">
        <v>85</v>
      </c>
      <c r="BB57" s="9" t="s">
        <v>85</v>
      </c>
      <c r="BC57" s="10" t="s">
        <v>85</v>
      </c>
      <c r="BD57" s="9" t="s">
        <v>85</v>
      </c>
      <c r="BE57" s="9" t="s">
        <v>85</v>
      </c>
      <c r="BF57" s="10" t="s">
        <v>85</v>
      </c>
      <c r="BG57" s="10" t="s">
        <v>85</v>
      </c>
      <c r="BH57" s="9" t="s">
        <v>85</v>
      </c>
      <c r="BI57" s="6"/>
      <c r="BJ57" s="6" t="str">
        <f t="shared" si="1"/>
        <v>12BoN_One_Acc</v>
      </c>
      <c r="BK57" s="6" t="str">
        <f t="shared" si="2"/>
        <v>8Bo_One_Acc</v>
      </c>
      <c r="BL57" s="6" t="str">
        <f t="shared" si="3"/>
        <v>5Bo_One_Acc</v>
      </c>
      <c r="BM57" s="6"/>
      <c r="BN57" s="6">
        <f t="shared" si="4"/>
        <v>12</v>
      </c>
      <c r="BO57" s="6"/>
      <c r="BP57" s="6"/>
      <c r="BQ57" s="6"/>
      <c r="BR57" s="6"/>
      <c r="BS57" s="6"/>
      <c r="BT57" s="6"/>
      <c r="BU57" s="6"/>
      <c r="BV57" s="6"/>
      <c r="BW57" s="6"/>
      <c r="BX57" s="6"/>
    </row>
    <row r="58" ht="15.75" customHeight="1">
      <c r="A58" s="1" t="s">
        <v>152</v>
      </c>
      <c r="B58" s="17">
        <v>1024.0</v>
      </c>
      <c r="C58" s="17">
        <v>5.0</v>
      </c>
      <c r="D58" s="9" t="s">
        <v>85</v>
      </c>
      <c r="E58" s="9" t="s">
        <v>85</v>
      </c>
      <c r="F58" s="9">
        <v>0.822268</v>
      </c>
      <c r="G58" s="9" t="s">
        <v>85</v>
      </c>
      <c r="H58" s="9" t="s">
        <v>85</v>
      </c>
      <c r="I58" s="9">
        <v>0.188866</v>
      </c>
      <c r="J58" s="9" t="s">
        <v>85</v>
      </c>
      <c r="K58" s="9" t="s">
        <v>85</v>
      </c>
      <c r="L58" s="9" t="s">
        <v>85</v>
      </c>
      <c r="M58" s="9" t="s">
        <v>85</v>
      </c>
      <c r="N58" s="9" t="s">
        <v>85</v>
      </c>
      <c r="O58" s="9" t="s">
        <v>85</v>
      </c>
      <c r="P58" s="9" t="s">
        <v>85</v>
      </c>
      <c r="Q58" s="9" t="s">
        <v>85</v>
      </c>
      <c r="R58" s="9">
        <v>0.863505</v>
      </c>
      <c r="S58" s="9" t="s">
        <v>85</v>
      </c>
      <c r="T58" s="9" t="s">
        <v>85</v>
      </c>
      <c r="U58" s="9">
        <v>0.85732</v>
      </c>
      <c r="V58" s="9" t="s">
        <v>85</v>
      </c>
      <c r="W58" s="9" t="s">
        <v>85</v>
      </c>
      <c r="X58" s="9" t="s">
        <v>85</v>
      </c>
      <c r="Y58" s="9" t="s">
        <v>85</v>
      </c>
      <c r="Z58" s="9" t="s">
        <v>85</v>
      </c>
      <c r="AA58" s="9" t="s">
        <v>85</v>
      </c>
      <c r="AB58" s="10" t="s">
        <v>85</v>
      </c>
      <c r="AC58" s="10" t="s">
        <v>85</v>
      </c>
      <c r="AD58" s="9">
        <v>0.863505</v>
      </c>
      <c r="AE58" s="9" t="s">
        <v>85</v>
      </c>
      <c r="AF58" s="9" t="s">
        <v>85</v>
      </c>
      <c r="AG58" s="9">
        <v>0.861031</v>
      </c>
      <c r="AH58" s="9" t="s">
        <v>85</v>
      </c>
      <c r="AI58" s="9" t="s">
        <v>85</v>
      </c>
      <c r="AJ58" s="9" t="s">
        <v>85</v>
      </c>
      <c r="AK58" s="9" t="s">
        <v>85</v>
      </c>
      <c r="AL58" s="9" t="s">
        <v>85</v>
      </c>
      <c r="AM58" s="9" t="s">
        <v>85</v>
      </c>
      <c r="AN58" s="9" t="s">
        <v>85</v>
      </c>
      <c r="AO58" s="9" t="s">
        <v>85</v>
      </c>
      <c r="AP58" s="9">
        <v>0.863093</v>
      </c>
      <c r="AQ58" s="9" t="s">
        <v>85</v>
      </c>
      <c r="AR58" s="9" t="s">
        <v>85</v>
      </c>
      <c r="AS58" s="9">
        <v>0.862268</v>
      </c>
      <c r="AT58" s="9" t="s">
        <v>85</v>
      </c>
      <c r="AU58" s="9" t="s">
        <v>85</v>
      </c>
      <c r="AV58" s="9" t="s">
        <v>85</v>
      </c>
      <c r="AW58" s="9" t="s">
        <v>85</v>
      </c>
      <c r="AX58" s="9" t="s">
        <v>85</v>
      </c>
      <c r="AY58" s="9" t="s">
        <v>85</v>
      </c>
      <c r="AZ58" s="9" t="s">
        <v>85</v>
      </c>
      <c r="BA58" s="9" t="s">
        <v>85</v>
      </c>
      <c r="BB58" s="9" t="s">
        <v>85</v>
      </c>
      <c r="BC58" s="10" t="s">
        <v>85</v>
      </c>
      <c r="BD58" s="9" t="s">
        <v>85</v>
      </c>
      <c r="BE58" s="9" t="s">
        <v>85</v>
      </c>
      <c r="BF58" s="10" t="s">
        <v>85</v>
      </c>
      <c r="BG58" s="10" t="s">
        <v>85</v>
      </c>
      <c r="BH58" s="9" t="s">
        <v>85</v>
      </c>
      <c r="BI58" s="6"/>
      <c r="BJ58" s="6" t="str">
        <f t="shared" si="1"/>
        <v>8Bo_One_Acc</v>
      </c>
      <c r="BK58" s="6" t="str">
        <f t="shared" si="2"/>
        <v>8Bo_One_Acc</v>
      </c>
      <c r="BL58" s="6" t="str">
        <f t="shared" si="3"/>
        <v>12Bo_One_Acc</v>
      </c>
      <c r="BM58" s="6"/>
      <c r="BN58" s="6">
        <f t="shared" si="4"/>
        <v>8</v>
      </c>
      <c r="BO58" s="6"/>
      <c r="BP58" s="6"/>
      <c r="BQ58" s="6"/>
      <c r="BR58" s="6"/>
      <c r="BS58" s="6"/>
      <c r="BT58" s="6"/>
      <c r="BU58" s="6"/>
      <c r="BV58" s="6"/>
      <c r="BW58" s="6"/>
      <c r="BX58" s="6"/>
    </row>
    <row r="59" ht="15.75" customHeight="1">
      <c r="A59" s="1" t="s">
        <v>153</v>
      </c>
      <c r="B59" s="17">
        <v>1024.0</v>
      </c>
      <c r="C59" s="17">
        <v>5.0</v>
      </c>
      <c r="D59" s="9" t="s">
        <v>85</v>
      </c>
      <c r="E59" s="9" t="s">
        <v>85</v>
      </c>
      <c r="F59" s="9">
        <v>0.766186</v>
      </c>
      <c r="G59" s="9" t="s">
        <v>85</v>
      </c>
      <c r="H59" s="9" t="s">
        <v>85</v>
      </c>
      <c r="I59" s="9">
        <v>0.172371</v>
      </c>
      <c r="J59" s="9" t="s">
        <v>85</v>
      </c>
      <c r="K59" s="9" t="s">
        <v>85</v>
      </c>
      <c r="L59" s="9" t="s">
        <v>85</v>
      </c>
      <c r="M59" s="9" t="s">
        <v>85</v>
      </c>
      <c r="N59" s="9" t="s">
        <v>85</v>
      </c>
      <c r="O59" s="9" t="s">
        <v>85</v>
      </c>
      <c r="P59" s="9" t="s">
        <v>85</v>
      </c>
      <c r="Q59" s="9" t="s">
        <v>85</v>
      </c>
      <c r="R59" s="9">
        <v>0.814433</v>
      </c>
      <c r="S59" s="9" t="s">
        <v>85</v>
      </c>
      <c r="T59" s="9" t="s">
        <v>85</v>
      </c>
      <c r="U59" s="9">
        <v>0.803299</v>
      </c>
      <c r="V59" s="9" t="s">
        <v>85</v>
      </c>
      <c r="W59" s="9" t="s">
        <v>85</v>
      </c>
      <c r="X59" s="9" t="s">
        <v>85</v>
      </c>
      <c r="Y59" s="9" t="s">
        <v>85</v>
      </c>
      <c r="Z59" s="9" t="s">
        <v>85</v>
      </c>
      <c r="AA59" s="9" t="s">
        <v>85</v>
      </c>
      <c r="AB59" s="10" t="s">
        <v>85</v>
      </c>
      <c r="AC59" s="10" t="s">
        <v>85</v>
      </c>
      <c r="AD59" s="9">
        <v>0.785567</v>
      </c>
      <c r="AE59" s="9" t="s">
        <v>85</v>
      </c>
      <c r="AF59" s="9" t="s">
        <v>85</v>
      </c>
      <c r="AG59" s="9">
        <v>0.806186</v>
      </c>
      <c r="AH59" s="9" t="s">
        <v>85</v>
      </c>
      <c r="AI59" s="9" t="s">
        <v>85</v>
      </c>
      <c r="AJ59" s="9" t="s">
        <v>85</v>
      </c>
      <c r="AK59" s="9" t="s">
        <v>85</v>
      </c>
      <c r="AL59" s="9" t="s">
        <v>85</v>
      </c>
      <c r="AM59" s="9" t="s">
        <v>85</v>
      </c>
      <c r="AN59" s="9" t="s">
        <v>85</v>
      </c>
      <c r="AO59" s="9" t="s">
        <v>85</v>
      </c>
      <c r="AP59" s="9">
        <v>0.804948</v>
      </c>
      <c r="AQ59" s="9" t="s">
        <v>85</v>
      </c>
      <c r="AR59" s="9" t="s">
        <v>85</v>
      </c>
      <c r="AS59" s="9">
        <v>0.813608</v>
      </c>
      <c r="AT59" s="9" t="s">
        <v>85</v>
      </c>
      <c r="AU59" s="9" t="s">
        <v>85</v>
      </c>
      <c r="AV59" s="9" t="s">
        <v>85</v>
      </c>
      <c r="AW59" s="9" t="s">
        <v>85</v>
      </c>
      <c r="AX59" s="9" t="s">
        <v>85</v>
      </c>
      <c r="AY59" s="9" t="s">
        <v>85</v>
      </c>
      <c r="AZ59" s="9" t="s">
        <v>85</v>
      </c>
      <c r="BA59" s="9" t="s">
        <v>85</v>
      </c>
      <c r="BB59" s="9" t="s">
        <v>85</v>
      </c>
      <c r="BC59" s="10" t="s">
        <v>85</v>
      </c>
      <c r="BD59" s="9" t="s">
        <v>85</v>
      </c>
      <c r="BE59" s="9" t="s">
        <v>85</v>
      </c>
      <c r="BF59" s="10" t="s">
        <v>85</v>
      </c>
      <c r="BG59" s="10" t="s">
        <v>85</v>
      </c>
      <c r="BH59" s="9" t="s">
        <v>85</v>
      </c>
      <c r="BI59" s="6"/>
      <c r="BJ59" s="6" t="str">
        <f t="shared" si="1"/>
        <v>8Bo_One_Acc</v>
      </c>
      <c r="BK59" s="6" t="str">
        <f t="shared" si="2"/>
        <v>12BoN_One_Acc</v>
      </c>
      <c r="BL59" s="6" t="str">
        <f t="shared" si="3"/>
        <v>10BoN_One_Acc</v>
      </c>
      <c r="BM59" s="6"/>
      <c r="BN59" s="6">
        <f t="shared" si="4"/>
        <v>8</v>
      </c>
      <c r="BO59" s="6"/>
      <c r="BP59" s="6"/>
      <c r="BQ59" s="6"/>
      <c r="BR59" s="6"/>
      <c r="BS59" s="6"/>
      <c r="BT59" s="6"/>
      <c r="BU59" s="6"/>
      <c r="BV59" s="6"/>
      <c r="BW59" s="6"/>
      <c r="BX59" s="6"/>
    </row>
    <row r="60" ht="15.75" customHeight="1">
      <c r="A60" s="1" t="s">
        <v>154</v>
      </c>
      <c r="B60" s="17">
        <v>84.0</v>
      </c>
      <c r="C60" s="17">
        <v>2.0</v>
      </c>
      <c r="D60" s="9" t="s">
        <v>85</v>
      </c>
      <c r="E60" s="9" t="s">
        <v>85</v>
      </c>
      <c r="F60" s="9">
        <v>0.789936</v>
      </c>
      <c r="G60" s="9" t="s">
        <v>85</v>
      </c>
      <c r="H60" s="9" t="s">
        <v>85</v>
      </c>
      <c r="I60" s="9">
        <v>0.539137</v>
      </c>
      <c r="J60" s="9" t="s">
        <v>85</v>
      </c>
      <c r="K60" s="9" t="s">
        <v>85</v>
      </c>
      <c r="L60" s="9" t="s">
        <v>85</v>
      </c>
      <c r="M60" s="9" t="s">
        <v>85</v>
      </c>
      <c r="N60" s="9" t="s">
        <v>85</v>
      </c>
      <c r="O60" s="9" t="s">
        <v>85</v>
      </c>
      <c r="P60" s="9" t="s">
        <v>85</v>
      </c>
      <c r="Q60" s="9" t="s">
        <v>85</v>
      </c>
      <c r="R60" s="9">
        <v>0.698083</v>
      </c>
      <c r="S60" s="9" t="s">
        <v>85</v>
      </c>
      <c r="T60" s="9" t="s">
        <v>85</v>
      </c>
      <c r="U60" s="9">
        <v>0.770767</v>
      </c>
      <c r="V60" s="9" t="s">
        <v>85</v>
      </c>
      <c r="W60" s="9" t="s">
        <v>85</v>
      </c>
      <c r="X60" s="9" t="s">
        <v>85</v>
      </c>
      <c r="Y60" s="9" t="s">
        <v>85</v>
      </c>
      <c r="Z60" s="9" t="s">
        <v>85</v>
      </c>
      <c r="AA60" s="9" t="s">
        <v>85</v>
      </c>
      <c r="AB60" s="10" t="s">
        <v>85</v>
      </c>
      <c r="AC60" s="10" t="s">
        <v>85</v>
      </c>
      <c r="AD60" s="9">
        <v>0.759585</v>
      </c>
      <c r="AE60" s="9" t="s">
        <v>85</v>
      </c>
      <c r="AF60" s="9" t="s">
        <v>85</v>
      </c>
      <c r="AG60" s="9">
        <v>0.741214</v>
      </c>
      <c r="AH60" s="9" t="s">
        <v>85</v>
      </c>
      <c r="AI60" s="9" t="s">
        <v>85</v>
      </c>
      <c r="AJ60" s="9" t="s">
        <v>85</v>
      </c>
      <c r="AK60" s="9" t="s">
        <v>85</v>
      </c>
      <c r="AL60" s="9" t="s">
        <v>85</v>
      </c>
      <c r="AM60" s="9" t="s">
        <v>85</v>
      </c>
      <c r="AN60" s="9" t="s">
        <v>85</v>
      </c>
      <c r="AO60" s="9" t="s">
        <v>85</v>
      </c>
      <c r="AP60" s="9">
        <v>0.798722</v>
      </c>
      <c r="AQ60" s="9" t="s">
        <v>85</v>
      </c>
      <c r="AR60" s="9" t="s">
        <v>85</v>
      </c>
      <c r="AS60" s="9">
        <v>0.783546</v>
      </c>
      <c r="AT60" s="9" t="s">
        <v>85</v>
      </c>
      <c r="AU60" s="9" t="s">
        <v>85</v>
      </c>
      <c r="AV60" s="9" t="s">
        <v>85</v>
      </c>
      <c r="AW60" s="9" t="s">
        <v>85</v>
      </c>
      <c r="AX60" s="9" t="s">
        <v>85</v>
      </c>
      <c r="AY60" s="9" t="s">
        <v>85</v>
      </c>
      <c r="AZ60" s="9" t="s">
        <v>85</v>
      </c>
      <c r="BA60" s="9" t="s">
        <v>85</v>
      </c>
      <c r="BB60" s="9" t="s">
        <v>85</v>
      </c>
      <c r="BC60" s="10" t="s">
        <v>85</v>
      </c>
      <c r="BD60" s="9" t="s">
        <v>85</v>
      </c>
      <c r="BE60" s="9" t="s">
        <v>85</v>
      </c>
      <c r="BF60" s="10" t="s">
        <v>85</v>
      </c>
      <c r="BG60" s="10" t="s">
        <v>85</v>
      </c>
      <c r="BH60" s="9" t="s">
        <v>85</v>
      </c>
      <c r="BI60" s="6"/>
      <c r="BJ60" s="6" t="str">
        <f t="shared" si="1"/>
        <v>12Bo_One_Acc</v>
      </c>
      <c r="BK60" s="6" t="str">
        <f t="shared" si="2"/>
        <v>5Bo_One_Acc</v>
      </c>
      <c r="BL60" s="6" t="str">
        <f t="shared" si="3"/>
        <v>12BoN_One_Acc</v>
      </c>
      <c r="BM60" s="6"/>
      <c r="BN60" s="6">
        <f t="shared" si="4"/>
        <v>12</v>
      </c>
      <c r="BO60" s="6"/>
      <c r="BP60" s="6"/>
      <c r="BQ60" s="6"/>
      <c r="BR60" s="6"/>
      <c r="BS60" s="6"/>
      <c r="BT60" s="6"/>
      <c r="BU60" s="6"/>
      <c r="BV60" s="6"/>
      <c r="BW60" s="6"/>
      <c r="BX60" s="6"/>
    </row>
    <row r="61" ht="15.75" customHeight="1">
      <c r="A61" s="1" t="s">
        <v>155</v>
      </c>
      <c r="B61" s="17">
        <v>570.0</v>
      </c>
      <c r="C61" s="17">
        <v>4.0</v>
      </c>
      <c r="D61" s="9" t="s">
        <v>85</v>
      </c>
      <c r="E61" s="9" t="s">
        <v>85</v>
      </c>
      <c r="F61" s="9">
        <v>0.4</v>
      </c>
      <c r="G61" s="9" t="s">
        <v>85</v>
      </c>
      <c r="H61" s="9" t="s">
        <v>85</v>
      </c>
      <c r="I61" s="9">
        <v>0.4</v>
      </c>
      <c r="J61" s="9" t="s">
        <v>85</v>
      </c>
      <c r="K61" s="9" t="s">
        <v>85</v>
      </c>
      <c r="L61" s="9" t="s">
        <v>85</v>
      </c>
      <c r="M61" s="9" t="s">
        <v>85</v>
      </c>
      <c r="N61" s="9" t="s">
        <v>85</v>
      </c>
      <c r="O61" s="9" t="s">
        <v>85</v>
      </c>
      <c r="P61" s="9" t="s">
        <v>85</v>
      </c>
      <c r="Q61" s="9" t="s">
        <v>85</v>
      </c>
      <c r="R61" s="9">
        <v>0.4</v>
      </c>
      <c r="S61" s="9" t="s">
        <v>85</v>
      </c>
      <c r="T61" s="9" t="s">
        <v>85</v>
      </c>
      <c r="U61" s="9">
        <v>0.4</v>
      </c>
      <c r="V61" s="9" t="s">
        <v>85</v>
      </c>
      <c r="W61" s="9" t="s">
        <v>85</v>
      </c>
      <c r="X61" s="9" t="s">
        <v>85</v>
      </c>
      <c r="Y61" s="9" t="s">
        <v>85</v>
      </c>
      <c r="Z61" s="9" t="s">
        <v>85</v>
      </c>
      <c r="AA61" s="9" t="s">
        <v>85</v>
      </c>
      <c r="AB61" s="10" t="s">
        <v>85</v>
      </c>
      <c r="AC61" s="10" t="s">
        <v>85</v>
      </c>
      <c r="AD61" s="9">
        <v>0.4</v>
      </c>
      <c r="AE61" s="9" t="s">
        <v>85</v>
      </c>
      <c r="AF61" s="9" t="s">
        <v>85</v>
      </c>
      <c r="AG61" s="9">
        <v>0.4</v>
      </c>
      <c r="AH61" s="9" t="s">
        <v>85</v>
      </c>
      <c r="AI61" s="9" t="s">
        <v>85</v>
      </c>
      <c r="AJ61" s="9" t="s">
        <v>85</v>
      </c>
      <c r="AK61" s="9" t="s">
        <v>85</v>
      </c>
      <c r="AL61" s="9" t="s">
        <v>85</v>
      </c>
      <c r="AM61" s="9" t="s">
        <v>85</v>
      </c>
      <c r="AN61" s="9" t="s">
        <v>85</v>
      </c>
      <c r="AO61" s="9" t="s">
        <v>85</v>
      </c>
      <c r="AP61" s="9">
        <v>0.4</v>
      </c>
      <c r="AQ61" s="9" t="s">
        <v>85</v>
      </c>
      <c r="AR61" s="9" t="s">
        <v>85</v>
      </c>
      <c r="AS61" s="9">
        <v>0.5</v>
      </c>
      <c r="AT61" s="9" t="s">
        <v>85</v>
      </c>
      <c r="AU61" s="9" t="s">
        <v>85</v>
      </c>
      <c r="AV61" s="9" t="s">
        <v>85</v>
      </c>
      <c r="AW61" s="9" t="s">
        <v>85</v>
      </c>
      <c r="AX61" s="9" t="s">
        <v>85</v>
      </c>
      <c r="AY61" s="9" t="s">
        <v>85</v>
      </c>
      <c r="AZ61" s="9" t="s">
        <v>85</v>
      </c>
      <c r="BA61" s="9" t="s">
        <v>85</v>
      </c>
      <c r="BB61" s="9" t="s">
        <v>85</v>
      </c>
      <c r="BC61" s="10" t="s">
        <v>85</v>
      </c>
      <c r="BD61" s="9" t="s">
        <v>85</v>
      </c>
      <c r="BE61" s="9" t="s">
        <v>85</v>
      </c>
      <c r="BF61" s="10" t="s">
        <v>85</v>
      </c>
      <c r="BG61" s="10" t="s">
        <v>85</v>
      </c>
      <c r="BH61" s="9" t="s">
        <v>85</v>
      </c>
      <c r="BI61" s="6"/>
      <c r="BJ61" s="6" t="str">
        <f t="shared" si="1"/>
        <v>12BoN_One_Acc</v>
      </c>
      <c r="BK61" s="6" t="str">
        <f t="shared" si="2"/>
        <v>5Bo_One_Acc</v>
      </c>
      <c r="BL61" s="6" t="str">
        <f t="shared" si="3"/>
        <v>5Bo_One_Acc</v>
      </c>
      <c r="BM61" s="6"/>
      <c r="BN61" s="6">
        <f t="shared" si="4"/>
        <v>12</v>
      </c>
      <c r="BO61" s="6"/>
      <c r="BP61" s="6"/>
      <c r="BQ61" s="6"/>
      <c r="BR61" s="6"/>
      <c r="BS61" s="6"/>
      <c r="BT61" s="6"/>
      <c r="BU61" s="6"/>
      <c r="BV61" s="6"/>
      <c r="BW61" s="6"/>
      <c r="BX61" s="6"/>
    </row>
    <row r="62" ht="15.75" customHeight="1">
      <c r="A62" s="1" t="s">
        <v>156</v>
      </c>
      <c r="B62" s="17">
        <v>427.0</v>
      </c>
      <c r="C62" s="17">
        <v>6.0</v>
      </c>
      <c r="D62" s="9" t="s">
        <v>85</v>
      </c>
      <c r="E62" s="9" t="s">
        <v>85</v>
      </c>
      <c r="F62" s="9">
        <v>0.421488</v>
      </c>
      <c r="G62" s="9" t="s">
        <v>85</v>
      </c>
      <c r="H62" s="9" t="s">
        <v>85</v>
      </c>
      <c r="I62" s="9">
        <v>0.181818</v>
      </c>
      <c r="J62" s="9" t="s">
        <v>85</v>
      </c>
      <c r="K62" s="9" t="s">
        <v>85</v>
      </c>
      <c r="L62" s="9" t="s">
        <v>85</v>
      </c>
      <c r="M62" s="9" t="s">
        <v>85</v>
      </c>
      <c r="N62" s="9" t="s">
        <v>85</v>
      </c>
      <c r="O62" s="9" t="s">
        <v>85</v>
      </c>
      <c r="P62" s="9" t="s">
        <v>85</v>
      </c>
      <c r="Q62" s="9" t="s">
        <v>85</v>
      </c>
      <c r="R62" s="9">
        <v>0.404959</v>
      </c>
      <c r="S62" s="9" t="s">
        <v>85</v>
      </c>
      <c r="T62" s="9" t="s">
        <v>85</v>
      </c>
      <c r="U62" s="9">
        <v>0.404959</v>
      </c>
      <c r="V62" s="9" t="s">
        <v>85</v>
      </c>
      <c r="W62" s="9" t="s">
        <v>85</v>
      </c>
      <c r="X62" s="9" t="s">
        <v>85</v>
      </c>
      <c r="Y62" s="9" t="s">
        <v>85</v>
      </c>
      <c r="Z62" s="9" t="s">
        <v>85</v>
      </c>
      <c r="AA62" s="9" t="s">
        <v>85</v>
      </c>
      <c r="AB62" s="10" t="s">
        <v>85</v>
      </c>
      <c r="AC62" s="10" t="s">
        <v>85</v>
      </c>
      <c r="AD62" s="9">
        <v>0.495868</v>
      </c>
      <c r="AE62" s="9" t="s">
        <v>85</v>
      </c>
      <c r="AF62" s="9" t="s">
        <v>85</v>
      </c>
      <c r="AG62" s="9">
        <v>0.487603</v>
      </c>
      <c r="AH62" s="9" t="s">
        <v>85</v>
      </c>
      <c r="AI62" s="9" t="s">
        <v>85</v>
      </c>
      <c r="AJ62" s="9" t="s">
        <v>85</v>
      </c>
      <c r="AK62" s="9" t="s">
        <v>85</v>
      </c>
      <c r="AL62" s="9" t="s">
        <v>85</v>
      </c>
      <c r="AM62" s="9" t="s">
        <v>85</v>
      </c>
      <c r="AN62" s="9" t="s">
        <v>85</v>
      </c>
      <c r="AO62" s="9" t="s">
        <v>85</v>
      </c>
      <c r="AP62" s="9">
        <v>0.508264</v>
      </c>
      <c r="AQ62" s="9" t="s">
        <v>85</v>
      </c>
      <c r="AR62" s="9" t="s">
        <v>85</v>
      </c>
      <c r="AS62" s="9">
        <v>0.5</v>
      </c>
      <c r="AT62" s="9" t="s">
        <v>85</v>
      </c>
      <c r="AU62" s="9" t="s">
        <v>85</v>
      </c>
      <c r="AV62" s="9" t="s">
        <v>85</v>
      </c>
      <c r="AW62" s="9" t="s">
        <v>85</v>
      </c>
      <c r="AX62" s="9" t="s">
        <v>85</v>
      </c>
      <c r="AY62" s="9" t="s">
        <v>85</v>
      </c>
      <c r="AZ62" s="9" t="s">
        <v>85</v>
      </c>
      <c r="BA62" s="9" t="s">
        <v>85</v>
      </c>
      <c r="BB62" s="9" t="s">
        <v>85</v>
      </c>
      <c r="BC62" s="10" t="s">
        <v>85</v>
      </c>
      <c r="BD62" s="9" t="s">
        <v>85</v>
      </c>
      <c r="BE62" s="9" t="s">
        <v>85</v>
      </c>
      <c r="BF62" s="10" t="s">
        <v>85</v>
      </c>
      <c r="BG62" s="10" t="s">
        <v>85</v>
      </c>
      <c r="BH62" s="9" t="s">
        <v>85</v>
      </c>
      <c r="BI62" s="6"/>
      <c r="BJ62" s="6" t="str">
        <f t="shared" si="1"/>
        <v>12Bo_One_Acc</v>
      </c>
      <c r="BK62" s="6" t="str">
        <f t="shared" si="2"/>
        <v>12BoN_One_Acc</v>
      </c>
      <c r="BL62" s="6" t="str">
        <f t="shared" si="3"/>
        <v>10Bo_One_Acc</v>
      </c>
      <c r="BM62" s="6"/>
      <c r="BN62" s="6">
        <f t="shared" si="4"/>
        <v>12</v>
      </c>
      <c r="BO62" s="6"/>
      <c r="BP62" s="6"/>
      <c r="BQ62" s="6"/>
      <c r="BR62" s="6"/>
      <c r="BS62" s="6"/>
      <c r="BT62" s="6"/>
      <c r="BU62" s="6"/>
      <c r="BV62" s="6"/>
      <c r="BW62" s="6"/>
      <c r="BX62" s="6"/>
    </row>
    <row r="63" ht="15.75" customHeight="1">
      <c r="A63" s="1" t="s">
        <v>157</v>
      </c>
      <c r="B63" s="17">
        <v>80.0</v>
      </c>
      <c r="C63" s="17">
        <v>2.0</v>
      </c>
      <c r="D63" s="9" t="s">
        <v>85</v>
      </c>
      <c r="E63" s="9" t="s">
        <v>85</v>
      </c>
      <c r="F63" s="9">
        <v>0.744755</v>
      </c>
      <c r="G63" s="9" t="s">
        <v>85</v>
      </c>
      <c r="H63" s="9" t="s">
        <v>85</v>
      </c>
      <c r="I63" s="9">
        <v>0.613054</v>
      </c>
      <c r="J63" s="9" t="s">
        <v>85</v>
      </c>
      <c r="K63" s="9" t="s">
        <v>85</v>
      </c>
      <c r="L63" s="9" t="s">
        <v>85</v>
      </c>
      <c r="M63" s="9" t="s">
        <v>85</v>
      </c>
      <c r="N63" s="9" t="s">
        <v>85</v>
      </c>
      <c r="O63" s="9" t="s">
        <v>85</v>
      </c>
      <c r="P63" s="9" t="s">
        <v>85</v>
      </c>
      <c r="Q63" s="9" t="s">
        <v>85</v>
      </c>
      <c r="R63" s="9">
        <v>0.731935</v>
      </c>
      <c r="S63" s="9" t="s">
        <v>85</v>
      </c>
      <c r="T63" s="9" t="s">
        <v>85</v>
      </c>
      <c r="U63" s="9">
        <v>0.713287</v>
      </c>
      <c r="V63" s="9" t="s">
        <v>85</v>
      </c>
      <c r="W63" s="9" t="s">
        <v>85</v>
      </c>
      <c r="X63" s="9" t="s">
        <v>85</v>
      </c>
      <c r="Y63" s="9" t="s">
        <v>85</v>
      </c>
      <c r="Z63" s="9" t="s">
        <v>85</v>
      </c>
      <c r="AA63" s="9" t="s">
        <v>85</v>
      </c>
      <c r="AB63" s="10" t="s">
        <v>85</v>
      </c>
      <c r="AC63" s="10" t="s">
        <v>85</v>
      </c>
      <c r="AD63" s="9">
        <v>0.740093</v>
      </c>
      <c r="AE63" s="9" t="s">
        <v>85</v>
      </c>
      <c r="AF63" s="9" t="s">
        <v>85</v>
      </c>
      <c r="AG63" s="9">
        <v>0.761072</v>
      </c>
      <c r="AH63" s="9" t="s">
        <v>85</v>
      </c>
      <c r="AI63" s="9" t="s">
        <v>85</v>
      </c>
      <c r="AJ63" s="9" t="s">
        <v>85</v>
      </c>
      <c r="AK63" s="9" t="s">
        <v>85</v>
      </c>
      <c r="AL63" s="9" t="s">
        <v>85</v>
      </c>
      <c r="AM63" s="9" t="s">
        <v>85</v>
      </c>
      <c r="AN63" s="9" t="s">
        <v>85</v>
      </c>
      <c r="AO63" s="9" t="s">
        <v>85</v>
      </c>
      <c r="AP63" s="9">
        <v>0.750583</v>
      </c>
      <c r="AQ63" s="9" t="s">
        <v>85</v>
      </c>
      <c r="AR63" s="9" t="s">
        <v>85</v>
      </c>
      <c r="AS63" s="9">
        <v>0.729604</v>
      </c>
      <c r="AT63" s="9" t="s">
        <v>85</v>
      </c>
      <c r="AU63" s="9" t="s">
        <v>85</v>
      </c>
      <c r="AV63" s="9" t="s">
        <v>85</v>
      </c>
      <c r="AW63" s="9" t="s">
        <v>85</v>
      </c>
      <c r="AX63" s="9" t="s">
        <v>85</v>
      </c>
      <c r="AY63" s="9" t="s">
        <v>85</v>
      </c>
      <c r="AZ63" s="9" t="s">
        <v>85</v>
      </c>
      <c r="BA63" s="9" t="s">
        <v>85</v>
      </c>
      <c r="BB63" s="9" t="s">
        <v>85</v>
      </c>
      <c r="BC63" s="10" t="s">
        <v>85</v>
      </c>
      <c r="BD63" s="9" t="s">
        <v>85</v>
      </c>
      <c r="BE63" s="9" t="s">
        <v>85</v>
      </c>
      <c r="BF63" s="10" t="s">
        <v>85</v>
      </c>
      <c r="BG63" s="10" t="s">
        <v>85</v>
      </c>
      <c r="BH63" s="9" t="s">
        <v>85</v>
      </c>
      <c r="BI63" s="6"/>
      <c r="BJ63" s="6" t="str">
        <f t="shared" si="1"/>
        <v>10BoN_One_Acc</v>
      </c>
      <c r="BK63" s="6" t="str">
        <f t="shared" si="2"/>
        <v>12Bo_One_Acc</v>
      </c>
      <c r="BL63" s="6" t="str">
        <f t="shared" si="3"/>
        <v>5Bo_One_Acc</v>
      </c>
      <c r="BM63" s="6"/>
      <c r="BN63" s="6">
        <f t="shared" si="4"/>
        <v>10</v>
      </c>
      <c r="BO63" s="6"/>
      <c r="BP63" s="6"/>
      <c r="BQ63" s="6"/>
      <c r="BR63" s="6"/>
      <c r="BS63" s="6"/>
      <c r="BT63" s="6"/>
      <c r="BU63" s="6"/>
      <c r="BV63" s="6"/>
      <c r="BW63" s="6"/>
      <c r="BX63" s="6"/>
    </row>
    <row r="64" ht="15.75" customHeight="1">
      <c r="A64" s="1" t="s">
        <v>158</v>
      </c>
      <c r="B64" s="17">
        <v>1024.0</v>
      </c>
      <c r="C64" s="17">
        <v>39.0</v>
      </c>
      <c r="D64" s="9" t="s">
        <v>85</v>
      </c>
      <c r="E64" s="9" t="s">
        <v>85</v>
      </c>
      <c r="F64" s="9">
        <v>0.141878</v>
      </c>
      <c r="G64" s="9" t="s">
        <v>85</v>
      </c>
      <c r="H64" s="9" t="s">
        <v>85</v>
      </c>
      <c r="I64" s="9">
        <v>0.068565</v>
      </c>
      <c r="J64" s="9" t="s">
        <v>85</v>
      </c>
      <c r="K64" s="9" t="s">
        <v>85</v>
      </c>
      <c r="L64" s="9" t="s">
        <v>85</v>
      </c>
      <c r="M64" s="9" t="s">
        <v>85</v>
      </c>
      <c r="N64" s="9" t="s">
        <v>85</v>
      </c>
      <c r="O64" s="9" t="s">
        <v>85</v>
      </c>
      <c r="P64" s="9" t="s">
        <v>85</v>
      </c>
      <c r="Q64" s="9" t="s">
        <v>85</v>
      </c>
      <c r="R64" s="9">
        <v>0.144515</v>
      </c>
      <c r="S64" s="9" t="s">
        <v>85</v>
      </c>
      <c r="T64" s="9" t="s">
        <v>85</v>
      </c>
      <c r="U64" s="9">
        <v>0.159283</v>
      </c>
      <c r="V64" s="9" t="s">
        <v>85</v>
      </c>
      <c r="W64" s="9" t="s">
        <v>85</v>
      </c>
      <c r="X64" s="9" t="s">
        <v>85</v>
      </c>
      <c r="Y64" s="9" t="s">
        <v>85</v>
      </c>
      <c r="Z64" s="9" t="s">
        <v>85</v>
      </c>
      <c r="AA64" s="9" t="s">
        <v>85</v>
      </c>
      <c r="AB64" s="10" t="s">
        <v>85</v>
      </c>
      <c r="AC64" s="10" t="s">
        <v>85</v>
      </c>
      <c r="AD64" s="9">
        <v>0.144515</v>
      </c>
      <c r="AE64" s="9" t="s">
        <v>85</v>
      </c>
      <c r="AF64" s="9" t="s">
        <v>85</v>
      </c>
      <c r="AG64" s="9">
        <v>0.142405</v>
      </c>
      <c r="AH64" s="9" t="s">
        <v>85</v>
      </c>
      <c r="AI64" s="9" t="s">
        <v>85</v>
      </c>
      <c r="AJ64" s="9" t="s">
        <v>85</v>
      </c>
      <c r="AK64" s="9" t="s">
        <v>85</v>
      </c>
      <c r="AL64" s="9" t="s">
        <v>85</v>
      </c>
      <c r="AM64" s="9" t="s">
        <v>85</v>
      </c>
      <c r="AN64" s="9" t="s">
        <v>85</v>
      </c>
      <c r="AO64" s="9" t="s">
        <v>85</v>
      </c>
      <c r="AP64" s="9">
        <v>0.151899</v>
      </c>
      <c r="AQ64" s="9" t="s">
        <v>85</v>
      </c>
      <c r="AR64" s="9" t="s">
        <v>85</v>
      </c>
      <c r="AS64" s="9">
        <v>0.158755</v>
      </c>
      <c r="AT64" s="9" t="s">
        <v>85</v>
      </c>
      <c r="AU64" s="9" t="s">
        <v>85</v>
      </c>
      <c r="AV64" s="9" t="s">
        <v>85</v>
      </c>
      <c r="AW64" s="9" t="s">
        <v>85</v>
      </c>
      <c r="AX64" s="9" t="s">
        <v>85</v>
      </c>
      <c r="AY64" s="9" t="s">
        <v>85</v>
      </c>
      <c r="AZ64" s="9" t="s">
        <v>85</v>
      </c>
      <c r="BA64" s="9" t="s">
        <v>85</v>
      </c>
      <c r="BB64" s="9" t="s">
        <v>85</v>
      </c>
      <c r="BC64" s="10" t="s">
        <v>85</v>
      </c>
      <c r="BD64" s="9" t="s">
        <v>85</v>
      </c>
      <c r="BE64" s="9" t="s">
        <v>85</v>
      </c>
      <c r="BF64" s="10" t="s">
        <v>85</v>
      </c>
      <c r="BG64" s="10" t="s">
        <v>85</v>
      </c>
      <c r="BH64" s="9" t="s">
        <v>85</v>
      </c>
      <c r="BI64" s="6"/>
      <c r="BJ64" s="6" t="str">
        <f t="shared" si="1"/>
        <v>8BoN_One_Acc</v>
      </c>
      <c r="BK64" s="6" t="str">
        <f t="shared" si="2"/>
        <v>12BoN_One_Acc</v>
      </c>
      <c r="BL64" s="6" t="str">
        <f t="shared" si="3"/>
        <v>12Bo_One_Acc</v>
      </c>
      <c r="BM64" s="6"/>
      <c r="BN64" s="6">
        <f t="shared" si="4"/>
        <v>8</v>
      </c>
      <c r="BO64" s="6"/>
      <c r="BP64" s="6"/>
      <c r="BQ64" s="6"/>
      <c r="BR64" s="6"/>
      <c r="BS64" s="6"/>
      <c r="BT64" s="6"/>
      <c r="BU64" s="6"/>
      <c r="BV64" s="6"/>
      <c r="BW64" s="6"/>
      <c r="BX64" s="6"/>
    </row>
    <row r="65" ht="15.75" customHeight="1">
      <c r="A65" s="1" t="s">
        <v>159</v>
      </c>
      <c r="B65" s="17">
        <v>2000.0</v>
      </c>
      <c r="C65" s="17">
        <v>52.0</v>
      </c>
      <c r="D65" s="9" t="s">
        <v>85</v>
      </c>
      <c r="E65" s="9" t="s">
        <v>85</v>
      </c>
      <c r="F65" s="9">
        <v>0.125</v>
      </c>
      <c r="G65" s="9" t="s">
        <v>85</v>
      </c>
      <c r="H65" s="9" t="s">
        <v>85</v>
      </c>
      <c r="I65" s="9">
        <v>0.019231</v>
      </c>
      <c r="J65" s="9" t="s">
        <v>85</v>
      </c>
      <c r="K65" s="9" t="s">
        <v>85</v>
      </c>
      <c r="L65" s="9" t="s">
        <v>85</v>
      </c>
      <c r="M65" s="9" t="s">
        <v>85</v>
      </c>
      <c r="N65" s="9" t="s">
        <v>85</v>
      </c>
      <c r="O65" s="9" t="s">
        <v>85</v>
      </c>
      <c r="P65" s="9" t="s">
        <v>85</v>
      </c>
      <c r="Q65" s="9" t="s">
        <v>85</v>
      </c>
      <c r="R65" s="9">
        <v>0.100962</v>
      </c>
      <c r="S65" s="9" t="s">
        <v>85</v>
      </c>
      <c r="T65" s="9" t="s">
        <v>85</v>
      </c>
      <c r="U65" s="9">
        <v>0.067308</v>
      </c>
      <c r="V65" s="9" t="s">
        <v>85</v>
      </c>
      <c r="W65" s="9" t="s">
        <v>85</v>
      </c>
      <c r="X65" s="9" t="s">
        <v>85</v>
      </c>
      <c r="Y65" s="9" t="s">
        <v>85</v>
      </c>
      <c r="Z65" s="9" t="s">
        <v>85</v>
      </c>
      <c r="AA65" s="9" t="s">
        <v>85</v>
      </c>
      <c r="AB65" s="10" t="s">
        <v>85</v>
      </c>
      <c r="AC65" s="10" t="s">
        <v>85</v>
      </c>
      <c r="AD65" s="9">
        <v>0.081731</v>
      </c>
      <c r="AE65" s="9" t="s">
        <v>85</v>
      </c>
      <c r="AF65" s="9" t="s">
        <v>85</v>
      </c>
      <c r="AG65" s="9">
        <v>0.072115</v>
      </c>
      <c r="AH65" s="9" t="s">
        <v>85</v>
      </c>
      <c r="AI65" s="9" t="s">
        <v>85</v>
      </c>
      <c r="AJ65" s="9" t="s">
        <v>85</v>
      </c>
      <c r="AK65" s="9" t="s">
        <v>85</v>
      </c>
      <c r="AL65" s="9" t="s">
        <v>85</v>
      </c>
      <c r="AM65" s="9" t="s">
        <v>85</v>
      </c>
      <c r="AN65" s="9" t="s">
        <v>85</v>
      </c>
      <c r="AO65" s="9" t="s">
        <v>85</v>
      </c>
      <c r="AP65" s="9">
        <v>0.072115</v>
      </c>
      <c r="AQ65" s="9" t="s">
        <v>85</v>
      </c>
      <c r="AR65" s="9" t="s">
        <v>85</v>
      </c>
      <c r="AS65" s="9">
        <v>0.076923</v>
      </c>
      <c r="AT65" s="9" t="s">
        <v>85</v>
      </c>
      <c r="AU65" s="9" t="s">
        <v>85</v>
      </c>
      <c r="AV65" s="9" t="s">
        <v>85</v>
      </c>
      <c r="AW65" s="9" t="s">
        <v>85</v>
      </c>
      <c r="AX65" s="9" t="s">
        <v>85</v>
      </c>
      <c r="AY65" s="9" t="s">
        <v>85</v>
      </c>
      <c r="AZ65" s="9" t="s">
        <v>85</v>
      </c>
      <c r="BA65" s="9" t="s">
        <v>85</v>
      </c>
      <c r="BB65" s="9" t="s">
        <v>85</v>
      </c>
      <c r="BC65" s="10" t="s">
        <v>85</v>
      </c>
      <c r="BD65" s="9" t="s">
        <v>85</v>
      </c>
      <c r="BE65" s="9" t="s">
        <v>85</v>
      </c>
      <c r="BF65" s="10" t="s">
        <v>85</v>
      </c>
      <c r="BG65" s="10" t="s">
        <v>85</v>
      </c>
      <c r="BH65" s="9" t="s">
        <v>85</v>
      </c>
      <c r="BI65" s="6"/>
      <c r="BJ65" s="6" t="str">
        <f t="shared" si="1"/>
        <v>5Bo_One_Acc</v>
      </c>
      <c r="BK65" s="6" t="str">
        <f t="shared" si="2"/>
        <v>8Bo_One_Acc</v>
      </c>
      <c r="BL65" s="6" t="str">
        <f t="shared" si="3"/>
        <v>10Bo_One_Acc</v>
      </c>
      <c r="BM65" s="6"/>
      <c r="BN65" s="6">
        <f t="shared" si="4"/>
        <v>5</v>
      </c>
      <c r="BO65" s="6"/>
      <c r="BP65" s="6"/>
      <c r="BQ65" s="6"/>
      <c r="BR65" s="6"/>
      <c r="BS65" s="6"/>
      <c r="BT65" s="6"/>
      <c r="BU65" s="6"/>
      <c r="BV65" s="6"/>
      <c r="BW65" s="6"/>
      <c r="BX65" s="6"/>
    </row>
    <row r="66" ht="15.75" customHeight="1">
      <c r="A66" s="1" t="s">
        <v>160</v>
      </c>
      <c r="B66" s="17">
        <v>2000.0</v>
      </c>
      <c r="C66" s="17">
        <v>52.0</v>
      </c>
      <c r="D66" s="9" t="s">
        <v>85</v>
      </c>
      <c r="E66" s="9" t="s">
        <v>85</v>
      </c>
      <c r="F66" s="9">
        <v>0.072115</v>
      </c>
      <c r="G66" s="9" t="s">
        <v>85</v>
      </c>
      <c r="H66" s="9" t="s">
        <v>85</v>
      </c>
      <c r="I66" s="9">
        <v>0.019231</v>
      </c>
      <c r="J66" s="9" t="s">
        <v>85</v>
      </c>
      <c r="K66" s="9" t="s">
        <v>85</v>
      </c>
      <c r="L66" s="9" t="s">
        <v>85</v>
      </c>
      <c r="M66" s="9" t="s">
        <v>85</v>
      </c>
      <c r="N66" s="9" t="s">
        <v>85</v>
      </c>
      <c r="O66" s="9" t="s">
        <v>85</v>
      </c>
      <c r="P66" s="9" t="s">
        <v>85</v>
      </c>
      <c r="Q66" s="9" t="s">
        <v>85</v>
      </c>
      <c r="R66" s="9">
        <v>0.043269</v>
      </c>
      <c r="S66" s="9" t="s">
        <v>85</v>
      </c>
      <c r="T66" s="9" t="s">
        <v>85</v>
      </c>
      <c r="U66" s="9">
        <v>0.072115</v>
      </c>
      <c r="V66" s="9" t="s">
        <v>85</v>
      </c>
      <c r="W66" s="9" t="s">
        <v>85</v>
      </c>
      <c r="X66" s="9" t="s">
        <v>85</v>
      </c>
      <c r="Y66" s="9" t="s">
        <v>85</v>
      </c>
      <c r="Z66" s="9" t="s">
        <v>85</v>
      </c>
      <c r="AA66" s="9" t="s">
        <v>85</v>
      </c>
      <c r="AB66" s="10" t="s">
        <v>85</v>
      </c>
      <c r="AC66" s="10" t="s">
        <v>85</v>
      </c>
      <c r="AD66" s="9">
        <v>0.038462</v>
      </c>
      <c r="AE66" s="9" t="s">
        <v>85</v>
      </c>
      <c r="AF66" s="9" t="s">
        <v>85</v>
      </c>
      <c r="AG66" s="9">
        <v>0.072115</v>
      </c>
      <c r="AH66" s="9" t="s">
        <v>85</v>
      </c>
      <c r="AI66" s="9" t="s">
        <v>85</v>
      </c>
      <c r="AJ66" s="9" t="s">
        <v>85</v>
      </c>
      <c r="AK66" s="9" t="s">
        <v>85</v>
      </c>
      <c r="AL66" s="9" t="s">
        <v>85</v>
      </c>
      <c r="AM66" s="9" t="s">
        <v>85</v>
      </c>
      <c r="AN66" s="9" t="s">
        <v>85</v>
      </c>
      <c r="AO66" s="9" t="s">
        <v>85</v>
      </c>
      <c r="AP66" s="9">
        <v>0.052885</v>
      </c>
      <c r="AQ66" s="9" t="s">
        <v>85</v>
      </c>
      <c r="AR66" s="9" t="s">
        <v>85</v>
      </c>
      <c r="AS66" s="9">
        <v>0.057692</v>
      </c>
      <c r="AT66" s="9" t="s">
        <v>85</v>
      </c>
      <c r="AU66" s="9" t="s">
        <v>85</v>
      </c>
      <c r="AV66" s="9" t="s">
        <v>85</v>
      </c>
      <c r="AW66" s="9" t="s">
        <v>85</v>
      </c>
      <c r="AX66" s="9" t="s">
        <v>85</v>
      </c>
      <c r="AY66" s="9" t="s">
        <v>85</v>
      </c>
      <c r="AZ66" s="9" t="s">
        <v>85</v>
      </c>
      <c r="BA66" s="9" t="s">
        <v>85</v>
      </c>
      <c r="BB66" s="9" t="s">
        <v>85</v>
      </c>
      <c r="BC66" s="10" t="s">
        <v>85</v>
      </c>
      <c r="BD66" s="9" t="s">
        <v>85</v>
      </c>
      <c r="BE66" s="9" t="s">
        <v>85</v>
      </c>
      <c r="BF66" s="10" t="s">
        <v>85</v>
      </c>
      <c r="BG66" s="10" t="s">
        <v>85</v>
      </c>
      <c r="BH66" s="9" t="s">
        <v>85</v>
      </c>
      <c r="BI66" s="6"/>
      <c r="BJ66" s="6" t="str">
        <f t="shared" si="1"/>
        <v>5Bo_One_Acc</v>
      </c>
      <c r="BK66" s="6" t="str">
        <f t="shared" si="2"/>
        <v>5Bo_One_Acc</v>
      </c>
      <c r="BL66" s="6" t="str">
        <f t="shared" si="3"/>
        <v>5Bo_One_Acc</v>
      </c>
      <c r="BM66" s="6"/>
      <c r="BN66" s="6">
        <f t="shared" si="4"/>
        <v>5</v>
      </c>
      <c r="BO66" s="6"/>
      <c r="BP66" s="6"/>
      <c r="BQ66" s="6"/>
      <c r="BR66" s="6"/>
      <c r="BS66" s="6"/>
      <c r="BT66" s="6"/>
      <c r="BU66" s="6"/>
      <c r="BV66" s="6"/>
      <c r="BW66" s="6"/>
      <c r="BX66" s="6"/>
    </row>
    <row r="67" ht="15.75" customHeight="1">
      <c r="A67" s="1" t="s">
        <v>161</v>
      </c>
      <c r="B67" s="17">
        <v>2000.0</v>
      </c>
      <c r="C67" s="17">
        <v>52.0</v>
      </c>
      <c r="D67" s="9" t="s">
        <v>85</v>
      </c>
      <c r="E67" s="9" t="s">
        <v>85</v>
      </c>
      <c r="F67" s="9">
        <v>0.100962</v>
      </c>
      <c r="G67" s="9" t="s">
        <v>85</v>
      </c>
      <c r="H67" s="9" t="s">
        <v>85</v>
      </c>
      <c r="I67" s="9">
        <v>0.019231</v>
      </c>
      <c r="J67" s="9" t="s">
        <v>85</v>
      </c>
      <c r="K67" s="9" t="s">
        <v>85</v>
      </c>
      <c r="L67" s="9" t="s">
        <v>85</v>
      </c>
      <c r="M67" s="9" t="s">
        <v>85</v>
      </c>
      <c r="N67" s="9" t="s">
        <v>85</v>
      </c>
      <c r="O67" s="9" t="s">
        <v>85</v>
      </c>
      <c r="P67" s="9" t="s">
        <v>85</v>
      </c>
      <c r="Q67" s="9" t="s">
        <v>85</v>
      </c>
      <c r="R67" s="9">
        <v>0.057692</v>
      </c>
      <c r="S67" s="9" t="s">
        <v>85</v>
      </c>
      <c r="T67" s="9" t="s">
        <v>85</v>
      </c>
      <c r="U67" s="9">
        <v>0.028846</v>
      </c>
      <c r="V67" s="9" t="s">
        <v>85</v>
      </c>
      <c r="W67" s="9" t="s">
        <v>85</v>
      </c>
      <c r="X67" s="9" t="s">
        <v>85</v>
      </c>
      <c r="Y67" s="9" t="s">
        <v>85</v>
      </c>
      <c r="Z67" s="9" t="s">
        <v>85</v>
      </c>
      <c r="AA67" s="9" t="s">
        <v>85</v>
      </c>
      <c r="AB67" s="10" t="s">
        <v>85</v>
      </c>
      <c r="AC67" s="10" t="s">
        <v>85</v>
      </c>
      <c r="AD67" s="9">
        <v>0.038462</v>
      </c>
      <c r="AE67" s="9" t="s">
        <v>85</v>
      </c>
      <c r="AF67" s="9" t="s">
        <v>85</v>
      </c>
      <c r="AG67" s="9">
        <v>0.052885</v>
      </c>
      <c r="AH67" s="9" t="s">
        <v>85</v>
      </c>
      <c r="AI67" s="9" t="s">
        <v>85</v>
      </c>
      <c r="AJ67" s="9" t="s">
        <v>85</v>
      </c>
      <c r="AK67" s="9" t="s">
        <v>85</v>
      </c>
      <c r="AL67" s="9" t="s">
        <v>85</v>
      </c>
      <c r="AM67" s="9" t="s">
        <v>85</v>
      </c>
      <c r="AN67" s="9" t="s">
        <v>85</v>
      </c>
      <c r="AO67" s="9" t="s">
        <v>85</v>
      </c>
      <c r="AP67" s="9">
        <v>0.038462</v>
      </c>
      <c r="AQ67" s="9" t="s">
        <v>85</v>
      </c>
      <c r="AR67" s="9" t="s">
        <v>85</v>
      </c>
      <c r="AS67" s="9">
        <v>0.057692</v>
      </c>
      <c r="AT67" s="9" t="s">
        <v>85</v>
      </c>
      <c r="AU67" s="9" t="s">
        <v>85</v>
      </c>
      <c r="AV67" s="9" t="s">
        <v>85</v>
      </c>
      <c r="AW67" s="9" t="s">
        <v>85</v>
      </c>
      <c r="AX67" s="9" t="s">
        <v>85</v>
      </c>
      <c r="AY67" s="9" t="s">
        <v>85</v>
      </c>
      <c r="AZ67" s="9" t="s">
        <v>85</v>
      </c>
      <c r="BA67" s="9" t="s">
        <v>85</v>
      </c>
      <c r="BB67" s="9" t="s">
        <v>85</v>
      </c>
      <c r="BC67" s="10" t="s">
        <v>85</v>
      </c>
      <c r="BD67" s="9" t="s">
        <v>85</v>
      </c>
      <c r="BE67" s="9" t="s">
        <v>85</v>
      </c>
      <c r="BF67" s="10" t="s">
        <v>85</v>
      </c>
      <c r="BG67" s="10" t="s">
        <v>85</v>
      </c>
      <c r="BH67" s="9" t="s">
        <v>85</v>
      </c>
      <c r="BI67" s="6"/>
      <c r="BJ67" s="6" t="str">
        <f t="shared" si="1"/>
        <v>5Bo_One_Acc</v>
      </c>
      <c r="BK67" s="6" t="str">
        <f t="shared" si="2"/>
        <v>8Bo_One_Acc</v>
      </c>
      <c r="BL67" s="6" t="str">
        <f t="shared" si="3"/>
        <v>8Bo_One_Acc</v>
      </c>
      <c r="BM67" s="6"/>
      <c r="BN67" s="6">
        <f t="shared" si="4"/>
        <v>5</v>
      </c>
      <c r="BO67" s="6"/>
      <c r="BP67" s="6"/>
      <c r="BQ67" s="6"/>
      <c r="BR67" s="6"/>
      <c r="BS67" s="6"/>
      <c r="BT67" s="6"/>
      <c r="BU67" s="6"/>
      <c r="BV67" s="6"/>
      <c r="BW67" s="6"/>
      <c r="BX67" s="6"/>
    </row>
    <row r="68" ht="15.75" customHeight="1">
      <c r="A68" s="1" t="s">
        <v>162</v>
      </c>
      <c r="B68" s="17">
        <v>144.0</v>
      </c>
      <c r="C68" s="17">
        <v>7.0</v>
      </c>
      <c r="D68" s="9" t="s">
        <v>85</v>
      </c>
      <c r="E68" s="9" t="s">
        <v>85</v>
      </c>
      <c r="F68" s="9">
        <v>0.971429</v>
      </c>
      <c r="G68" s="9" t="s">
        <v>85</v>
      </c>
      <c r="H68" s="9" t="s">
        <v>85</v>
      </c>
      <c r="I68" s="9">
        <v>0.095238</v>
      </c>
      <c r="J68" s="9" t="s">
        <v>85</v>
      </c>
      <c r="K68" s="9" t="s">
        <v>85</v>
      </c>
      <c r="L68" s="9" t="s">
        <v>85</v>
      </c>
      <c r="M68" s="9" t="s">
        <v>85</v>
      </c>
      <c r="N68" s="9" t="s">
        <v>85</v>
      </c>
      <c r="O68" s="9" t="s">
        <v>85</v>
      </c>
      <c r="P68" s="9" t="s">
        <v>85</v>
      </c>
      <c r="Q68" s="9" t="s">
        <v>85</v>
      </c>
      <c r="R68" s="9">
        <v>1.0</v>
      </c>
      <c r="S68" s="9" t="s">
        <v>85</v>
      </c>
      <c r="T68" s="9" t="s">
        <v>85</v>
      </c>
      <c r="U68" s="9">
        <v>1.0</v>
      </c>
      <c r="V68" s="9" t="s">
        <v>85</v>
      </c>
      <c r="W68" s="9" t="s">
        <v>85</v>
      </c>
      <c r="X68" s="9" t="s">
        <v>85</v>
      </c>
      <c r="Y68" s="9" t="s">
        <v>85</v>
      </c>
      <c r="Z68" s="9" t="s">
        <v>85</v>
      </c>
      <c r="AA68" s="9" t="s">
        <v>85</v>
      </c>
      <c r="AB68" s="10" t="s">
        <v>85</v>
      </c>
      <c r="AC68" s="10" t="s">
        <v>85</v>
      </c>
      <c r="AD68" s="9">
        <v>1.0</v>
      </c>
      <c r="AE68" s="9" t="s">
        <v>85</v>
      </c>
      <c r="AF68" s="9" t="s">
        <v>85</v>
      </c>
      <c r="AG68" s="9">
        <v>0.990476</v>
      </c>
      <c r="AH68" s="9" t="s">
        <v>85</v>
      </c>
      <c r="AI68" s="9" t="s">
        <v>85</v>
      </c>
      <c r="AJ68" s="9" t="s">
        <v>85</v>
      </c>
      <c r="AK68" s="9" t="s">
        <v>85</v>
      </c>
      <c r="AL68" s="9" t="s">
        <v>85</v>
      </c>
      <c r="AM68" s="9" t="s">
        <v>85</v>
      </c>
      <c r="AN68" s="9" t="s">
        <v>85</v>
      </c>
      <c r="AO68" s="9" t="s">
        <v>85</v>
      </c>
      <c r="AP68" s="9">
        <v>0.933333</v>
      </c>
      <c r="AQ68" s="9" t="s">
        <v>85</v>
      </c>
      <c r="AR68" s="9" t="s">
        <v>85</v>
      </c>
      <c r="AS68" s="9">
        <v>1.0</v>
      </c>
      <c r="AT68" s="9" t="s">
        <v>85</v>
      </c>
      <c r="AU68" s="9" t="s">
        <v>85</v>
      </c>
      <c r="AV68" s="9" t="s">
        <v>85</v>
      </c>
      <c r="AW68" s="9" t="s">
        <v>85</v>
      </c>
      <c r="AX68" s="9" t="s">
        <v>85</v>
      </c>
      <c r="AY68" s="9" t="s">
        <v>85</v>
      </c>
      <c r="AZ68" s="9" t="s">
        <v>85</v>
      </c>
      <c r="BA68" s="9" t="s">
        <v>85</v>
      </c>
      <c r="BB68" s="9" t="s">
        <v>85</v>
      </c>
      <c r="BC68" s="10" t="s">
        <v>85</v>
      </c>
      <c r="BD68" s="9" t="s">
        <v>85</v>
      </c>
      <c r="BE68" s="9" t="s">
        <v>85</v>
      </c>
      <c r="BF68" s="10" t="s">
        <v>85</v>
      </c>
      <c r="BG68" s="10" t="s">
        <v>85</v>
      </c>
      <c r="BH68" s="9" t="s">
        <v>85</v>
      </c>
      <c r="BI68" s="6"/>
      <c r="BJ68" s="6" t="str">
        <f t="shared" si="1"/>
        <v>8Bo_One_Acc</v>
      </c>
      <c r="BK68" s="6" t="str">
        <f t="shared" si="2"/>
        <v>8Bo_One_Acc</v>
      </c>
      <c r="BL68" s="6" t="str">
        <f t="shared" si="3"/>
        <v>8Bo_One_Acc</v>
      </c>
      <c r="BM68" s="6"/>
      <c r="BN68" s="6">
        <f t="shared" si="4"/>
        <v>8</v>
      </c>
      <c r="BO68" s="6"/>
      <c r="BP68" s="6"/>
      <c r="BQ68" s="6"/>
      <c r="BR68" s="6"/>
      <c r="BS68" s="6"/>
      <c r="BT68" s="6"/>
      <c r="BU68" s="6"/>
      <c r="BV68" s="6"/>
      <c r="BW68" s="6"/>
      <c r="BX68" s="6"/>
    </row>
    <row r="69" ht="15.75" customHeight="1">
      <c r="A69" s="1" t="s">
        <v>163</v>
      </c>
      <c r="B69" s="17">
        <v>80.0</v>
      </c>
      <c r="C69" s="17">
        <v>3.0</v>
      </c>
      <c r="D69" s="9" t="s">
        <v>85</v>
      </c>
      <c r="E69" s="9" t="s">
        <v>85</v>
      </c>
      <c r="F69" s="9">
        <v>0.834146</v>
      </c>
      <c r="G69" s="9" t="s">
        <v>85</v>
      </c>
      <c r="H69" s="9" t="s">
        <v>85</v>
      </c>
      <c r="I69" s="9">
        <v>0.487805</v>
      </c>
      <c r="J69" s="9" t="s">
        <v>85</v>
      </c>
      <c r="K69" s="9" t="s">
        <v>85</v>
      </c>
      <c r="L69" s="9" t="s">
        <v>85</v>
      </c>
      <c r="M69" s="9" t="s">
        <v>85</v>
      </c>
      <c r="N69" s="9" t="s">
        <v>85</v>
      </c>
      <c r="O69" s="9" t="s">
        <v>85</v>
      </c>
      <c r="P69" s="9" t="s">
        <v>85</v>
      </c>
      <c r="Q69" s="9" t="s">
        <v>85</v>
      </c>
      <c r="R69" s="9">
        <v>0.809756</v>
      </c>
      <c r="S69" s="9" t="s">
        <v>85</v>
      </c>
      <c r="T69" s="9" t="s">
        <v>85</v>
      </c>
      <c r="U69" s="9">
        <v>0.809756</v>
      </c>
      <c r="V69" s="9" t="s">
        <v>85</v>
      </c>
      <c r="W69" s="9" t="s">
        <v>85</v>
      </c>
      <c r="X69" s="9" t="s">
        <v>85</v>
      </c>
      <c r="Y69" s="9" t="s">
        <v>85</v>
      </c>
      <c r="Z69" s="9" t="s">
        <v>85</v>
      </c>
      <c r="AA69" s="9" t="s">
        <v>85</v>
      </c>
      <c r="AB69" s="10" t="s">
        <v>85</v>
      </c>
      <c r="AC69" s="10" t="s">
        <v>85</v>
      </c>
      <c r="AD69" s="9">
        <v>0.829268</v>
      </c>
      <c r="AE69" s="9" t="s">
        <v>85</v>
      </c>
      <c r="AF69" s="9" t="s">
        <v>85</v>
      </c>
      <c r="AG69" s="9">
        <v>0.82439</v>
      </c>
      <c r="AH69" s="9" t="s">
        <v>85</v>
      </c>
      <c r="AI69" s="9" t="s">
        <v>85</v>
      </c>
      <c r="AJ69" s="9" t="s">
        <v>85</v>
      </c>
      <c r="AK69" s="9" t="s">
        <v>85</v>
      </c>
      <c r="AL69" s="9" t="s">
        <v>85</v>
      </c>
      <c r="AM69" s="9" t="s">
        <v>85</v>
      </c>
      <c r="AN69" s="9" t="s">
        <v>85</v>
      </c>
      <c r="AO69" s="9" t="s">
        <v>85</v>
      </c>
      <c r="AP69" s="9">
        <v>0.848781</v>
      </c>
      <c r="AQ69" s="9" t="s">
        <v>85</v>
      </c>
      <c r="AR69" s="9" t="s">
        <v>85</v>
      </c>
      <c r="AS69" s="9">
        <v>0.82439</v>
      </c>
      <c r="AT69" s="9" t="s">
        <v>85</v>
      </c>
      <c r="AU69" s="9" t="s">
        <v>85</v>
      </c>
      <c r="AV69" s="9" t="s">
        <v>85</v>
      </c>
      <c r="AW69" s="9" t="s">
        <v>85</v>
      </c>
      <c r="AX69" s="9" t="s">
        <v>85</v>
      </c>
      <c r="AY69" s="9" t="s">
        <v>85</v>
      </c>
      <c r="AZ69" s="9" t="s">
        <v>85</v>
      </c>
      <c r="BA69" s="9" t="s">
        <v>85</v>
      </c>
      <c r="BB69" s="9" t="s">
        <v>85</v>
      </c>
      <c r="BC69" s="10" t="s">
        <v>85</v>
      </c>
      <c r="BD69" s="9" t="s">
        <v>85</v>
      </c>
      <c r="BE69" s="9" t="s">
        <v>85</v>
      </c>
      <c r="BF69" s="10" t="s">
        <v>85</v>
      </c>
      <c r="BG69" s="10" t="s">
        <v>85</v>
      </c>
      <c r="BH69" s="9" t="s">
        <v>85</v>
      </c>
      <c r="BI69" s="6"/>
      <c r="BJ69" s="6" t="str">
        <f t="shared" si="1"/>
        <v>12Bo_One_Acc</v>
      </c>
      <c r="BK69" s="6" t="str">
        <f t="shared" si="2"/>
        <v>5Bo_One_Acc</v>
      </c>
      <c r="BL69" s="6" t="str">
        <f t="shared" si="3"/>
        <v>10Bo_One_Acc</v>
      </c>
      <c r="BM69" s="6"/>
      <c r="BN69" s="6">
        <f t="shared" si="4"/>
        <v>12</v>
      </c>
      <c r="BO69" s="6"/>
      <c r="BP69" s="6"/>
      <c r="BQ69" s="6"/>
      <c r="BR69" s="6"/>
      <c r="BS69" s="6"/>
      <c r="BT69" s="6"/>
      <c r="BU69" s="6"/>
      <c r="BV69" s="6"/>
      <c r="BW69" s="6"/>
      <c r="BX69" s="6"/>
    </row>
    <row r="70" ht="15.75" customHeight="1">
      <c r="A70" s="1" t="s">
        <v>164</v>
      </c>
      <c r="B70" s="17">
        <v>80.0</v>
      </c>
      <c r="C70" s="17">
        <v>2.0</v>
      </c>
      <c r="D70" s="9" t="s">
        <v>85</v>
      </c>
      <c r="E70" s="9" t="s">
        <v>85</v>
      </c>
      <c r="F70" s="9">
        <v>0.797251</v>
      </c>
      <c r="G70" s="9" t="s">
        <v>85</v>
      </c>
      <c r="H70" s="9" t="s">
        <v>85</v>
      </c>
      <c r="I70" s="9">
        <v>0.683849</v>
      </c>
      <c r="J70" s="9" t="s">
        <v>85</v>
      </c>
      <c r="K70" s="9" t="s">
        <v>85</v>
      </c>
      <c r="L70" s="9" t="s">
        <v>85</v>
      </c>
      <c r="M70" s="9" t="s">
        <v>85</v>
      </c>
      <c r="N70" s="9" t="s">
        <v>85</v>
      </c>
      <c r="O70" s="9" t="s">
        <v>85</v>
      </c>
      <c r="P70" s="9" t="s">
        <v>85</v>
      </c>
      <c r="Q70" s="9" t="s">
        <v>85</v>
      </c>
      <c r="R70" s="9">
        <v>0.821306</v>
      </c>
      <c r="S70" s="9" t="s">
        <v>85</v>
      </c>
      <c r="T70" s="9" t="s">
        <v>85</v>
      </c>
      <c r="U70" s="9">
        <v>0.814433</v>
      </c>
      <c r="V70" s="9" t="s">
        <v>85</v>
      </c>
      <c r="W70" s="9" t="s">
        <v>85</v>
      </c>
      <c r="X70" s="9" t="s">
        <v>85</v>
      </c>
      <c r="Y70" s="9" t="s">
        <v>85</v>
      </c>
      <c r="Z70" s="9" t="s">
        <v>85</v>
      </c>
      <c r="AA70" s="9" t="s">
        <v>85</v>
      </c>
      <c r="AB70" s="10" t="s">
        <v>85</v>
      </c>
      <c r="AC70" s="10" t="s">
        <v>85</v>
      </c>
      <c r="AD70" s="9">
        <v>0.793814</v>
      </c>
      <c r="AE70" s="9" t="s">
        <v>85</v>
      </c>
      <c r="AF70" s="9" t="s">
        <v>85</v>
      </c>
      <c r="AG70" s="9">
        <v>0.793814</v>
      </c>
      <c r="AH70" s="9" t="s">
        <v>85</v>
      </c>
      <c r="AI70" s="9" t="s">
        <v>85</v>
      </c>
      <c r="AJ70" s="9" t="s">
        <v>85</v>
      </c>
      <c r="AK70" s="9" t="s">
        <v>85</v>
      </c>
      <c r="AL70" s="9" t="s">
        <v>85</v>
      </c>
      <c r="AM70" s="9" t="s">
        <v>85</v>
      </c>
      <c r="AN70" s="9" t="s">
        <v>85</v>
      </c>
      <c r="AO70" s="9" t="s">
        <v>85</v>
      </c>
      <c r="AP70" s="9">
        <v>0.845361</v>
      </c>
      <c r="AQ70" s="9" t="s">
        <v>85</v>
      </c>
      <c r="AR70" s="9" t="s">
        <v>85</v>
      </c>
      <c r="AS70" s="9">
        <v>0.848797</v>
      </c>
      <c r="AT70" s="9" t="s">
        <v>85</v>
      </c>
      <c r="AU70" s="9" t="s">
        <v>85</v>
      </c>
      <c r="AV70" s="9" t="s">
        <v>85</v>
      </c>
      <c r="AW70" s="9" t="s">
        <v>85</v>
      </c>
      <c r="AX70" s="9" t="s">
        <v>85</v>
      </c>
      <c r="AY70" s="9" t="s">
        <v>85</v>
      </c>
      <c r="AZ70" s="9" t="s">
        <v>85</v>
      </c>
      <c r="BA70" s="9" t="s">
        <v>85</v>
      </c>
      <c r="BB70" s="9" t="s">
        <v>85</v>
      </c>
      <c r="BC70" s="10" t="s">
        <v>85</v>
      </c>
      <c r="BD70" s="9" t="s">
        <v>85</v>
      </c>
      <c r="BE70" s="9" t="s">
        <v>85</v>
      </c>
      <c r="BF70" s="10" t="s">
        <v>85</v>
      </c>
      <c r="BG70" s="10" t="s">
        <v>85</v>
      </c>
      <c r="BH70" s="9" t="s">
        <v>85</v>
      </c>
      <c r="BI70" s="6"/>
      <c r="BJ70" s="6" t="str">
        <f t="shared" si="1"/>
        <v>12BoN_One_Acc</v>
      </c>
      <c r="BK70" s="6" t="str">
        <f t="shared" si="2"/>
        <v>12Bo_One_Acc</v>
      </c>
      <c r="BL70" s="6" t="str">
        <f t="shared" si="3"/>
        <v>8Bo_One_Acc</v>
      </c>
      <c r="BM70" s="6"/>
      <c r="BN70" s="6">
        <f t="shared" si="4"/>
        <v>12</v>
      </c>
      <c r="BO70" s="6"/>
      <c r="BP70" s="6"/>
      <c r="BQ70" s="6"/>
      <c r="BR70" s="6"/>
      <c r="BS70" s="6"/>
      <c r="BT70" s="6"/>
      <c r="BU70" s="6"/>
      <c r="BV70" s="6"/>
      <c r="BW70" s="6"/>
      <c r="BX70" s="6"/>
    </row>
    <row r="71" ht="15.75" customHeight="1">
      <c r="A71" s="1" t="s">
        <v>165</v>
      </c>
      <c r="B71" s="17">
        <v>80.0</v>
      </c>
      <c r="C71" s="17">
        <v>6.0</v>
      </c>
      <c r="D71" s="9" t="s">
        <v>85</v>
      </c>
      <c r="E71" s="9" t="s">
        <v>85</v>
      </c>
      <c r="F71" s="9">
        <v>0.760976</v>
      </c>
      <c r="G71" s="9" t="s">
        <v>85</v>
      </c>
      <c r="H71" s="9" t="s">
        <v>85</v>
      </c>
      <c r="I71" s="9">
        <v>0.35122</v>
      </c>
      <c r="J71" s="9" t="s">
        <v>85</v>
      </c>
      <c r="K71" s="9" t="s">
        <v>85</v>
      </c>
      <c r="L71" s="9" t="s">
        <v>85</v>
      </c>
      <c r="M71" s="9" t="s">
        <v>85</v>
      </c>
      <c r="N71" s="9" t="s">
        <v>85</v>
      </c>
      <c r="O71" s="9" t="s">
        <v>85</v>
      </c>
      <c r="P71" s="9" t="s">
        <v>85</v>
      </c>
      <c r="Q71" s="9" t="s">
        <v>85</v>
      </c>
      <c r="R71" s="9">
        <v>0.765854</v>
      </c>
      <c r="S71" s="9" t="s">
        <v>85</v>
      </c>
      <c r="T71" s="9" t="s">
        <v>85</v>
      </c>
      <c r="U71" s="9">
        <v>0.770732</v>
      </c>
      <c r="V71" s="9" t="s">
        <v>85</v>
      </c>
      <c r="W71" s="9" t="s">
        <v>85</v>
      </c>
      <c r="X71" s="9" t="s">
        <v>85</v>
      </c>
      <c r="Y71" s="9" t="s">
        <v>85</v>
      </c>
      <c r="Z71" s="9" t="s">
        <v>85</v>
      </c>
      <c r="AA71" s="9" t="s">
        <v>85</v>
      </c>
      <c r="AB71" s="10" t="s">
        <v>85</v>
      </c>
      <c r="AC71" s="10" t="s">
        <v>85</v>
      </c>
      <c r="AD71" s="9">
        <v>0.760976</v>
      </c>
      <c r="AE71" s="9" t="s">
        <v>85</v>
      </c>
      <c r="AF71" s="9" t="s">
        <v>85</v>
      </c>
      <c r="AG71" s="9">
        <v>0.765854</v>
      </c>
      <c r="AH71" s="9" t="s">
        <v>85</v>
      </c>
      <c r="AI71" s="9" t="s">
        <v>85</v>
      </c>
      <c r="AJ71" s="9" t="s">
        <v>85</v>
      </c>
      <c r="AK71" s="9" t="s">
        <v>85</v>
      </c>
      <c r="AL71" s="9" t="s">
        <v>85</v>
      </c>
      <c r="AM71" s="9" t="s">
        <v>85</v>
      </c>
      <c r="AN71" s="9" t="s">
        <v>85</v>
      </c>
      <c r="AO71" s="9" t="s">
        <v>85</v>
      </c>
      <c r="AP71" s="9">
        <v>0.77561</v>
      </c>
      <c r="AQ71" s="9" t="s">
        <v>85</v>
      </c>
      <c r="AR71" s="9" t="s">
        <v>85</v>
      </c>
      <c r="AS71" s="9">
        <v>0.770732</v>
      </c>
      <c r="AT71" s="9" t="s">
        <v>85</v>
      </c>
      <c r="AU71" s="9" t="s">
        <v>85</v>
      </c>
      <c r="AV71" s="9" t="s">
        <v>85</v>
      </c>
      <c r="AW71" s="9" t="s">
        <v>85</v>
      </c>
      <c r="AX71" s="9" t="s">
        <v>85</v>
      </c>
      <c r="AY71" s="9" t="s">
        <v>85</v>
      </c>
      <c r="AZ71" s="9" t="s">
        <v>85</v>
      </c>
      <c r="BA71" s="9" t="s">
        <v>85</v>
      </c>
      <c r="BB71" s="9" t="s">
        <v>85</v>
      </c>
      <c r="BC71" s="10" t="s">
        <v>85</v>
      </c>
      <c r="BD71" s="9" t="s">
        <v>85</v>
      </c>
      <c r="BE71" s="9" t="s">
        <v>85</v>
      </c>
      <c r="BF71" s="10" t="s">
        <v>85</v>
      </c>
      <c r="BG71" s="10" t="s">
        <v>85</v>
      </c>
      <c r="BH71" s="9" t="s">
        <v>85</v>
      </c>
      <c r="BI71" s="6"/>
      <c r="BJ71" s="6" t="str">
        <f t="shared" si="1"/>
        <v>12Bo_One_Acc</v>
      </c>
      <c r="BK71" s="6" t="str">
        <f t="shared" si="2"/>
        <v>8BoN_One_Acc</v>
      </c>
      <c r="BL71" s="6" t="str">
        <f t="shared" si="3"/>
        <v>8BoN_One_Acc</v>
      </c>
      <c r="BM71" s="6"/>
      <c r="BN71" s="6">
        <f t="shared" si="4"/>
        <v>12</v>
      </c>
      <c r="BO71" s="6"/>
      <c r="BP71" s="6"/>
      <c r="BQ71" s="6"/>
      <c r="BR71" s="6"/>
      <c r="BS71" s="6"/>
      <c r="BT71" s="6"/>
      <c r="BU71" s="6"/>
      <c r="BV71" s="6"/>
      <c r="BW71" s="6"/>
      <c r="BX71" s="6"/>
    </row>
    <row r="72" ht="15.75" customHeight="1">
      <c r="A72" s="1" t="s">
        <v>166</v>
      </c>
      <c r="B72" s="17">
        <v>2844.0</v>
      </c>
      <c r="C72" s="17">
        <v>4.0</v>
      </c>
      <c r="D72" s="9" t="s">
        <v>85</v>
      </c>
      <c r="E72" s="9" t="s">
        <v>85</v>
      </c>
      <c r="F72" s="9">
        <v>0.6</v>
      </c>
      <c r="G72" s="9" t="s">
        <v>85</v>
      </c>
      <c r="H72" s="9" t="s">
        <v>85</v>
      </c>
      <c r="I72" s="9">
        <v>0.12</v>
      </c>
      <c r="J72" s="9" t="s">
        <v>85</v>
      </c>
      <c r="K72" s="9" t="s">
        <v>85</v>
      </c>
      <c r="L72" s="9" t="s">
        <v>85</v>
      </c>
      <c r="M72" s="9" t="s">
        <v>85</v>
      </c>
      <c r="N72" s="9" t="s">
        <v>85</v>
      </c>
      <c r="O72" s="9" t="s">
        <v>85</v>
      </c>
      <c r="P72" s="9" t="s">
        <v>85</v>
      </c>
      <c r="Q72" s="9" t="s">
        <v>85</v>
      </c>
      <c r="R72" s="9">
        <v>0.64</v>
      </c>
      <c r="S72" s="9" t="s">
        <v>85</v>
      </c>
      <c r="T72" s="9" t="s">
        <v>85</v>
      </c>
      <c r="U72" s="9">
        <v>0.525333</v>
      </c>
      <c r="V72" s="9" t="s">
        <v>85</v>
      </c>
      <c r="W72" s="9" t="s">
        <v>85</v>
      </c>
      <c r="X72" s="9" t="s">
        <v>85</v>
      </c>
      <c r="Y72" s="9" t="s">
        <v>85</v>
      </c>
      <c r="Z72" s="9" t="s">
        <v>85</v>
      </c>
      <c r="AA72" s="9" t="s">
        <v>85</v>
      </c>
      <c r="AB72" s="10" t="s">
        <v>85</v>
      </c>
      <c r="AC72" s="10" t="s">
        <v>85</v>
      </c>
      <c r="AD72" s="9">
        <v>0.68</v>
      </c>
      <c r="AE72" s="9" t="s">
        <v>85</v>
      </c>
      <c r="AF72" s="9" t="s">
        <v>85</v>
      </c>
      <c r="AG72" s="9">
        <v>0.6</v>
      </c>
      <c r="AH72" s="9" t="s">
        <v>85</v>
      </c>
      <c r="AI72" s="9" t="s">
        <v>85</v>
      </c>
      <c r="AJ72" s="9" t="s">
        <v>85</v>
      </c>
      <c r="AK72" s="9" t="s">
        <v>85</v>
      </c>
      <c r="AL72" s="9" t="s">
        <v>85</v>
      </c>
      <c r="AM72" s="9" t="s">
        <v>85</v>
      </c>
      <c r="AN72" s="9" t="s">
        <v>85</v>
      </c>
      <c r="AO72" s="9" t="s">
        <v>85</v>
      </c>
      <c r="AP72" s="9">
        <v>0.64</v>
      </c>
      <c r="AQ72" s="9" t="s">
        <v>85</v>
      </c>
      <c r="AR72" s="9" t="s">
        <v>85</v>
      </c>
      <c r="AS72" s="9">
        <v>0.62</v>
      </c>
      <c r="AT72" s="9" t="s">
        <v>85</v>
      </c>
      <c r="AU72" s="9" t="s">
        <v>85</v>
      </c>
      <c r="AV72" s="9" t="s">
        <v>85</v>
      </c>
      <c r="AW72" s="9" t="s">
        <v>85</v>
      </c>
      <c r="AX72" s="9" t="s">
        <v>85</v>
      </c>
      <c r="AY72" s="9" t="s">
        <v>85</v>
      </c>
      <c r="AZ72" s="9" t="s">
        <v>85</v>
      </c>
      <c r="BA72" s="9" t="s">
        <v>85</v>
      </c>
      <c r="BB72" s="9" t="s">
        <v>85</v>
      </c>
      <c r="BC72" s="10" t="s">
        <v>85</v>
      </c>
      <c r="BD72" s="9" t="s">
        <v>85</v>
      </c>
      <c r="BE72" s="9" t="s">
        <v>85</v>
      </c>
      <c r="BF72" s="10" t="s">
        <v>85</v>
      </c>
      <c r="BG72" s="10" t="s">
        <v>85</v>
      </c>
      <c r="BH72" s="9" t="s">
        <v>85</v>
      </c>
      <c r="BI72" s="6"/>
      <c r="BJ72" s="6" t="str">
        <f t="shared" si="1"/>
        <v>10Bo_One_Acc</v>
      </c>
      <c r="BK72" s="6" t="str">
        <f t="shared" si="2"/>
        <v>8Bo_One_Acc</v>
      </c>
      <c r="BL72" s="6" t="str">
        <f t="shared" si="3"/>
        <v>8Bo_One_Acc</v>
      </c>
      <c r="BM72" s="6"/>
      <c r="BN72" s="6">
        <f t="shared" si="4"/>
        <v>10</v>
      </c>
      <c r="BO72" s="6"/>
      <c r="BP72" s="6"/>
      <c r="BQ72" s="6"/>
      <c r="BR72" s="6"/>
      <c r="BS72" s="6"/>
      <c r="BT72" s="6"/>
      <c r="BU72" s="6"/>
      <c r="BV72" s="6"/>
      <c r="BW72" s="6"/>
      <c r="BX72" s="6"/>
    </row>
    <row r="73" ht="15.75" customHeight="1">
      <c r="A73" s="1" t="s">
        <v>167</v>
      </c>
      <c r="B73" s="17">
        <v>720.0</v>
      </c>
      <c r="C73" s="17">
        <v>3.0</v>
      </c>
      <c r="D73" s="9" t="s">
        <v>85</v>
      </c>
      <c r="E73" s="9" t="s">
        <v>85</v>
      </c>
      <c r="F73" s="9">
        <v>0.576</v>
      </c>
      <c r="G73" s="9" t="s">
        <v>85</v>
      </c>
      <c r="H73" s="9" t="s">
        <v>85</v>
      </c>
      <c r="I73" s="9">
        <v>0.333333</v>
      </c>
      <c r="J73" s="9" t="s">
        <v>85</v>
      </c>
      <c r="K73" s="9" t="s">
        <v>85</v>
      </c>
      <c r="L73" s="9" t="s">
        <v>85</v>
      </c>
      <c r="M73" s="9" t="s">
        <v>85</v>
      </c>
      <c r="N73" s="9" t="s">
        <v>85</v>
      </c>
      <c r="O73" s="9" t="s">
        <v>85</v>
      </c>
      <c r="P73" s="9" t="s">
        <v>85</v>
      </c>
      <c r="Q73" s="9" t="s">
        <v>85</v>
      </c>
      <c r="R73" s="9">
        <v>0.552</v>
      </c>
      <c r="S73" s="9" t="s">
        <v>85</v>
      </c>
      <c r="T73" s="9" t="s">
        <v>85</v>
      </c>
      <c r="U73" s="9">
        <v>0.7</v>
      </c>
      <c r="V73" s="9" t="s">
        <v>85</v>
      </c>
      <c r="W73" s="9" t="s">
        <v>85</v>
      </c>
      <c r="X73" s="9" t="s">
        <v>85</v>
      </c>
      <c r="Y73" s="9" t="s">
        <v>85</v>
      </c>
      <c r="Z73" s="9" t="s">
        <v>85</v>
      </c>
      <c r="AA73" s="9" t="s">
        <v>85</v>
      </c>
      <c r="AB73" s="10" t="s">
        <v>85</v>
      </c>
      <c r="AC73" s="10" t="s">
        <v>85</v>
      </c>
      <c r="AD73" s="9">
        <v>0.554667</v>
      </c>
      <c r="AE73" s="9" t="s">
        <v>85</v>
      </c>
      <c r="AF73" s="9" t="s">
        <v>85</v>
      </c>
      <c r="AG73" s="9">
        <v>0.592</v>
      </c>
      <c r="AH73" s="9" t="s">
        <v>85</v>
      </c>
      <c r="AI73" s="9" t="s">
        <v>85</v>
      </c>
      <c r="AJ73" s="9" t="s">
        <v>85</v>
      </c>
      <c r="AK73" s="9" t="s">
        <v>85</v>
      </c>
      <c r="AL73" s="9" t="s">
        <v>85</v>
      </c>
      <c r="AM73" s="9" t="s">
        <v>85</v>
      </c>
      <c r="AN73" s="9" t="s">
        <v>85</v>
      </c>
      <c r="AO73" s="9" t="s">
        <v>85</v>
      </c>
      <c r="AP73" s="9">
        <v>0.533333</v>
      </c>
      <c r="AQ73" s="9" t="s">
        <v>85</v>
      </c>
      <c r="AR73" s="9" t="s">
        <v>85</v>
      </c>
      <c r="AS73" s="9">
        <v>0.621333</v>
      </c>
      <c r="AT73" s="9" t="s">
        <v>85</v>
      </c>
      <c r="AU73" s="9" t="s">
        <v>85</v>
      </c>
      <c r="AV73" s="9" t="s">
        <v>85</v>
      </c>
      <c r="AW73" s="9" t="s">
        <v>85</v>
      </c>
      <c r="AX73" s="9" t="s">
        <v>85</v>
      </c>
      <c r="AY73" s="9" t="s">
        <v>85</v>
      </c>
      <c r="AZ73" s="9" t="s">
        <v>85</v>
      </c>
      <c r="BA73" s="9" t="s">
        <v>85</v>
      </c>
      <c r="BB73" s="9" t="s">
        <v>85</v>
      </c>
      <c r="BC73" s="10" t="s">
        <v>85</v>
      </c>
      <c r="BD73" s="9" t="s">
        <v>85</v>
      </c>
      <c r="BE73" s="9" t="s">
        <v>85</v>
      </c>
      <c r="BF73" s="10" t="s">
        <v>85</v>
      </c>
      <c r="BG73" s="10" t="s">
        <v>85</v>
      </c>
      <c r="BH73" s="9" t="s">
        <v>85</v>
      </c>
      <c r="BI73" s="6"/>
      <c r="BJ73" s="6" t="str">
        <f t="shared" si="1"/>
        <v>8BoN_One_Acc</v>
      </c>
      <c r="BK73" s="6" t="str">
        <f t="shared" si="2"/>
        <v>12BoN_One_Acc</v>
      </c>
      <c r="BL73" s="6" t="str">
        <f t="shared" si="3"/>
        <v>10BoN_One_Acc</v>
      </c>
      <c r="BM73" s="6"/>
      <c r="BN73" s="6">
        <f t="shared" si="4"/>
        <v>8</v>
      </c>
      <c r="BO73" s="6"/>
      <c r="BP73" s="6"/>
      <c r="BQ73" s="6"/>
      <c r="BR73" s="6"/>
      <c r="BS73" s="6"/>
      <c r="BT73" s="6"/>
      <c r="BU73" s="6"/>
      <c r="BV73" s="6"/>
      <c r="BW73" s="6"/>
      <c r="BX73" s="6"/>
    </row>
    <row r="74" ht="15.75" customHeight="1">
      <c r="A74" s="1" t="s">
        <v>168</v>
      </c>
      <c r="B74" s="17">
        <v>1500.0</v>
      </c>
      <c r="C74" s="17">
        <v>2.0</v>
      </c>
      <c r="D74" s="9" t="s">
        <v>85</v>
      </c>
      <c r="E74" s="9" t="s">
        <v>85</v>
      </c>
      <c r="F74" s="9">
        <v>0.84</v>
      </c>
      <c r="G74" s="9" t="s">
        <v>85</v>
      </c>
      <c r="H74" s="9" t="s">
        <v>85</v>
      </c>
      <c r="I74" s="9">
        <v>0.35</v>
      </c>
      <c r="J74" s="9" t="s">
        <v>85</v>
      </c>
      <c r="K74" s="9" t="s">
        <v>85</v>
      </c>
      <c r="L74" s="9" t="s">
        <v>85</v>
      </c>
      <c r="M74" s="9" t="s">
        <v>85</v>
      </c>
      <c r="N74" s="9" t="s">
        <v>85</v>
      </c>
      <c r="O74" s="9" t="s">
        <v>85</v>
      </c>
      <c r="P74" s="9" t="s">
        <v>85</v>
      </c>
      <c r="Q74" s="9" t="s">
        <v>85</v>
      </c>
      <c r="R74" s="9">
        <v>0.86</v>
      </c>
      <c r="S74" s="9" t="s">
        <v>85</v>
      </c>
      <c r="T74" s="9" t="s">
        <v>85</v>
      </c>
      <c r="U74" s="9">
        <v>0.858333</v>
      </c>
      <c r="V74" s="9" t="s">
        <v>85</v>
      </c>
      <c r="W74" s="9" t="s">
        <v>85</v>
      </c>
      <c r="X74" s="9" t="s">
        <v>85</v>
      </c>
      <c r="Y74" s="9" t="s">
        <v>85</v>
      </c>
      <c r="Z74" s="9" t="s">
        <v>85</v>
      </c>
      <c r="AA74" s="9" t="s">
        <v>85</v>
      </c>
      <c r="AB74" s="10" t="s">
        <v>85</v>
      </c>
      <c r="AC74" s="10" t="s">
        <v>85</v>
      </c>
      <c r="AD74" s="9">
        <v>0.87</v>
      </c>
      <c r="AE74" s="9" t="s">
        <v>85</v>
      </c>
      <c r="AF74" s="9" t="s">
        <v>85</v>
      </c>
      <c r="AG74" s="9">
        <v>0.856667</v>
      </c>
      <c r="AH74" s="9" t="s">
        <v>85</v>
      </c>
      <c r="AI74" s="9" t="s">
        <v>85</v>
      </c>
      <c r="AJ74" s="9" t="s">
        <v>85</v>
      </c>
      <c r="AK74" s="9" t="s">
        <v>85</v>
      </c>
      <c r="AL74" s="9" t="s">
        <v>85</v>
      </c>
      <c r="AM74" s="9" t="s">
        <v>85</v>
      </c>
      <c r="AN74" s="9" t="s">
        <v>85</v>
      </c>
      <c r="AO74" s="9" t="s">
        <v>85</v>
      </c>
      <c r="AP74" s="9">
        <v>0.846667</v>
      </c>
      <c r="AQ74" s="9" t="s">
        <v>85</v>
      </c>
      <c r="AR74" s="9" t="s">
        <v>85</v>
      </c>
      <c r="AS74" s="9">
        <v>0.856667</v>
      </c>
      <c r="AT74" s="9" t="s">
        <v>85</v>
      </c>
      <c r="AU74" s="9" t="s">
        <v>85</v>
      </c>
      <c r="AV74" s="9" t="s">
        <v>85</v>
      </c>
      <c r="AW74" s="9" t="s">
        <v>85</v>
      </c>
      <c r="AX74" s="9" t="s">
        <v>85</v>
      </c>
      <c r="AY74" s="9" t="s">
        <v>85</v>
      </c>
      <c r="AZ74" s="9" t="s">
        <v>85</v>
      </c>
      <c r="BA74" s="9" t="s">
        <v>85</v>
      </c>
      <c r="BB74" s="9" t="s">
        <v>85</v>
      </c>
      <c r="BC74" s="10" t="s">
        <v>85</v>
      </c>
      <c r="BD74" s="9" t="s">
        <v>85</v>
      </c>
      <c r="BE74" s="9" t="s">
        <v>85</v>
      </c>
      <c r="BF74" s="10" t="s">
        <v>85</v>
      </c>
      <c r="BG74" s="10" t="s">
        <v>85</v>
      </c>
      <c r="BH74" s="9" t="s">
        <v>85</v>
      </c>
      <c r="BI74" s="6"/>
      <c r="BJ74" s="6" t="str">
        <f t="shared" si="1"/>
        <v>10Bo_One_Acc</v>
      </c>
      <c r="BK74" s="6" t="str">
        <f t="shared" si="2"/>
        <v>8Bo_One_Acc</v>
      </c>
      <c r="BL74" s="6" t="str">
        <f t="shared" si="3"/>
        <v>8BoN_One_Acc</v>
      </c>
      <c r="BM74" s="6"/>
      <c r="BN74" s="6">
        <f t="shared" si="4"/>
        <v>10</v>
      </c>
      <c r="BO74" s="6"/>
      <c r="BP74" s="6"/>
      <c r="BQ74" s="6"/>
      <c r="BR74" s="6"/>
      <c r="BS74" s="6"/>
      <c r="BT74" s="6"/>
      <c r="BU74" s="6"/>
      <c r="BV74" s="6"/>
      <c r="BW74" s="6"/>
      <c r="BX74" s="6"/>
    </row>
    <row r="75" ht="15.75" customHeight="1">
      <c r="A75" s="1" t="s">
        <v>169</v>
      </c>
      <c r="B75" s="17">
        <v>1500.0</v>
      </c>
      <c r="C75" s="17">
        <v>6.0</v>
      </c>
      <c r="D75" s="9" t="s">
        <v>85</v>
      </c>
      <c r="E75" s="9" t="s">
        <v>85</v>
      </c>
      <c r="F75" s="9">
        <v>0.442222</v>
      </c>
      <c r="G75" s="9" t="s">
        <v>85</v>
      </c>
      <c r="H75" s="9" t="s">
        <v>85</v>
      </c>
      <c r="I75" s="9">
        <v>0.166667</v>
      </c>
      <c r="J75" s="9" t="s">
        <v>85</v>
      </c>
      <c r="K75" s="9" t="s">
        <v>85</v>
      </c>
      <c r="L75" s="9" t="s">
        <v>85</v>
      </c>
      <c r="M75" s="9" t="s">
        <v>85</v>
      </c>
      <c r="N75" s="9" t="s">
        <v>85</v>
      </c>
      <c r="O75" s="9" t="s">
        <v>85</v>
      </c>
      <c r="P75" s="9" t="s">
        <v>85</v>
      </c>
      <c r="Q75" s="9" t="s">
        <v>85</v>
      </c>
      <c r="R75" s="9">
        <v>0.466667</v>
      </c>
      <c r="S75" s="9" t="s">
        <v>85</v>
      </c>
      <c r="T75" s="9" t="s">
        <v>85</v>
      </c>
      <c r="U75" s="9">
        <v>0.346667</v>
      </c>
      <c r="V75" s="9" t="s">
        <v>85</v>
      </c>
      <c r="W75" s="9" t="s">
        <v>85</v>
      </c>
      <c r="X75" s="9" t="s">
        <v>85</v>
      </c>
      <c r="Y75" s="9" t="s">
        <v>85</v>
      </c>
      <c r="Z75" s="9" t="s">
        <v>85</v>
      </c>
      <c r="AA75" s="9" t="s">
        <v>85</v>
      </c>
      <c r="AB75" s="10" t="s">
        <v>85</v>
      </c>
      <c r="AC75" s="10" t="s">
        <v>85</v>
      </c>
      <c r="AD75" s="9">
        <v>0.395556</v>
      </c>
      <c r="AE75" s="9" t="s">
        <v>85</v>
      </c>
      <c r="AF75" s="9" t="s">
        <v>85</v>
      </c>
      <c r="AG75" s="9">
        <v>0.373333</v>
      </c>
      <c r="AH75" s="9" t="s">
        <v>85</v>
      </c>
      <c r="AI75" s="9" t="s">
        <v>85</v>
      </c>
      <c r="AJ75" s="9" t="s">
        <v>85</v>
      </c>
      <c r="AK75" s="9" t="s">
        <v>85</v>
      </c>
      <c r="AL75" s="9" t="s">
        <v>85</v>
      </c>
      <c r="AM75" s="9" t="s">
        <v>85</v>
      </c>
      <c r="AN75" s="9" t="s">
        <v>85</v>
      </c>
      <c r="AO75" s="9" t="s">
        <v>85</v>
      </c>
      <c r="AP75" s="9">
        <v>0.504444</v>
      </c>
      <c r="AQ75" s="9" t="s">
        <v>85</v>
      </c>
      <c r="AR75" s="9" t="s">
        <v>85</v>
      </c>
      <c r="AS75" s="9">
        <v>0.351111</v>
      </c>
      <c r="AT75" s="9" t="s">
        <v>85</v>
      </c>
      <c r="AU75" s="9" t="s">
        <v>85</v>
      </c>
      <c r="AV75" s="9" t="s">
        <v>85</v>
      </c>
      <c r="AW75" s="9" t="s">
        <v>85</v>
      </c>
      <c r="AX75" s="9" t="s">
        <v>85</v>
      </c>
      <c r="AY75" s="9" t="s">
        <v>85</v>
      </c>
      <c r="AZ75" s="9" t="s">
        <v>85</v>
      </c>
      <c r="BA75" s="9" t="s">
        <v>85</v>
      </c>
      <c r="BB75" s="9" t="s">
        <v>85</v>
      </c>
      <c r="BC75" s="10" t="s">
        <v>85</v>
      </c>
      <c r="BD75" s="9" t="s">
        <v>85</v>
      </c>
      <c r="BE75" s="9" t="s">
        <v>85</v>
      </c>
      <c r="BF75" s="10" t="s">
        <v>85</v>
      </c>
      <c r="BG75" s="10" t="s">
        <v>85</v>
      </c>
      <c r="BH75" s="9" t="s">
        <v>85</v>
      </c>
      <c r="BI75" s="6"/>
      <c r="BJ75" s="6" t="str">
        <f t="shared" si="1"/>
        <v>12Bo_One_Acc</v>
      </c>
      <c r="BK75" s="6" t="str">
        <f t="shared" si="2"/>
        <v>8Bo_One_Acc</v>
      </c>
      <c r="BL75" s="6" t="str">
        <f t="shared" si="3"/>
        <v>5Bo_One_Acc</v>
      </c>
      <c r="BM75" s="6"/>
      <c r="BN75" s="6">
        <f t="shared" si="4"/>
        <v>12</v>
      </c>
      <c r="BO75" s="6"/>
      <c r="BP75" s="6"/>
      <c r="BQ75" s="6"/>
      <c r="BR75" s="6"/>
      <c r="BS75" s="6"/>
      <c r="BT75" s="6"/>
      <c r="BU75" s="6"/>
      <c r="BV75" s="6"/>
      <c r="BW75" s="6"/>
      <c r="BX75" s="6"/>
    </row>
    <row r="76" ht="15.75" customHeight="1">
      <c r="A76" s="1" t="s">
        <v>170</v>
      </c>
      <c r="B76" s="17">
        <v>1500.0</v>
      </c>
      <c r="C76" s="17">
        <v>5.0</v>
      </c>
      <c r="D76" s="9" t="s">
        <v>85</v>
      </c>
      <c r="E76" s="9" t="s">
        <v>85</v>
      </c>
      <c r="F76" s="9">
        <v>0.737778</v>
      </c>
      <c r="G76" s="9" t="s">
        <v>85</v>
      </c>
      <c r="H76" s="9" t="s">
        <v>85</v>
      </c>
      <c r="I76" s="9">
        <v>0.2</v>
      </c>
      <c r="J76" s="9" t="s">
        <v>85</v>
      </c>
      <c r="K76" s="9" t="s">
        <v>85</v>
      </c>
      <c r="L76" s="9" t="s">
        <v>85</v>
      </c>
      <c r="M76" s="9" t="s">
        <v>85</v>
      </c>
      <c r="N76" s="9" t="s">
        <v>85</v>
      </c>
      <c r="O76" s="9" t="s">
        <v>85</v>
      </c>
      <c r="P76" s="9" t="s">
        <v>85</v>
      </c>
      <c r="Q76" s="9" t="s">
        <v>85</v>
      </c>
      <c r="R76" s="9">
        <v>0.793333</v>
      </c>
      <c r="S76" s="9" t="s">
        <v>85</v>
      </c>
      <c r="T76" s="9" t="s">
        <v>85</v>
      </c>
      <c r="U76" s="9">
        <v>0.757778</v>
      </c>
      <c r="V76" s="9" t="s">
        <v>85</v>
      </c>
      <c r="W76" s="9" t="s">
        <v>85</v>
      </c>
      <c r="X76" s="9" t="s">
        <v>85</v>
      </c>
      <c r="Y76" s="9" t="s">
        <v>85</v>
      </c>
      <c r="Z76" s="9" t="s">
        <v>85</v>
      </c>
      <c r="AA76" s="9" t="s">
        <v>85</v>
      </c>
      <c r="AB76" s="10" t="s">
        <v>85</v>
      </c>
      <c r="AC76" s="10" t="s">
        <v>85</v>
      </c>
      <c r="AD76" s="9">
        <v>0.773333</v>
      </c>
      <c r="AE76" s="9" t="s">
        <v>85</v>
      </c>
      <c r="AF76" s="9" t="s">
        <v>85</v>
      </c>
      <c r="AG76" s="9">
        <v>0.771111</v>
      </c>
      <c r="AH76" s="9" t="s">
        <v>85</v>
      </c>
      <c r="AI76" s="9" t="s">
        <v>85</v>
      </c>
      <c r="AJ76" s="9" t="s">
        <v>85</v>
      </c>
      <c r="AK76" s="9" t="s">
        <v>85</v>
      </c>
      <c r="AL76" s="9" t="s">
        <v>85</v>
      </c>
      <c r="AM76" s="9" t="s">
        <v>85</v>
      </c>
      <c r="AN76" s="9" t="s">
        <v>85</v>
      </c>
      <c r="AO76" s="9" t="s">
        <v>85</v>
      </c>
      <c r="AP76" s="9">
        <v>0.755556</v>
      </c>
      <c r="AQ76" s="9" t="s">
        <v>85</v>
      </c>
      <c r="AR76" s="9" t="s">
        <v>85</v>
      </c>
      <c r="AS76" s="9">
        <v>0.684444</v>
      </c>
      <c r="AT76" s="9" t="s">
        <v>85</v>
      </c>
      <c r="AU76" s="9" t="s">
        <v>85</v>
      </c>
      <c r="AV76" s="9" t="s">
        <v>85</v>
      </c>
      <c r="AW76" s="9" t="s">
        <v>85</v>
      </c>
      <c r="AX76" s="9" t="s">
        <v>85</v>
      </c>
      <c r="AY76" s="9" t="s">
        <v>85</v>
      </c>
      <c r="AZ76" s="9" t="s">
        <v>85</v>
      </c>
      <c r="BA76" s="9" t="s">
        <v>85</v>
      </c>
      <c r="BB76" s="9" t="s">
        <v>85</v>
      </c>
      <c r="BC76" s="10" t="s">
        <v>85</v>
      </c>
      <c r="BD76" s="9" t="s">
        <v>85</v>
      </c>
      <c r="BE76" s="9" t="s">
        <v>85</v>
      </c>
      <c r="BF76" s="10" t="s">
        <v>85</v>
      </c>
      <c r="BG76" s="10" t="s">
        <v>85</v>
      </c>
      <c r="BH76" s="9" t="s">
        <v>85</v>
      </c>
      <c r="BI76" s="6"/>
      <c r="BJ76" s="6" t="str">
        <f t="shared" si="1"/>
        <v>8Bo_One_Acc</v>
      </c>
      <c r="BK76" s="6" t="str">
        <f t="shared" si="2"/>
        <v>10Bo_One_Acc</v>
      </c>
      <c r="BL76" s="6" t="str">
        <f t="shared" si="3"/>
        <v>10BoN_One_Acc</v>
      </c>
      <c r="BM76" s="6"/>
      <c r="BN76" s="6">
        <f t="shared" si="4"/>
        <v>8</v>
      </c>
      <c r="BO76" s="6"/>
      <c r="BP76" s="6"/>
      <c r="BQ76" s="6"/>
      <c r="BR76" s="6"/>
      <c r="BS76" s="6"/>
      <c r="BT76" s="6"/>
      <c r="BU76" s="6"/>
      <c r="BV76" s="6"/>
      <c r="BW76" s="6"/>
      <c r="BX76" s="6"/>
    </row>
    <row r="77" ht="15.75" customHeight="1">
      <c r="A77" s="1" t="s">
        <v>171</v>
      </c>
      <c r="B77" s="17">
        <v>500.0</v>
      </c>
      <c r="C77" s="17">
        <v>2.0</v>
      </c>
      <c r="D77" s="9" t="s">
        <v>85</v>
      </c>
      <c r="E77" s="9" t="s">
        <v>85</v>
      </c>
      <c r="F77" s="9">
        <v>0.505556</v>
      </c>
      <c r="G77" s="9" t="s">
        <v>85</v>
      </c>
      <c r="H77" s="9" t="s">
        <v>85</v>
      </c>
      <c r="I77" s="9">
        <v>0.5</v>
      </c>
      <c r="J77" s="9" t="s">
        <v>85</v>
      </c>
      <c r="K77" s="9" t="s">
        <v>85</v>
      </c>
      <c r="L77" s="9" t="s">
        <v>85</v>
      </c>
      <c r="M77" s="9" t="s">
        <v>85</v>
      </c>
      <c r="N77" s="9" t="s">
        <v>85</v>
      </c>
      <c r="O77" s="9" t="s">
        <v>85</v>
      </c>
      <c r="P77" s="9" t="s">
        <v>85</v>
      </c>
      <c r="Q77" s="9" t="s">
        <v>85</v>
      </c>
      <c r="R77" s="9">
        <v>0.533333</v>
      </c>
      <c r="S77" s="9" t="s">
        <v>85</v>
      </c>
      <c r="T77" s="9" t="s">
        <v>85</v>
      </c>
      <c r="U77" s="9">
        <v>0.544444</v>
      </c>
      <c r="V77" s="9" t="s">
        <v>85</v>
      </c>
      <c r="W77" s="9" t="s">
        <v>85</v>
      </c>
      <c r="X77" s="9" t="s">
        <v>85</v>
      </c>
      <c r="Y77" s="9" t="s">
        <v>85</v>
      </c>
      <c r="Z77" s="9" t="s">
        <v>85</v>
      </c>
      <c r="AA77" s="9" t="s">
        <v>85</v>
      </c>
      <c r="AB77" s="10" t="s">
        <v>85</v>
      </c>
      <c r="AC77" s="10" t="s">
        <v>85</v>
      </c>
      <c r="AD77" s="9">
        <v>0.494444</v>
      </c>
      <c r="AE77" s="9" t="s">
        <v>85</v>
      </c>
      <c r="AF77" s="9" t="s">
        <v>85</v>
      </c>
      <c r="AG77" s="9">
        <v>0.577778</v>
      </c>
      <c r="AH77" s="9" t="s">
        <v>85</v>
      </c>
      <c r="AI77" s="9" t="s">
        <v>85</v>
      </c>
      <c r="AJ77" s="9" t="s">
        <v>85</v>
      </c>
      <c r="AK77" s="9" t="s">
        <v>85</v>
      </c>
      <c r="AL77" s="9" t="s">
        <v>85</v>
      </c>
      <c r="AM77" s="9" t="s">
        <v>85</v>
      </c>
      <c r="AN77" s="9" t="s">
        <v>85</v>
      </c>
      <c r="AO77" s="9" t="s">
        <v>85</v>
      </c>
      <c r="AP77" s="9">
        <v>0.5</v>
      </c>
      <c r="AQ77" s="9" t="s">
        <v>85</v>
      </c>
      <c r="AR77" s="9" t="s">
        <v>85</v>
      </c>
      <c r="AS77" s="9">
        <v>0.5</v>
      </c>
      <c r="AT77" s="9" t="s">
        <v>85</v>
      </c>
      <c r="AU77" s="9" t="s">
        <v>85</v>
      </c>
      <c r="AV77" s="9" t="s">
        <v>85</v>
      </c>
      <c r="AW77" s="9" t="s">
        <v>85</v>
      </c>
      <c r="AX77" s="9" t="s">
        <v>85</v>
      </c>
      <c r="AY77" s="9" t="s">
        <v>85</v>
      </c>
      <c r="AZ77" s="9" t="s">
        <v>85</v>
      </c>
      <c r="BA77" s="9" t="s">
        <v>85</v>
      </c>
      <c r="BB77" s="9" t="s">
        <v>85</v>
      </c>
      <c r="BC77" s="10" t="s">
        <v>85</v>
      </c>
      <c r="BD77" s="9" t="s">
        <v>85</v>
      </c>
      <c r="BE77" s="9" t="s">
        <v>85</v>
      </c>
      <c r="BF77" s="10" t="s">
        <v>85</v>
      </c>
      <c r="BG77" s="10" t="s">
        <v>85</v>
      </c>
      <c r="BH77" s="9" t="s">
        <v>85</v>
      </c>
      <c r="BI77" s="6"/>
      <c r="BJ77" s="6" t="str">
        <f t="shared" si="1"/>
        <v>10BoN_One_Acc</v>
      </c>
      <c r="BK77" s="6" t="str">
        <f t="shared" si="2"/>
        <v>8BoN_One_Acc</v>
      </c>
      <c r="BL77" s="6" t="str">
        <f t="shared" si="3"/>
        <v>8Bo_One_Acc</v>
      </c>
      <c r="BM77" s="6"/>
      <c r="BN77" s="6">
        <f t="shared" si="4"/>
        <v>10</v>
      </c>
      <c r="BO77" s="6"/>
      <c r="BP77" s="6"/>
      <c r="BQ77" s="6"/>
      <c r="BR77" s="6"/>
      <c r="BS77" s="6"/>
      <c r="BT77" s="6"/>
      <c r="BU77" s="6"/>
      <c r="BV77" s="6"/>
      <c r="BW77" s="6"/>
      <c r="BX77" s="6"/>
    </row>
    <row r="78" ht="15.75" customHeight="1">
      <c r="A78" s="1" t="s">
        <v>172</v>
      </c>
      <c r="B78" s="17">
        <v>512.0</v>
      </c>
      <c r="C78" s="17">
        <v>60.0</v>
      </c>
      <c r="D78" s="9" t="s">
        <v>85</v>
      </c>
      <c r="E78" s="9" t="s">
        <v>85</v>
      </c>
      <c r="F78" s="9">
        <v>0.165</v>
      </c>
      <c r="G78" s="9" t="s">
        <v>85</v>
      </c>
      <c r="H78" s="9" t="s">
        <v>85</v>
      </c>
      <c r="I78" s="9">
        <v>0.016667</v>
      </c>
      <c r="J78" s="9" t="s">
        <v>85</v>
      </c>
      <c r="K78" s="9" t="s">
        <v>85</v>
      </c>
      <c r="L78" s="9" t="s">
        <v>85</v>
      </c>
      <c r="M78" s="9" t="s">
        <v>85</v>
      </c>
      <c r="N78" s="9" t="s">
        <v>85</v>
      </c>
      <c r="O78" s="9" t="s">
        <v>85</v>
      </c>
      <c r="P78" s="9" t="s">
        <v>85</v>
      </c>
      <c r="Q78" s="9" t="s">
        <v>85</v>
      </c>
      <c r="R78" s="9">
        <v>0.4</v>
      </c>
      <c r="S78" s="9" t="s">
        <v>85</v>
      </c>
      <c r="T78" s="9" t="s">
        <v>85</v>
      </c>
      <c r="U78" s="9">
        <v>0.35</v>
      </c>
      <c r="V78" s="9" t="s">
        <v>85</v>
      </c>
      <c r="W78" s="9" t="s">
        <v>85</v>
      </c>
      <c r="X78" s="9" t="s">
        <v>85</v>
      </c>
      <c r="Y78" s="9" t="s">
        <v>85</v>
      </c>
      <c r="Z78" s="9" t="s">
        <v>85</v>
      </c>
      <c r="AA78" s="9" t="s">
        <v>85</v>
      </c>
      <c r="AB78" s="10" t="s">
        <v>85</v>
      </c>
      <c r="AC78" s="10" t="s">
        <v>85</v>
      </c>
      <c r="AD78" s="9">
        <v>0.618333</v>
      </c>
      <c r="AE78" s="9" t="s">
        <v>85</v>
      </c>
      <c r="AF78" s="9" t="s">
        <v>85</v>
      </c>
      <c r="AG78" s="9">
        <v>0.62</v>
      </c>
      <c r="AH78" s="9" t="s">
        <v>85</v>
      </c>
      <c r="AI78" s="9" t="s">
        <v>85</v>
      </c>
      <c r="AJ78" s="9" t="s">
        <v>85</v>
      </c>
      <c r="AK78" s="9" t="s">
        <v>85</v>
      </c>
      <c r="AL78" s="9" t="s">
        <v>85</v>
      </c>
      <c r="AM78" s="9" t="s">
        <v>85</v>
      </c>
      <c r="AN78" s="9" t="s">
        <v>85</v>
      </c>
      <c r="AO78" s="9" t="s">
        <v>85</v>
      </c>
      <c r="AP78" s="9">
        <v>0.395</v>
      </c>
      <c r="AQ78" s="9" t="s">
        <v>85</v>
      </c>
      <c r="AR78" s="9" t="s">
        <v>85</v>
      </c>
      <c r="AS78" s="9">
        <v>0.411667</v>
      </c>
      <c r="AT78" s="9" t="s">
        <v>85</v>
      </c>
      <c r="AU78" s="9" t="s">
        <v>85</v>
      </c>
      <c r="AV78" s="9" t="s">
        <v>85</v>
      </c>
      <c r="AW78" s="9" t="s">
        <v>85</v>
      </c>
      <c r="AX78" s="9" t="s">
        <v>85</v>
      </c>
      <c r="AY78" s="9" t="s">
        <v>85</v>
      </c>
      <c r="AZ78" s="9" t="s">
        <v>85</v>
      </c>
      <c r="BA78" s="9" t="s">
        <v>85</v>
      </c>
      <c r="BB78" s="9" t="s">
        <v>85</v>
      </c>
      <c r="BC78" s="10" t="s">
        <v>85</v>
      </c>
      <c r="BD78" s="9" t="s">
        <v>85</v>
      </c>
      <c r="BE78" s="9" t="s">
        <v>85</v>
      </c>
      <c r="BF78" s="10" t="s">
        <v>85</v>
      </c>
      <c r="BG78" s="10" t="s">
        <v>85</v>
      </c>
      <c r="BH78" s="9" t="s">
        <v>85</v>
      </c>
      <c r="BI78" s="6"/>
      <c r="BJ78" s="6" t="str">
        <f t="shared" si="1"/>
        <v>10BoN_One_Acc</v>
      </c>
      <c r="BK78" s="6" t="str">
        <f t="shared" si="2"/>
        <v>10Bo_One_Acc</v>
      </c>
      <c r="BL78" s="6" t="str">
        <f t="shared" si="3"/>
        <v>12BoN_One_Acc</v>
      </c>
      <c r="BM78" s="6"/>
      <c r="BN78" s="6">
        <f t="shared" si="4"/>
        <v>10</v>
      </c>
      <c r="BO78" s="6"/>
      <c r="BP78" s="6"/>
      <c r="BQ78" s="6"/>
      <c r="BR78" s="6"/>
      <c r="BS78" s="6"/>
      <c r="BT78" s="6"/>
      <c r="BU78" s="6"/>
      <c r="BV78" s="6"/>
      <c r="BW78" s="6"/>
      <c r="BX78" s="6"/>
    </row>
    <row r="79" ht="15.75" customHeight="1">
      <c r="A79" s="1" t="s">
        <v>173</v>
      </c>
      <c r="B79" s="17">
        <v>720.0</v>
      </c>
      <c r="C79" s="17">
        <v>3.0</v>
      </c>
      <c r="D79" s="9" t="s">
        <v>85</v>
      </c>
      <c r="E79" s="9" t="s">
        <v>85</v>
      </c>
      <c r="F79" s="9">
        <v>0.629333</v>
      </c>
      <c r="G79" s="9" t="s">
        <v>85</v>
      </c>
      <c r="H79" s="9" t="s">
        <v>85</v>
      </c>
      <c r="I79" s="9">
        <v>0.333333</v>
      </c>
      <c r="J79" s="9" t="s">
        <v>85</v>
      </c>
      <c r="K79" s="9" t="s">
        <v>85</v>
      </c>
      <c r="L79" s="9" t="s">
        <v>85</v>
      </c>
      <c r="M79" s="9" t="s">
        <v>85</v>
      </c>
      <c r="N79" s="9" t="s">
        <v>85</v>
      </c>
      <c r="O79" s="9" t="s">
        <v>85</v>
      </c>
      <c r="P79" s="9" t="s">
        <v>85</v>
      </c>
      <c r="Q79" s="9" t="s">
        <v>85</v>
      </c>
      <c r="R79" s="9">
        <v>0.52</v>
      </c>
      <c r="S79" s="9" t="s">
        <v>85</v>
      </c>
      <c r="T79" s="9" t="s">
        <v>85</v>
      </c>
      <c r="U79" s="9">
        <v>0.442667</v>
      </c>
      <c r="V79" s="9" t="s">
        <v>85</v>
      </c>
      <c r="W79" s="9" t="s">
        <v>85</v>
      </c>
      <c r="X79" s="9" t="s">
        <v>85</v>
      </c>
      <c r="Y79" s="9" t="s">
        <v>85</v>
      </c>
      <c r="Z79" s="9" t="s">
        <v>85</v>
      </c>
      <c r="AA79" s="9" t="s">
        <v>85</v>
      </c>
      <c r="AB79" s="10" t="s">
        <v>85</v>
      </c>
      <c r="AC79" s="10" t="s">
        <v>85</v>
      </c>
      <c r="AD79" s="9">
        <v>0.624</v>
      </c>
      <c r="AE79" s="9" t="s">
        <v>85</v>
      </c>
      <c r="AF79" s="9" t="s">
        <v>85</v>
      </c>
      <c r="AG79" s="9">
        <v>0.64</v>
      </c>
      <c r="AH79" s="9" t="s">
        <v>85</v>
      </c>
      <c r="AI79" s="9" t="s">
        <v>85</v>
      </c>
      <c r="AJ79" s="9" t="s">
        <v>85</v>
      </c>
      <c r="AK79" s="9" t="s">
        <v>85</v>
      </c>
      <c r="AL79" s="9" t="s">
        <v>85</v>
      </c>
      <c r="AM79" s="9" t="s">
        <v>85</v>
      </c>
      <c r="AN79" s="9" t="s">
        <v>85</v>
      </c>
      <c r="AO79" s="9" t="s">
        <v>85</v>
      </c>
      <c r="AP79" s="9">
        <v>0.616</v>
      </c>
      <c r="AQ79" s="9" t="s">
        <v>85</v>
      </c>
      <c r="AR79" s="9" t="s">
        <v>85</v>
      </c>
      <c r="AS79" s="9">
        <v>0.632</v>
      </c>
      <c r="AT79" s="9" t="s">
        <v>85</v>
      </c>
      <c r="AU79" s="9" t="s">
        <v>85</v>
      </c>
      <c r="AV79" s="9" t="s">
        <v>85</v>
      </c>
      <c r="AW79" s="9" t="s">
        <v>85</v>
      </c>
      <c r="AX79" s="9" t="s">
        <v>85</v>
      </c>
      <c r="AY79" s="9" t="s">
        <v>85</v>
      </c>
      <c r="AZ79" s="9" t="s">
        <v>85</v>
      </c>
      <c r="BA79" s="9" t="s">
        <v>85</v>
      </c>
      <c r="BB79" s="9" t="s">
        <v>85</v>
      </c>
      <c r="BC79" s="10" t="s">
        <v>85</v>
      </c>
      <c r="BD79" s="9" t="s">
        <v>85</v>
      </c>
      <c r="BE79" s="9" t="s">
        <v>85</v>
      </c>
      <c r="BF79" s="10" t="s">
        <v>85</v>
      </c>
      <c r="BG79" s="10" t="s">
        <v>85</v>
      </c>
      <c r="BH79" s="9" t="s">
        <v>85</v>
      </c>
      <c r="BI79" s="6"/>
      <c r="BJ79" s="6" t="str">
        <f t="shared" si="1"/>
        <v>10BoN_One_Acc</v>
      </c>
      <c r="BK79" s="6" t="str">
        <f t="shared" si="2"/>
        <v>12BoN_One_Acc</v>
      </c>
      <c r="BL79" s="6" t="str">
        <f t="shared" si="3"/>
        <v>5Bo_One_Acc</v>
      </c>
      <c r="BM79" s="6"/>
      <c r="BN79" s="6">
        <f t="shared" si="4"/>
        <v>10</v>
      </c>
      <c r="BO79" s="6"/>
      <c r="BP79" s="6"/>
      <c r="BQ79" s="6"/>
      <c r="BR79" s="6"/>
      <c r="BS79" s="6"/>
      <c r="BT79" s="6"/>
      <c r="BU79" s="6"/>
      <c r="BV79" s="6"/>
      <c r="BW79" s="6"/>
      <c r="BX79" s="6"/>
    </row>
    <row r="80" ht="15.75" customHeight="1">
      <c r="A80" s="1" t="s">
        <v>174</v>
      </c>
      <c r="B80" s="17">
        <v>15.0</v>
      </c>
      <c r="C80" s="17">
        <v>3.0</v>
      </c>
      <c r="D80" s="9" t="s">
        <v>85</v>
      </c>
      <c r="E80" s="9" t="s">
        <v>85</v>
      </c>
      <c r="F80" s="9">
        <v>0.96</v>
      </c>
      <c r="G80" s="9" t="s">
        <v>85</v>
      </c>
      <c r="H80" s="9" t="s">
        <v>85</v>
      </c>
      <c r="I80" s="9">
        <v>0.34</v>
      </c>
      <c r="J80" s="9" t="s">
        <v>85</v>
      </c>
      <c r="K80" s="9" t="s">
        <v>85</v>
      </c>
      <c r="L80" s="9" t="s">
        <v>85</v>
      </c>
      <c r="M80" s="9" t="s">
        <v>85</v>
      </c>
      <c r="N80" s="9" t="s">
        <v>85</v>
      </c>
      <c r="O80" s="9" t="s">
        <v>85</v>
      </c>
      <c r="P80" s="9" t="s">
        <v>85</v>
      </c>
      <c r="Q80" s="9" t="s">
        <v>85</v>
      </c>
      <c r="R80" s="9">
        <v>0.926667</v>
      </c>
      <c r="S80" s="9" t="s">
        <v>85</v>
      </c>
      <c r="T80" s="9" t="s">
        <v>85</v>
      </c>
      <c r="U80" s="9">
        <v>0.933333</v>
      </c>
      <c r="V80" s="9" t="s">
        <v>85</v>
      </c>
      <c r="W80" s="9" t="s">
        <v>85</v>
      </c>
      <c r="X80" s="9" t="s">
        <v>85</v>
      </c>
      <c r="Y80" s="9" t="s">
        <v>85</v>
      </c>
      <c r="Z80" s="9" t="s">
        <v>85</v>
      </c>
      <c r="AA80" s="9" t="s">
        <v>85</v>
      </c>
      <c r="AB80" s="10" t="s">
        <v>85</v>
      </c>
      <c r="AC80" s="10" t="s">
        <v>85</v>
      </c>
      <c r="AD80" s="9">
        <v>0.92</v>
      </c>
      <c r="AE80" s="9" t="s">
        <v>85</v>
      </c>
      <c r="AF80" s="9" t="s">
        <v>85</v>
      </c>
      <c r="AG80" s="9">
        <v>0.94</v>
      </c>
      <c r="AH80" s="9" t="s">
        <v>85</v>
      </c>
      <c r="AI80" s="9" t="s">
        <v>85</v>
      </c>
      <c r="AJ80" s="9" t="s">
        <v>85</v>
      </c>
      <c r="AK80" s="9" t="s">
        <v>85</v>
      </c>
      <c r="AL80" s="9" t="s">
        <v>85</v>
      </c>
      <c r="AM80" s="9" t="s">
        <v>85</v>
      </c>
      <c r="AN80" s="9" t="s">
        <v>85</v>
      </c>
      <c r="AO80" s="9" t="s">
        <v>85</v>
      </c>
      <c r="AP80" s="9">
        <v>0.933333</v>
      </c>
      <c r="AQ80" s="9" t="s">
        <v>85</v>
      </c>
      <c r="AR80" s="9" t="s">
        <v>85</v>
      </c>
      <c r="AS80" s="9">
        <v>0.933333</v>
      </c>
      <c r="AT80" s="9" t="s">
        <v>85</v>
      </c>
      <c r="AU80" s="9" t="s">
        <v>85</v>
      </c>
      <c r="AV80" s="9" t="s">
        <v>85</v>
      </c>
      <c r="AW80" s="9" t="s">
        <v>85</v>
      </c>
      <c r="AX80" s="9" t="s">
        <v>85</v>
      </c>
      <c r="AY80" s="9" t="s">
        <v>85</v>
      </c>
      <c r="AZ80" s="9" t="s">
        <v>85</v>
      </c>
      <c r="BA80" s="9" t="s">
        <v>85</v>
      </c>
      <c r="BB80" s="9" t="s">
        <v>85</v>
      </c>
      <c r="BC80" s="10" t="s">
        <v>85</v>
      </c>
      <c r="BD80" s="9" t="s">
        <v>85</v>
      </c>
      <c r="BE80" s="9" t="s">
        <v>85</v>
      </c>
      <c r="BF80" s="10" t="s">
        <v>85</v>
      </c>
      <c r="BG80" s="10" t="s">
        <v>85</v>
      </c>
      <c r="BH80" s="9" t="s">
        <v>85</v>
      </c>
      <c r="BI80" s="6"/>
      <c r="BJ80" s="6" t="str">
        <f t="shared" si="1"/>
        <v>5Bo_One_Acc</v>
      </c>
      <c r="BK80" s="6" t="str">
        <f t="shared" si="2"/>
        <v>10BoN_One_Acc</v>
      </c>
      <c r="BL80" s="6" t="str">
        <f t="shared" si="3"/>
        <v>8BoN_One_Acc</v>
      </c>
      <c r="BM80" s="6"/>
      <c r="BN80" s="6">
        <f t="shared" si="4"/>
        <v>5</v>
      </c>
      <c r="BO80" s="6"/>
      <c r="BP80" s="6"/>
      <c r="BQ80" s="6"/>
      <c r="BR80" s="6"/>
      <c r="BS80" s="6"/>
      <c r="BT80" s="6"/>
      <c r="BU80" s="6"/>
      <c r="BV80" s="6"/>
      <c r="BW80" s="6"/>
      <c r="BX80" s="6"/>
    </row>
    <row r="81" ht="15.75" customHeight="1">
      <c r="A81" s="1" t="s">
        <v>175</v>
      </c>
      <c r="B81" s="17">
        <v>70.0</v>
      </c>
      <c r="C81" s="17">
        <v>2.0</v>
      </c>
      <c r="D81" s="9" t="s">
        <v>85</v>
      </c>
      <c r="E81" s="9" t="s">
        <v>85</v>
      </c>
      <c r="F81" s="9">
        <v>0.557404</v>
      </c>
      <c r="G81" s="9" t="s">
        <v>85</v>
      </c>
      <c r="H81" s="9" t="s">
        <v>85</v>
      </c>
      <c r="I81" s="9">
        <v>0.570715</v>
      </c>
      <c r="J81" s="9" t="s">
        <v>85</v>
      </c>
      <c r="K81" s="9" t="s">
        <v>85</v>
      </c>
      <c r="L81" s="9" t="s">
        <v>85</v>
      </c>
      <c r="M81" s="9" t="s">
        <v>85</v>
      </c>
      <c r="N81" s="9" t="s">
        <v>85</v>
      </c>
      <c r="O81" s="9" t="s">
        <v>85</v>
      </c>
      <c r="P81" s="9" t="s">
        <v>85</v>
      </c>
      <c r="Q81" s="9" t="s">
        <v>85</v>
      </c>
      <c r="R81" s="9">
        <v>0.673877</v>
      </c>
      <c r="S81" s="9" t="s">
        <v>85</v>
      </c>
      <c r="T81" s="9" t="s">
        <v>85</v>
      </c>
      <c r="U81" s="9">
        <v>0.65391</v>
      </c>
      <c r="V81" s="9" t="s">
        <v>85</v>
      </c>
      <c r="W81" s="9" t="s">
        <v>85</v>
      </c>
      <c r="X81" s="9" t="s">
        <v>85</v>
      </c>
      <c r="Y81" s="9" t="s">
        <v>85</v>
      </c>
      <c r="Z81" s="9" t="s">
        <v>85</v>
      </c>
      <c r="AA81" s="9" t="s">
        <v>85</v>
      </c>
      <c r="AB81" s="10" t="s">
        <v>85</v>
      </c>
      <c r="AC81" s="10" t="s">
        <v>85</v>
      </c>
      <c r="AD81" s="9">
        <v>0.580699</v>
      </c>
      <c r="AE81" s="9" t="s">
        <v>85</v>
      </c>
      <c r="AF81" s="9" t="s">
        <v>85</v>
      </c>
      <c r="AG81" s="9">
        <v>0.552413</v>
      </c>
      <c r="AH81" s="9" t="s">
        <v>85</v>
      </c>
      <c r="AI81" s="9" t="s">
        <v>85</v>
      </c>
      <c r="AJ81" s="9" t="s">
        <v>85</v>
      </c>
      <c r="AK81" s="9" t="s">
        <v>85</v>
      </c>
      <c r="AL81" s="9" t="s">
        <v>85</v>
      </c>
      <c r="AM81" s="9" t="s">
        <v>85</v>
      </c>
      <c r="AN81" s="9" t="s">
        <v>85</v>
      </c>
      <c r="AO81" s="9" t="s">
        <v>85</v>
      </c>
      <c r="AP81" s="9">
        <v>0.603993</v>
      </c>
      <c r="AQ81" s="9" t="s">
        <v>85</v>
      </c>
      <c r="AR81" s="9" t="s">
        <v>85</v>
      </c>
      <c r="AS81" s="9">
        <v>0.499168</v>
      </c>
      <c r="AT81" s="9" t="s">
        <v>85</v>
      </c>
      <c r="AU81" s="9" t="s">
        <v>85</v>
      </c>
      <c r="AV81" s="9" t="s">
        <v>85</v>
      </c>
      <c r="AW81" s="9" t="s">
        <v>85</v>
      </c>
      <c r="AX81" s="9" t="s">
        <v>85</v>
      </c>
      <c r="AY81" s="9" t="s">
        <v>85</v>
      </c>
      <c r="AZ81" s="9" t="s">
        <v>85</v>
      </c>
      <c r="BA81" s="9" t="s">
        <v>85</v>
      </c>
      <c r="BB81" s="9" t="s">
        <v>85</v>
      </c>
      <c r="BC81" s="10" t="s">
        <v>85</v>
      </c>
      <c r="BD81" s="9" t="s">
        <v>85</v>
      </c>
      <c r="BE81" s="9" t="s">
        <v>85</v>
      </c>
      <c r="BF81" s="10" t="s">
        <v>85</v>
      </c>
      <c r="BG81" s="10" t="s">
        <v>85</v>
      </c>
      <c r="BH81" s="9" t="s">
        <v>85</v>
      </c>
      <c r="BI81" s="6"/>
      <c r="BJ81" s="6" t="str">
        <f t="shared" si="1"/>
        <v>8Bo_One_Acc</v>
      </c>
      <c r="BK81" s="6" t="str">
        <f t="shared" si="2"/>
        <v>8BoN_One_Acc</v>
      </c>
      <c r="BL81" s="6" t="str">
        <f t="shared" si="3"/>
        <v>12Bo_One_Acc</v>
      </c>
      <c r="BM81" s="6"/>
      <c r="BN81" s="6">
        <f t="shared" si="4"/>
        <v>8</v>
      </c>
      <c r="BO81" s="6"/>
      <c r="BP81" s="6"/>
      <c r="BQ81" s="6"/>
      <c r="BR81" s="6"/>
      <c r="BS81" s="6"/>
      <c r="BT81" s="6"/>
      <c r="BU81" s="6"/>
      <c r="BV81" s="6"/>
      <c r="BW81" s="6"/>
      <c r="BX81" s="6"/>
    </row>
    <row r="82" ht="15.75" customHeight="1">
      <c r="A82" s="1" t="s">
        <v>176</v>
      </c>
      <c r="B82" s="17">
        <v>65.0</v>
      </c>
      <c r="C82" s="17">
        <v>2.0</v>
      </c>
      <c r="D82" s="9" t="s">
        <v>85</v>
      </c>
      <c r="E82" s="9" t="s">
        <v>85</v>
      </c>
      <c r="F82" s="9">
        <v>0.743966</v>
      </c>
      <c r="G82" s="9" t="s">
        <v>85</v>
      </c>
      <c r="H82" s="9" t="s">
        <v>85</v>
      </c>
      <c r="I82" s="9">
        <v>0.616999</v>
      </c>
      <c r="J82" s="9" t="s">
        <v>85</v>
      </c>
      <c r="K82" s="9" t="s">
        <v>85</v>
      </c>
      <c r="L82" s="9" t="s">
        <v>85</v>
      </c>
      <c r="M82" s="9" t="s">
        <v>85</v>
      </c>
      <c r="N82" s="9" t="s">
        <v>85</v>
      </c>
      <c r="O82" s="9" t="s">
        <v>85</v>
      </c>
      <c r="P82" s="9" t="s">
        <v>85</v>
      </c>
      <c r="Q82" s="9" t="s">
        <v>85</v>
      </c>
      <c r="R82" s="9">
        <v>0.796432</v>
      </c>
      <c r="S82" s="9" t="s">
        <v>85</v>
      </c>
      <c r="T82" s="9" t="s">
        <v>85</v>
      </c>
      <c r="U82" s="9">
        <v>0.797482</v>
      </c>
      <c r="V82" s="9" t="s">
        <v>85</v>
      </c>
      <c r="W82" s="9" t="s">
        <v>85</v>
      </c>
      <c r="X82" s="9" t="s">
        <v>85</v>
      </c>
      <c r="Y82" s="9" t="s">
        <v>85</v>
      </c>
      <c r="Z82" s="9" t="s">
        <v>85</v>
      </c>
      <c r="AA82" s="9" t="s">
        <v>85</v>
      </c>
      <c r="AB82" s="10" t="s">
        <v>85</v>
      </c>
      <c r="AC82" s="10" t="s">
        <v>85</v>
      </c>
      <c r="AD82" s="9">
        <v>0.779643</v>
      </c>
      <c r="AE82" s="9" t="s">
        <v>85</v>
      </c>
      <c r="AF82" s="9" t="s">
        <v>85</v>
      </c>
      <c r="AG82" s="9">
        <v>0.776495</v>
      </c>
      <c r="AH82" s="9" t="s">
        <v>85</v>
      </c>
      <c r="AI82" s="9" t="s">
        <v>85</v>
      </c>
      <c r="AJ82" s="9" t="s">
        <v>85</v>
      </c>
      <c r="AK82" s="9" t="s">
        <v>85</v>
      </c>
      <c r="AL82" s="9" t="s">
        <v>85</v>
      </c>
      <c r="AM82" s="9" t="s">
        <v>85</v>
      </c>
      <c r="AN82" s="9" t="s">
        <v>85</v>
      </c>
      <c r="AO82" s="9" t="s">
        <v>85</v>
      </c>
      <c r="AP82" s="9">
        <v>0.796432</v>
      </c>
      <c r="AQ82" s="9" t="s">
        <v>85</v>
      </c>
      <c r="AR82" s="9" t="s">
        <v>85</v>
      </c>
      <c r="AS82" s="9">
        <v>0.795383</v>
      </c>
      <c r="AT82" s="9" t="s">
        <v>85</v>
      </c>
      <c r="AU82" s="9" t="s">
        <v>85</v>
      </c>
      <c r="AV82" s="9" t="s">
        <v>85</v>
      </c>
      <c r="AW82" s="9" t="s">
        <v>85</v>
      </c>
      <c r="AX82" s="9" t="s">
        <v>85</v>
      </c>
      <c r="AY82" s="9" t="s">
        <v>85</v>
      </c>
      <c r="AZ82" s="9" t="s">
        <v>85</v>
      </c>
      <c r="BA82" s="9" t="s">
        <v>85</v>
      </c>
      <c r="BB82" s="9" t="s">
        <v>85</v>
      </c>
      <c r="BC82" s="10" t="s">
        <v>85</v>
      </c>
      <c r="BD82" s="9" t="s">
        <v>85</v>
      </c>
      <c r="BE82" s="9" t="s">
        <v>85</v>
      </c>
      <c r="BF82" s="10" t="s">
        <v>85</v>
      </c>
      <c r="BG82" s="10" t="s">
        <v>85</v>
      </c>
      <c r="BH82" s="9" t="s">
        <v>85</v>
      </c>
      <c r="BI82" s="6"/>
      <c r="BJ82" s="6" t="str">
        <f t="shared" si="1"/>
        <v>8BoN_One_Acc</v>
      </c>
      <c r="BK82" s="6" t="str">
        <f t="shared" si="2"/>
        <v>8Bo_One_Acc</v>
      </c>
      <c r="BL82" s="6" t="str">
        <f t="shared" si="3"/>
        <v>8Bo_One_Acc</v>
      </c>
      <c r="BM82" s="6"/>
      <c r="BN82" s="6">
        <f t="shared" si="4"/>
        <v>8</v>
      </c>
      <c r="BO82" s="6"/>
      <c r="BP82" s="6"/>
      <c r="BQ82" s="6"/>
      <c r="BR82" s="6"/>
      <c r="BS82" s="6"/>
      <c r="BT82" s="6"/>
      <c r="BU82" s="6"/>
      <c r="BV82" s="6"/>
      <c r="BW82" s="6"/>
      <c r="BX82" s="6"/>
    </row>
    <row r="83" ht="15.75" customHeight="1">
      <c r="A83" s="1" t="s">
        <v>177</v>
      </c>
      <c r="B83" s="17">
        <v>1024.0</v>
      </c>
      <c r="C83" s="17">
        <v>3.0</v>
      </c>
      <c r="D83" s="9" t="s">
        <v>85</v>
      </c>
      <c r="E83" s="9" t="s">
        <v>85</v>
      </c>
      <c r="F83" s="9">
        <v>0.927635</v>
      </c>
      <c r="G83" s="9" t="s">
        <v>85</v>
      </c>
      <c r="H83" s="9" t="s">
        <v>85</v>
      </c>
      <c r="I83" s="9">
        <v>0.577222</v>
      </c>
      <c r="J83" s="9" t="s">
        <v>85</v>
      </c>
      <c r="K83" s="9" t="s">
        <v>85</v>
      </c>
      <c r="L83" s="9" t="s">
        <v>85</v>
      </c>
      <c r="M83" s="9" t="s">
        <v>85</v>
      </c>
      <c r="N83" s="9" t="s">
        <v>85</v>
      </c>
      <c r="O83" s="9" t="s">
        <v>85</v>
      </c>
      <c r="P83" s="9" t="s">
        <v>85</v>
      </c>
      <c r="Q83" s="9" t="s">
        <v>85</v>
      </c>
      <c r="R83" s="9">
        <v>0.93407</v>
      </c>
      <c r="S83" s="9" t="s">
        <v>85</v>
      </c>
      <c r="T83" s="9" t="s">
        <v>85</v>
      </c>
      <c r="U83" s="9">
        <v>0.934677</v>
      </c>
      <c r="V83" s="9" t="s">
        <v>85</v>
      </c>
      <c r="W83" s="9" t="s">
        <v>85</v>
      </c>
      <c r="X83" s="9" t="s">
        <v>85</v>
      </c>
      <c r="Y83" s="9" t="s">
        <v>85</v>
      </c>
      <c r="Z83" s="9" t="s">
        <v>85</v>
      </c>
      <c r="AA83" s="9" t="s">
        <v>85</v>
      </c>
      <c r="AB83" s="10" t="s">
        <v>85</v>
      </c>
      <c r="AC83" s="10" t="s">
        <v>85</v>
      </c>
      <c r="AD83" s="9">
        <v>0.934556</v>
      </c>
      <c r="AE83" s="9" t="s">
        <v>85</v>
      </c>
      <c r="AF83" s="9" t="s">
        <v>85</v>
      </c>
      <c r="AG83" s="9">
        <v>0.930792</v>
      </c>
      <c r="AH83" s="9" t="s">
        <v>85</v>
      </c>
      <c r="AI83" s="9" t="s">
        <v>85</v>
      </c>
      <c r="AJ83" s="9" t="s">
        <v>85</v>
      </c>
      <c r="AK83" s="9" t="s">
        <v>85</v>
      </c>
      <c r="AL83" s="9" t="s">
        <v>85</v>
      </c>
      <c r="AM83" s="9" t="s">
        <v>85</v>
      </c>
      <c r="AN83" s="9" t="s">
        <v>85</v>
      </c>
      <c r="AO83" s="9" t="s">
        <v>85</v>
      </c>
      <c r="AP83" s="9">
        <v>0.941234</v>
      </c>
      <c r="AQ83" s="9" t="s">
        <v>85</v>
      </c>
      <c r="AR83" s="9" t="s">
        <v>85</v>
      </c>
      <c r="AS83" s="9">
        <v>0.93577</v>
      </c>
      <c r="AT83" s="9" t="s">
        <v>85</v>
      </c>
      <c r="AU83" s="9" t="s">
        <v>85</v>
      </c>
      <c r="AV83" s="9" t="s">
        <v>85</v>
      </c>
      <c r="AW83" s="9" t="s">
        <v>85</v>
      </c>
      <c r="AX83" s="9" t="s">
        <v>85</v>
      </c>
      <c r="AY83" s="9" t="s">
        <v>85</v>
      </c>
      <c r="AZ83" s="9" t="s">
        <v>85</v>
      </c>
      <c r="BA83" s="9" t="s">
        <v>85</v>
      </c>
      <c r="BB83" s="9" t="s">
        <v>85</v>
      </c>
      <c r="BC83" s="10" t="s">
        <v>85</v>
      </c>
      <c r="BD83" s="9" t="s">
        <v>85</v>
      </c>
      <c r="BE83" s="9" t="s">
        <v>85</v>
      </c>
      <c r="BF83" s="10" t="s">
        <v>85</v>
      </c>
      <c r="BG83" s="10" t="s">
        <v>85</v>
      </c>
      <c r="BH83" s="9" t="s">
        <v>85</v>
      </c>
      <c r="BI83" s="6"/>
      <c r="BJ83" s="6" t="str">
        <f t="shared" si="1"/>
        <v>12Bo_One_Acc</v>
      </c>
      <c r="BK83" s="6" t="str">
        <f t="shared" si="2"/>
        <v>12BoN_One_Acc</v>
      </c>
      <c r="BL83" s="6" t="str">
        <f t="shared" si="3"/>
        <v>8BoN_One_Acc</v>
      </c>
      <c r="BM83" s="6"/>
      <c r="BN83" s="6">
        <f t="shared" si="4"/>
        <v>12</v>
      </c>
      <c r="BO83" s="6"/>
      <c r="BP83" s="6"/>
      <c r="BQ83" s="6"/>
      <c r="BR83" s="6"/>
      <c r="BS83" s="6"/>
      <c r="BT83" s="6"/>
      <c r="BU83" s="6"/>
      <c r="BV83" s="6"/>
      <c r="BW83" s="6"/>
      <c r="BX83" s="6"/>
    </row>
    <row r="84" ht="15.75" customHeight="1">
      <c r="A84" s="1" t="s">
        <v>178</v>
      </c>
      <c r="B84" s="17">
        <v>235.0</v>
      </c>
      <c r="C84" s="17">
        <v>2.0</v>
      </c>
      <c r="D84" s="9" t="s">
        <v>85</v>
      </c>
      <c r="E84" s="9" t="s">
        <v>85</v>
      </c>
      <c r="F84" s="9">
        <v>0.908108</v>
      </c>
      <c r="G84" s="9" t="s">
        <v>85</v>
      </c>
      <c r="H84" s="9" t="s">
        <v>85</v>
      </c>
      <c r="I84" s="9">
        <v>0.643243</v>
      </c>
      <c r="J84" s="9" t="s">
        <v>85</v>
      </c>
      <c r="K84" s="9" t="s">
        <v>85</v>
      </c>
      <c r="L84" s="9" t="s">
        <v>85</v>
      </c>
      <c r="M84" s="9" t="s">
        <v>85</v>
      </c>
      <c r="N84" s="9" t="s">
        <v>85</v>
      </c>
      <c r="O84" s="9" t="s">
        <v>85</v>
      </c>
      <c r="P84" s="9" t="s">
        <v>85</v>
      </c>
      <c r="Q84" s="9" t="s">
        <v>85</v>
      </c>
      <c r="R84" s="9">
        <v>0.92973</v>
      </c>
      <c r="S84" s="9" t="s">
        <v>85</v>
      </c>
      <c r="T84" s="9" t="s">
        <v>85</v>
      </c>
      <c r="U84" s="9">
        <v>0.910811</v>
      </c>
      <c r="V84" s="9" t="s">
        <v>85</v>
      </c>
      <c r="W84" s="9" t="s">
        <v>85</v>
      </c>
      <c r="X84" s="9" t="s">
        <v>85</v>
      </c>
      <c r="Y84" s="9" t="s">
        <v>85</v>
      </c>
      <c r="Z84" s="9" t="s">
        <v>85</v>
      </c>
      <c r="AA84" s="9" t="s">
        <v>85</v>
      </c>
      <c r="AB84" s="10" t="s">
        <v>85</v>
      </c>
      <c r="AC84" s="10" t="s">
        <v>85</v>
      </c>
      <c r="AD84" s="9">
        <v>0.92973</v>
      </c>
      <c r="AE84" s="9" t="s">
        <v>85</v>
      </c>
      <c r="AF84" s="9" t="s">
        <v>85</v>
      </c>
      <c r="AG84" s="9">
        <v>0.924324</v>
      </c>
      <c r="AH84" s="9" t="s">
        <v>85</v>
      </c>
      <c r="AI84" s="9" t="s">
        <v>85</v>
      </c>
      <c r="AJ84" s="9" t="s">
        <v>85</v>
      </c>
      <c r="AK84" s="9" t="s">
        <v>85</v>
      </c>
      <c r="AL84" s="9" t="s">
        <v>85</v>
      </c>
      <c r="AM84" s="9" t="s">
        <v>85</v>
      </c>
      <c r="AN84" s="9" t="s">
        <v>85</v>
      </c>
      <c r="AO84" s="9" t="s">
        <v>85</v>
      </c>
      <c r="AP84" s="9">
        <v>0.940541</v>
      </c>
      <c r="AQ84" s="9" t="s">
        <v>85</v>
      </c>
      <c r="AR84" s="9" t="s">
        <v>85</v>
      </c>
      <c r="AS84" s="9">
        <v>0.927027</v>
      </c>
      <c r="AT84" s="9" t="s">
        <v>85</v>
      </c>
      <c r="AU84" s="9" t="s">
        <v>85</v>
      </c>
      <c r="AV84" s="9" t="s">
        <v>85</v>
      </c>
      <c r="AW84" s="9" t="s">
        <v>85</v>
      </c>
      <c r="AX84" s="9" t="s">
        <v>85</v>
      </c>
      <c r="AY84" s="9" t="s">
        <v>85</v>
      </c>
      <c r="AZ84" s="9" t="s">
        <v>85</v>
      </c>
      <c r="BA84" s="9" t="s">
        <v>85</v>
      </c>
      <c r="BB84" s="9" t="s">
        <v>85</v>
      </c>
      <c r="BC84" s="10" t="s">
        <v>85</v>
      </c>
      <c r="BD84" s="9" t="s">
        <v>85</v>
      </c>
      <c r="BE84" s="9" t="s">
        <v>85</v>
      </c>
      <c r="BF84" s="10" t="s">
        <v>85</v>
      </c>
      <c r="BG84" s="10" t="s">
        <v>85</v>
      </c>
      <c r="BH84" s="9" t="s">
        <v>85</v>
      </c>
      <c r="BI84" s="6"/>
      <c r="BJ84" s="6" t="str">
        <f t="shared" si="1"/>
        <v>12Bo_One_Acc</v>
      </c>
      <c r="BK84" s="6" t="str">
        <f t="shared" si="2"/>
        <v>8Bo_One_Acc</v>
      </c>
      <c r="BL84" s="6" t="str">
        <f t="shared" si="3"/>
        <v>8Bo_One_Acc</v>
      </c>
      <c r="BM84" s="6"/>
      <c r="BN84" s="6">
        <f t="shared" si="4"/>
        <v>12</v>
      </c>
      <c r="BO84" s="6"/>
      <c r="BP84" s="6"/>
      <c r="BQ84" s="6"/>
      <c r="BR84" s="6"/>
      <c r="BS84" s="6"/>
      <c r="BT84" s="6"/>
      <c r="BU84" s="6"/>
      <c r="BV84" s="6"/>
      <c r="BW84" s="6"/>
      <c r="BX84" s="6"/>
    </row>
    <row r="85" ht="15.75" customHeight="1">
      <c r="A85" s="1" t="s">
        <v>179</v>
      </c>
      <c r="B85" s="17">
        <v>128.0</v>
      </c>
      <c r="C85" s="17">
        <v>15.0</v>
      </c>
      <c r="D85" s="9" t="s">
        <v>85</v>
      </c>
      <c r="E85" s="9" t="s">
        <v>85</v>
      </c>
      <c r="F85" s="9">
        <v>0.7408</v>
      </c>
      <c r="G85" s="9" t="s">
        <v>85</v>
      </c>
      <c r="H85" s="9" t="s">
        <v>85</v>
      </c>
      <c r="I85" s="9">
        <v>0.0528</v>
      </c>
      <c r="J85" s="9" t="s">
        <v>85</v>
      </c>
      <c r="K85" s="9" t="s">
        <v>85</v>
      </c>
      <c r="L85" s="9" t="s">
        <v>85</v>
      </c>
      <c r="M85" s="9" t="s">
        <v>85</v>
      </c>
      <c r="N85" s="9" t="s">
        <v>85</v>
      </c>
      <c r="O85" s="9" t="s">
        <v>85</v>
      </c>
      <c r="P85" s="9" t="s">
        <v>85</v>
      </c>
      <c r="Q85" s="9" t="s">
        <v>85</v>
      </c>
      <c r="R85" s="9">
        <v>0.7216</v>
      </c>
      <c r="S85" s="9" t="s">
        <v>85</v>
      </c>
      <c r="T85" s="9" t="s">
        <v>85</v>
      </c>
      <c r="U85" s="9">
        <v>0.7856</v>
      </c>
      <c r="V85" s="9" t="s">
        <v>85</v>
      </c>
      <c r="W85" s="9" t="s">
        <v>85</v>
      </c>
      <c r="X85" s="9" t="s">
        <v>85</v>
      </c>
      <c r="Y85" s="9" t="s">
        <v>85</v>
      </c>
      <c r="Z85" s="9" t="s">
        <v>85</v>
      </c>
      <c r="AA85" s="9" t="s">
        <v>85</v>
      </c>
      <c r="AB85" s="10" t="s">
        <v>85</v>
      </c>
      <c r="AC85" s="10" t="s">
        <v>85</v>
      </c>
      <c r="AD85" s="9">
        <v>0.7504</v>
      </c>
      <c r="AE85" s="9" t="s">
        <v>85</v>
      </c>
      <c r="AF85" s="9" t="s">
        <v>85</v>
      </c>
      <c r="AG85" s="9">
        <v>0.7984</v>
      </c>
      <c r="AH85" s="9" t="s">
        <v>85</v>
      </c>
      <c r="AI85" s="9" t="s">
        <v>85</v>
      </c>
      <c r="AJ85" s="9" t="s">
        <v>85</v>
      </c>
      <c r="AK85" s="9" t="s">
        <v>85</v>
      </c>
      <c r="AL85" s="9" t="s">
        <v>85</v>
      </c>
      <c r="AM85" s="9" t="s">
        <v>85</v>
      </c>
      <c r="AN85" s="9" t="s">
        <v>85</v>
      </c>
      <c r="AO85" s="9" t="s">
        <v>85</v>
      </c>
      <c r="AP85" s="9">
        <v>0.8144</v>
      </c>
      <c r="AQ85" s="9" t="s">
        <v>85</v>
      </c>
      <c r="AR85" s="9" t="s">
        <v>85</v>
      </c>
      <c r="AS85" s="9">
        <v>0.7872</v>
      </c>
      <c r="AT85" s="9" t="s">
        <v>85</v>
      </c>
      <c r="AU85" s="9" t="s">
        <v>85</v>
      </c>
      <c r="AV85" s="9" t="s">
        <v>85</v>
      </c>
      <c r="AW85" s="9" t="s">
        <v>85</v>
      </c>
      <c r="AX85" s="9" t="s">
        <v>85</v>
      </c>
      <c r="AY85" s="9" t="s">
        <v>85</v>
      </c>
      <c r="AZ85" s="9" t="s">
        <v>85</v>
      </c>
      <c r="BA85" s="9" t="s">
        <v>85</v>
      </c>
      <c r="BB85" s="9" t="s">
        <v>85</v>
      </c>
      <c r="BC85" s="10" t="s">
        <v>85</v>
      </c>
      <c r="BD85" s="9" t="s">
        <v>85</v>
      </c>
      <c r="BE85" s="9" t="s">
        <v>85</v>
      </c>
      <c r="BF85" s="10" t="s">
        <v>85</v>
      </c>
      <c r="BG85" s="10" t="s">
        <v>85</v>
      </c>
      <c r="BH85" s="9" t="s">
        <v>85</v>
      </c>
      <c r="BI85" s="6"/>
      <c r="BJ85" s="6" t="str">
        <f t="shared" si="1"/>
        <v>12Bo_One_Acc</v>
      </c>
      <c r="BK85" s="6" t="str">
        <f t="shared" si="2"/>
        <v>10BoN_One_Acc</v>
      </c>
      <c r="BL85" s="6" t="str">
        <f t="shared" si="3"/>
        <v>12BoN_One_Acc</v>
      </c>
      <c r="BM85" s="6"/>
      <c r="BN85" s="6">
        <f t="shared" si="4"/>
        <v>12</v>
      </c>
      <c r="BO85" s="6"/>
      <c r="BP85" s="6"/>
      <c r="BQ85" s="6"/>
      <c r="BR85" s="6"/>
      <c r="BS85" s="6"/>
      <c r="BT85" s="6"/>
      <c r="BU85" s="6"/>
      <c r="BV85" s="6"/>
      <c r="BW85" s="6"/>
      <c r="BX85" s="6"/>
    </row>
    <row r="86" ht="15.75" customHeight="1">
      <c r="A86" s="1" t="s">
        <v>180</v>
      </c>
      <c r="B86" s="17">
        <v>398.0</v>
      </c>
      <c r="C86" s="17">
        <v>6.0</v>
      </c>
      <c r="D86" s="9" t="s">
        <v>85</v>
      </c>
      <c r="E86" s="9" t="s">
        <v>85</v>
      </c>
      <c r="F86" s="9">
        <v>0.738693</v>
      </c>
      <c r="G86" s="9" t="s">
        <v>85</v>
      </c>
      <c r="H86" s="9" t="s">
        <v>85</v>
      </c>
      <c r="I86" s="9">
        <v>0.173869</v>
      </c>
      <c r="J86" s="9" t="s">
        <v>85</v>
      </c>
      <c r="K86" s="9" t="s">
        <v>85</v>
      </c>
      <c r="L86" s="9" t="s">
        <v>85</v>
      </c>
      <c r="M86" s="9" t="s">
        <v>85</v>
      </c>
      <c r="N86" s="9" t="s">
        <v>85</v>
      </c>
      <c r="O86" s="9" t="s">
        <v>85</v>
      </c>
      <c r="P86" s="9" t="s">
        <v>85</v>
      </c>
      <c r="Q86" s="9" t="s">
        <v>85</v>
      </c>
      <c r="R86" s="9">
        <v>0.735678</v>
      </c>
      <c r="S86" s="9" t="s">
        <v>85</v>
      </c>
      <c r="T86" s="9" t="s">
        <v>85</v>
      </c>
      <c r="U86" s="9">
        <v>0.809045</v>
      </c>
      <c r="V86" s="9" t="s">
        <v>85</v>
      </c>
      <c r="W86" s="9" t="s">
        <v>85</v>
      </c>
      <c r="X86" s="9" t="s">
        <v>85</v>
      </c>
      <c r="Y86" s="9" t="s">
        <v>85</v>
      </c>
      <c r="Z86" s="9" t="s">
        <v>85</v>
      </c>
      <c r="AA86" s="9" t="s">
        <v>85</v>
      </c>
      <c r="AB86" s="10" t="s">
        <v>85</v>
      </c>
      <c r="AC86" s="10" t="s">
        <v>85</v>
      </c>
      <c r="AD86" s="9">
        <v>0.750754</v>
      </c>
      <c r="AE86" s="9" t="s">
        <v>85</v>
      </c>
      <c r="AF86" s="9" t="s">
        <v>85</v>
      </c>
      <c r="AG86" s="9">
        <v>0.715578</v>
      </c>
      <c r="AH86" s="9" t="s">
        <v>85</v>
      </c>
      <c r="AI86" s="9" t="s">
        <v>85</v>
      </c>
      <c r="AJ86" s="9" t="s">
        <v>85</v>
      </c>
      <c r="AK86" s="9" t="s">
        <v>85</v>
      </c>
      <c r="AL86" s="9" t="s">
        <v>85</v>
      </c>
      <c r="AM86" s="9" t="s">
        <v>85</v>
      </c>
      <c r="AN86" s="9" t="s">
        <v>85</v>
      </c>
      <c r="AO86" s="9" t="s">
        <v>85</v>
      </c>
      <c r="AP86" s="9">
        <v>0.743719</v>
      </c>
      <c r="AQ86" s="9" t="s">
        <v>85</v>
      </c>
      <c r="AR86" s="9" t="s">
        <v>85</v>
      </c>
      <c r="AS86" s="9">
        <v>0.768844</v>
      </c>
      <c r="AT86" s="9" t="s">
        <v>85</v>
      </c>
      <c r="AU86" s="9" t="s">
        <v>85</v>
      </c>
      <c r="AV86" s="9" t="s">
        <v>85</v>
      </c>
      <c r="AW86" s="9" t="s">
        <v>85</v>
      </c>
      <c r="AX86" s="9" t="s">
        <v>85</v>
      </c>
      <c r="AY86" s="9" t="s">
        <v>85</v>
      </c>
      <c r="AZ86" s="9" t="s">
        <v>85</v>
      </c>
      <c r="BA86" s="9" t="s">
        <v>85</v>
      </c>
      <c r="BB86" s="9" t="s">
        <v>85</v>
      </c>
      <c r="BC86" s="10" t="s">
        <v>85</v>
      </c>
      <c r="BD86" s="9" t="s">
        <v>85</v>
      </c>
      <c r="BE86" s="9" t="s">
        <v>85</v>
      </c>
      <c r="BF86" s="10" t="s">
        <v>85</v>
      </c>
      <c r="BG86" s="10" t="s">
        <v>85</v>
      </c>
      <c r="BH86" s="9" t="s">
        <v>85</v>
      </c>
      <c r="BI86" s="6"/>
      <c r="BJ86" s="6" t="str">
        <f t="shared" si="1"/>
        <v>8BoN_One_Acc</v>
      </c>
      <c r="BK86" s="6" t="str">
        <f t="shared" si="2"/>
        <v>12BoN_One_Acc</v>
      </c>
      <c r="BL86" s="6" t="str">
        <f t="shared" si="3"/>
        <v>10Bo_One_Acc</v>
      </c>
      <c r="BM86" s="6"/>
      <c r="BN86" s="6">
        <f t="shared" si="4"/>
        <v>8</v>
      </c>
      <c r="BO86" s="6"/>
      <c r="BP86" s="6"/>
      <c r="BQ86" s="6"/>
      <c r="BR86" s="6"/>
      <c r="BS86" s="6"/>
      <c r="BT86" s="6"/>
      <c r="BU86" s="6"/>
      <c r="BV86" s="6"/>
      <c r="BW86" s="6"/>
      <c r="BX86" s="6"/>
    </row>
    <row r="87" ht="15.75" customHeight="1">
      <c r="A87" s="1" t="s">
        <v>181</v>
      </c>
      <c r="B87" s="17">
        <v>60.0</v>
      </c>
      <c r="C87" s="17">
        <v>6.0</v>
      </c>
      <c r="D87" s="9" t="s">
        <v>85</v>
      </c>
      <c r="E87" s="9" t="s">
        <v>85</v>
      </c>
      <c r="F87" s="9">
        <v>0.963333</v>
      </c>
      <c r="G87" s="9" t="s">
        <v>85</v>
      </c>
      <c r="H87" s="9" t="s">
        <v>85</v>
      </c>
      <c r="I87" s="9">
        <v>0.166667</v>
      </c>
      <c r="J87" s="9" t="s">
        <v>85</v>
      </c>
      <c r="K87" s="9" t="s">
        <v>85</v>
      </c>
      <c r="L87" s="9" t="s">
        <v>85</v>
      </c>
      <c r="M87" s="9" t="s">
        <v>85</v>
      </c>
      <c r="N87" s="9" t="s">
        <v>85</v>
      </c>
      <c r="O87" s="9" t="s">
        <v>85</v>
      </c>
      <c r="P87" s="9" t="s">
        <v>85</v>
      </c>
      <c r="Q87" s="9" t="s">
        <v>85</v>
      </c>
      <c r="R87" s="9">
        <v>0.963333</v>
      </c>
      <c r="S87" s="9" t="s">
        <v>85</v>
      </c>
      <c r="T87" s="9" t="s">
        <v>85</v>
      </c>
      <c r="U87" s="9">
        <v>0.96</v>
      </c>
      <c r="V87" s="9" t="s">
        <v>85</v>
      </c>
      <c r="W87" s="9" t="s">
        <v>85</v>
      </c>
      <c r="X87" s="9" t="s">
        <v>85</v>
      </c>
      <c r="Y87" s="9" t="s">
        <v>85</v>
      </c>
      <c r="Z87" s="9" t="s">
        <v>85</v>
      </c>
      <c r="AA87" s="9" t="s">
        <v>85</v>
      </c>
      <c r="AB87" s="10" t="s">
        <v>85</v>
      </c>
      <c r="AC87" s="10" t="s">
        <v>85</v>
      </c>
      <c r="AD87" s="9">
        <v>0.946667</v>
      </c>
      <c r="AE87" s="9" t="s">
        <v>85</v>
      </c>
      <c r="AF87" s="9" t="s">
        <v>85</v>
      </c>
      <c r="AG87" s="9">
        <v>0.96</v>
      </c>
      <c r="AH87" s="9" t="s">
        <v>85</v>
      </c>
      <c r="AI87" s="9" t="s">
        <v>85</v>
      </c>
      <c r="AJ87" s="9" t="s">
        <v>85</v>
      </c>
      <c r="AK87" s="9" t="s">
        <v>85</v>
      </c>
      <c r="AL87" s="9" t="s">
        <v>85</v>
      </c>
      <c r="AM87" s="9" t="s">
        <v>85</v>
      </c>
      <c r="AN87" s="9" t="s">
        <v>85</v>
      </c>
      <c r="AO87" s="9" t="s">
        <v>85</v>
      </c>
      <c r="AP87" s="9">
        <v>0.983333</v>
      </c>
      <c r="AQ87" s="9" t="s">
        <v>85</v>
      </c>
      <c r="AR87" s="9" t="s">
        <v>85</v>
      </c>
      <c r="AS87" s="9">
        <v>0.983333</v>
      </c>
      <c r="AT87" s="9" t="s">
        <v>85</v>
      </c>
      <c r="AU87" s="9" t="s">
        <v>85</v>
      </c>
      <c r="AV87" s="9" t="s">
        <v>85</v>
      </c>
      <c r="AW87" s="9" t="s">
        <v>85</v>
      </c>
      <c r="AX87" s="9" t="s">
        <v>85</v>
      </c>
      <c r="AY87" s="9" t="s">
        <v>85</v>
      </c>
      <c r="AZ87" s="9" t="s">
        <v>85</v>
      </c>
      <c r="BA87" s="9" t="s">
        <v>85</v>
      </c>
      <c r="BB87" s="9" t="s">
        <v>85</v>
      </c>
      <c r="BC87" s="10" t="s">
        <v>85</v>
      </c>
      <c r="BD87" s="9" t="s">
        <v>85</v>
      </c>
      <c r="BE87" s="9" t="s">
        <v>85</v>
      </c>
      <c r="BF87" s="10" t="s">
        <v>85</v>
      </c>
      <c r="BG87" s="10" t="s">
        <v>85</v>
      </c>
      <c r="BH87" s="9" t="s">
        <v>85</v>
      </c>
      <c r="BI87" s="6"/>
      <c r="BJ87" s="6" t="str">
        <f t="shared" si="1"/>
        <v>12Bo_One_Acc</v>
      </c>
      <c r="BK87" s="6" t="str">
        <f t="shared" si="2"/>
        <v>12Bo_One_Acc</v>
      </c>
      <c r="BL87" s="6" t="str">
        <f t="shared" si="3"/>
        <v>5Bo_One_Acc</v>
      </c>
      <c r="BM87" s="6"/>
      <c r="BN87" s="6">
        <f t="shared" si="4"/>
        <v>12</v>
      </c>
      <c r="BO87" s="6"/>
      <c r="BP87" s="6"/>
      <c r="BQ87" s="6"/>
      <c r="BR87" s="6"/>
      <c r="BS87" s="6"/>
      <c r="BT87" s="6"/>
      <c r="BU87" s="6"/>
      <c r="BV87" s="6"/>
      <c r="BW87" s="6"/>
      <c r="BX87" s="6"/>
    </row>
    <row r="88" ht="15.75" customHeight="1">
      <c r="A88" s="1" t="s">
        <v>182</v>
      </c>
      <c r="B88" s="17">
        <v>277.0</v>
      </c>
      <c r="C88" s="17">
        <v>2.0</v>
      </c>
      <c r="D88" s="9" t="s">
        <v>85</v>
      </c>
      <c r="E88" s="9" t="s">
        <v>85</v>
      </c>
      <c r="F88" s="9">
        <v>0.758772</v>
      </c>
      <c r="G88" s="9" t="s">
        <v>85</v>
      </c>
      <c r="H88" s="9" t="s">
        <v>85</v>
      </c>
      <c r="I88" s="9">
        <v>0.04386</v>
      </c>
      <c r="J88" s="9" t="s">
        <v>85</v>
      </c>
      <c r="K88" s="9" t="s">
        <v>85</v>
      </c>
      <c r="L88" s="9" t="s">
        <v>85</v>
      </c>
      <c r="M88" s="9" t="s">
        <v>85</v>
      </c>
      <c r="N88" s="9" t="s">
        <v>85</v>
      </c>
      <c r="O88" s="9" t="s">
        <v>85</v>
      </c>
      <c r="P88" s="9" t="s">
        <v>85</v>
      </c>
      <c r="Q88" s="9" t="s">
        <v>85</v>
      </c>
      <c r="R88" s="9">
        <v>0.671053</v>
      </c>
      <c r="S88" s="9" t="s">
        <v>85</v>
      </c>
      <c r="T88" s="9" t="s">
        <v>85</v>
      </c>
      <c r="U88" s="9">
        <v>0.666667</v>
      </c>
      <c r="V88" s="9" t="s">
        <v>85</v>
      </c>
      <c r="W88" s="9" t="s">
        <v>85</v>
      </c>
      <c r="X88" s="9" t="s">
        <v>85</v>
      </c>
      <c r="Y88" s="9" t="s">
        <v>85</v>
      </c>
      <c r="Z88" s="9" t="s">
        <v>85</v>
      </c>
      <c r="AA88" s="9" t="s">
        <v>85</v>
      </c>
      <c r="AB88" s="10" t="s">
        <v>85</v>
      </c>
      <c r="AC88" s="10" t="s">
        <v>85</v>
      </c>
      <c r="AD88" s="9">
        <v>0.692982</v>
      </c>
      <c r="AE88" s="9" t="s">
        <v>85</v>
      </c>
      <c r="AF88" s="9" t="s">
        <v>85</v>
      </c>
      <c r="AG88" s="9">
        <v>0.692982</v>
      </c>
      <c r="AH88" s="9" t="s">
        <v>85</v>
      </c>
      <c r="AI88" s="9" t="s">
        <v>85</v>
      </c>
      <c r="AJ88" s="9" t="s">
        <v>85</v>
      </c>
      <c r="AK88" s="9" t="s">
        <v>85</v>
      </c>
      <c r="AL88" s="9" t="s">
        <v>85</v>
      </c>
      <c r="AM88" s="9" t="s">
        <v>85</v>
      </c>
      <c r="AN88" s="9" t="s">
        <v>85</v>
      </c>
      <c r="AO88" s="9" t="s">
        <v>85</v>
      </c>
      <c r="AP88" s="9">
        <v>0.666667</v>
      </c>
      <c r="AQ88" s="9" t="s">
        <v>85</v>
      </c>
      <c r="AR88" s="9" t="s">
        <v>85</v>
      </c>
      <c r="AS88" s="9">
        <v>0.684211</v>
      </c>
      <c r="AT88" s="9" t="s">
        <v>85</v>
      </c>
      <c r="AU88" s="9" t="s">
        <v>85</v>
      </c>
      <c r="AV88" s="9" t="s">
        <v>85</v>
      </c>
      <c r="AW88" s="9" t="s">
        <v>85</v>
      </c>
      <c r="AX88" s="9" t="s">
        <v>85</v>
      </c>
      <c r="AY88" s="9" t="s">
        <v>85</v>
      </c>
      <c r="AZ88" s="9" t="s">
        <v>85</v>
      </c>
      <c r="BA88" s="9" t="s">
        <v>85</v>
      </c>
      <c r="BB88" s="9" t="s">
        <v>85</v>
      </c>
      <c r="BC88" s="10" t="s">
        <v>85</v>
      </c>
      <c r="BD88" s="9" t="s">
        <v>85</v>
      </c>
      <c r="BE88" s="9" t="s">
        <v>85</v>
      </c>
      <c r="BF88" s="10" t="s">
        <v>85</v>
      </c>
      <c r="BG88" s="10" t="s">
        <v>85</v>
      </c>
      <c r="BH88" s="9" t="s">
        <v>85</v>
      </c>
      <c r="BI88" s="6"/>
      <c r="BJ88" s="6" t="str">
        <f t="shared" si="1"/>
        <v>5Bo_One_Acc</v>
      </c>
      <c r="BK88" s="6" t="str">
        <f t="shared" si="2"/>
        <v>10Bo_One_Acc</v>
      </c>
      <c r="BL88" s="6" t="str">
        <f t="shared" si="3"/>
        <v>10Bo_One_Acc</v>
      </c>
      <c r="BM88" s="6"/>
      <c r="BN88" s="6">
        <f t="shared" si="4"/>
        <v>5</v>
      </c>
      <c r="BO88" s="6"/>
      <c r="BP88" s="6"/>
      <c r="BQ88" s="6"/>
      <c r="BR88" s="6"/>
      <c r="BS88" s="6"/>
      <c r="BT88" s="6"/>
      <c r="BU88" s="6"/>
      <c r="BV88" s="6"/>
      <c r="BW88" s="6"/>
      <c r="BX88" s="6"/>
    </row>
    <row r="89" ht="15.75" customHeight="1">
      <c r="A89" s="1" t="s">
        <v>183</v>
      </c>
      <c r="B89" s="17">
        <v>343.0</v>
      </c>
      <c r="C89" s="17">
        <v>2.0</v>
      </c>
      <c r="D89" s="9" t="s">
        <v>85</v>
      </c>
      <c r="E89" s="9" t="s">
        <v>85</v>
      </c>
      <c r="F89" s="9">
        <v>0.823077</v>
      </c>
      <c r="G89" s="9" t="s">
        <v>85</v>
      </c>
      <c r="H89" s="9" t="s">
        <v>85</v>
      </c>
      <c r="I89" s="9">
        <v>0.169231</v>
      </c>
      <c r="J89" s="9" t="s">
        <v>85</v>
      </c>
      <c r="K89" s="9" t="s">
        <v>85</v>
      </c>
      <c r="L89" s="9" t="s">
        <v>85</v>
      </c>
      <c r="M89" s="9" t="s">
        <v>85</v>
      </c>
      <c r="N89" s="9" t="s">
        <v>85</v>
      </c>
      <c r="O89" s="9" t="s">
        <v>85</v>
      </c>
      <c r="P89" s="9" t="s">
        <v>85</v>
      </c>
      <c r="Q89" s="9" t="s">
        <v>85</v>
      </c>
      <c r="R89" s="9">
        <v>0.792308</v>
      </c>
      <c r="S89" s="9" t="s">
        <v>85</v>
      </c>
      <c r="T89" s="9" t="s">
        <v>85</v>
      </c>
      <c r="U89" s="9">
        <v>0.830769</v>
      </c>
      <c r="V89" s="9" t="s">
        <v>85</v>
      </c>
      <c r="W89" s="9" t="s">
        <v>85</v>
      </c>
      <c r="X89" s="9" t="s">
        <v>85</v>
      </c>
      <c r="Y89" s="9" t="s">
        <v>85</v>
      </c>
      <c r="Z89" s="9" t="s">
        <v>85</v>
      </c>
      <c r="AA89" s="9" t="s">
        <v>85</v>
      </c>
      <c r="AB89" s="10" t="s">
        <v>85</v>
      </c>
      <c r="AC89" s="10" t="s">
        <v>85</v>
      </c>
      <c r="AD89" s="9">
        <v>0.838462</v>
      </c>
      <c r="AE89" s="9" t="s">
        <v>85</v>
      </c>
      <c r="AF89" s="9" t="s">
        <v>85</v>
      </c>
      <c r="AG89" s="9">
        <v>0.830769</v>
      </c>
      <c r="AH89" s="9" t="s">
        <v>85</v>
      </c>
      <c r="AI89" s="9" t="s">
        <v>85</v>
      </c>
      <c r="AJ89" s="9" t="s">
        <v>85</v>
      </c>
      <c r="AK89" s="9" t="s">
        <v>85</v>
      </c>
      <c r="AL89" s="9" t="s">
        <v>85</v>
      </c>
      <c r="AM89" s="9" t="s">
        <v>85</v>
      </c>
      <c r="AN89" s="9" t="s">
        <v>85</v>
      </c>
      <c r="AO89" s="9" t="s">
        <v>85</v>
      </c>
      <c r="AP89" s="9">
        <v>0.838462</v>
      </c>
      <c r="AQ89" s="9" t="s">
        <v>85</v>
      </c>
      <c r="AR89" s="9" t="s">
        <v>85</v>
      </c>
      <c r="AS89" s="9">
        <v>0.823077</v>
      </c>
      <c r="AT89" s="9" t="s">
        <v>85</v>
      </c>
      <c r="AU89" s="9" t="s">
        <v>85</v>
      </c>
      <c r="AV89" s="9" t="s">
        <v>85</v>
      </c>
      <c r="AW89" s="9" t="s">
        <v>85</v>
      </c>
      <c r="AX89" s="9" t="s">
        <v>85</v>
      </c>
      <c r="AY89" s="9" t="s">
        <v>85</v>
      </c>
      <c r="AZ89" s="9" t="s">
        <v>85</v>
      </c>
      <c r="BA89" s="9" t="s">
        <v>85</v>
      </c>
      <c r="BB89" s="9" t="s">
        <v>85</v>
      </c>
      <c r="BC89" s="10" t="s">
        <v>85</v>
      </c>
      <c r="BD89" s="9" t="s">
        <v>85</v>
      </c>
      <c r="BE89" s="9" t="s">
        <v>85</v>
      </c>
      <c r="BF89" s="10" t="s">
        <v>85</v>
      </c>
      <c r="BG89" s="10" t="s">
        <v>85</v>
      </c>
      <c r="BH89" s="9" t="s">
        <v>85</v>
      </c>
      <c r="BI89" s="6"/>
      <c r="BJ89" s="6" t="str">
        <f t="shared" si="1"/>
        <v>10Bo_One_Acc</v>
      </c>
      <c r="BK89" s="6" t="str">
        <f t="shared" si="2"/>
        <v>10Bo_One_Acc</v>
      </c>
      <c r="BL89" s="6" t="str">
        <f t="shared" si="3"/>
        <v>8BoN_One_Acc</v>
      </c>
      <c r="BM89" s="6"/>
      <c r="BN89" s="6">
        <f t="shared" si="4"/>
        <v>10</v>
      </c>
      <c r="BO89" s="6"/>
      <c r="BP89" s="6"/>
      <c r="BQ89" s="6"/>
      <c r="BR89" s="6"/>
      <c r="BS89" s="6"/>
      <c r="BT89" s="6"/>
      <c r="BU89" s="6"/>
      <c r="BV89" s="6"/>
      <c r="BW89" s="6"/>
      <c r="BX89" s="6"/>
    </row>
    <row r="90" ht="15.75" customHeight="1">
      <c r="A90" s="1" t="s">
        <v>184</v>
      </c>
      <c r="B90" s="17">
        <v>275.0</v>
      </c>
      <c r="C90" s="17">
        <v>4.0</v>
      </c>
      <c r="D90" s="9" t="s">
        <v>85</v>
      </c>
      <c r="E90" s="9" t="s">
        <v>85</v>
      </c>
      <c r="F90" s="9">
        <v>1.0</v>
      </c>
      <c r="G90" s="9" t="s">
        <v>85</v>
      </c>
      <c r="H90" s="9" t="s">
        <v>85</v>
      </c>
      <c r="I90" s="9">
        <v>0.25</v>
      </c>
      <c r="J90" s="9" t="s">
        <v>85</v>
      </c>
      <c r="K90" s="9" t="s">
        <v>85</v>
      </c>
      <c r="L90" s="9" t="s">
        <v>85</v>
      </c>
      <c r="M90" s="9" t="s">
        <v>85</v>
      </c>
      <c r="N90" s="9" t="s">
        <v>85</v>
      </c>
      <c r="O90" s="9" t="s">
        <v>85</v>
      </c>
      <c r="P90" s="9" t="s">
        <v>85</v>
      </c>
      <c r="Q90" s="9" t="s">
        <v>85</v>
      </c>
      <c r="R90" s="9">
        <v>1.0</v>
      </c>
      <c r="S90" s="9" t="s">
        <v>85</v>
      </c>
      <c r="T90" s="9" t="s">
        <v>85</v>
      </c>
      <c r="U90" s="9">
        <v>1.0</v>
      </c>
      <c r="V90" s="9" t="s">
        <v>85</v>
      </c>
      <c r="W90" s="9" t="s">
        <v>85</v>
      </c>
      <c r="X90" s="9" t="s">
        <v>85</v>
      </c>
      <c r="Y90" s="9" t="s">
        <v>85</v>
      </c>
      <c r="Z90" s="9" t="s">
        <v>85</v>
      </c>
      <c r="AA90" s="9" t="s">
        <v>85</v>
      </c>
      <c r="AB90" s="10" t="s">
        <v>85</v>
      </c>
      <c r="AC90" s="10" t="s">
        <v>85</v>
      </c>
      <c r="AD90" s="9">
        <v>1.0</v>
      </c>
      <c r="AE90" s="9" t="s">
        <v>85</v>
      </c>
      <c r="AF90" s="9" t="s">
        <v>85</v>
      </c>
      <c r="AG90" s="9">
        <v>1.0</v>
      </c>
      <c r="AH90" s="9" t="s">
        <v>85</v>
      </c>
      <c r="AI90" s="9" t="s">
        <v>85</v>
      </c>
      <c r="AJ90" s="9" t="s">
        <v>85</v>
      </c>
      <c r="AK90" s="9" t="s">
        <v>85</v>
      </c>
      <c r="AL90" s="9" t="s">
        <v>85</v>
      </c>
      <c r="AM90" s="9" t="s">
        <v>85</v>
      </c>
      <c r="AN90" s="9" t="s">
        <v>85</v>
      </c>
      <c r="AO90" s="9" t="s">
        <v>85</v>
      </c>
      <c r="AP90" s="9">
        <v>1.0</v>
      </c>
      <c r="AQ90" s="9" t="s">
        <v>85</v>
      </c>
      <c r="AR90" s="9" t="s">
        <v>85</v>
      </c>
      <c r="AS90" s="9">
        <v>1.0</v>
      </c>
      <c r="AT90" s="9" t="s">
        <v>85</v>
      </c>
      <c r="AU90" s="9" t="s">
        <v>85</v>
      </c>
      <c r="AV90" s="9" t="s">
        <v>85</v>
      </c>
      <c r="AW90" s="9" t="s">
        <v>85</v>
      </c>
      <c r="AX90" s="9" t="s">
        <v>85</v>
      </c>
      <c r="AY90" s="9" t="s">
        <v>85</v>
      </c>
      <c r="AZ90" s="9" t="s">
        <v>85</v>
      </c>
      <c r="BA90" s="9" t="s">
        <v>85</v>
      </c>
      <c r="BB90" s="9" t="s">
        <v>85</v>
      </c>
      <c r="BC90" s="10" t="s">
        <v>85</v>
      </c>
      <c r="BD90" s="9" t="s">
        <v>85</v>
      </c>
      <c r="BE90" s="9" t="s">
        <v>85</v>
      </c>
      <c r="BF90" s="10" t="s">
        <v>85</v>
      </c>
      <c r="BG90" s="10" t="s">
        <v>85</v>
      </c>
      <c r="BH90" s="9" t="s">
        <v>85</v>
      </c>
      <c r="BI90" s="6"/>
      <c r="BJ90" s="6" t="str">
        <f t="shared" si="1"/>
        <v>5Bo_One_Acc</v>
      </c>
      <c r="BK90" s="6" t="str">
        <f t="shared" si="2"/>
        <v>5Bo_One_Acc</v>
      </c>
      <c r="BL90" s="6" t="str">
        <f t="shared" si="3"/>
        <v>5Bo_One_Acc</v>
      </c>
      <c r="BM90" s="6"/>
      <c r="BN90" s="6">
        <f t="shared" si="4"/>
        <v>5</v>
      </c>
      <c r="BO90" s="6"/>
      <c r="BP90" s="6"/>
      <c r="BQ90" s="6"/>
      <c r="BR90" s="6"/>
      <c r="BS90" s="6"/>
      <c r="BT90" s="6"/>
      <c r="BU90" s="6"/>
      <c r="BV90" s="6"/>
      <c r="BW90" s="6"/>
      <c r="BX90" s="6"/>
    </row>
    <row r="91" ht="15.75" customHeight="1">
      <c r="A91" s="1" t="s">
        <v>185</v>
      </c>
      <c r="B91" s="17">
        <v>82.0</v>
      </c>
      <c r="C91" s="17">
        <v>2.0</v>
      </c>
      <c r="D91" s="9" t="s">
        <v>85</v>
      </c>
      <c r="E91" s="9" t="s">
        <v>85</v>
      </c>
      <c r="F91" s="9">
        <v>0.772608</v>
      </c>
      <c r="G91" s="9" t="s">
        <v>85</v>
      </c>
      <c r="H91" s="9" t="s">
        <v>85</v>
      </c>
      <c r="I91" s="9">
        <v>0.499561</v>
      </c>
      <c r="J91" s="9" t="s">
        <v>85</v>
      </c>
      <c r="K91" s="9" t="s">
        <v>85</v>
      </c>
      <c r="L91" s="9" t="s">
        <v>85</v>
      </c>
      <c r="M91" s="9" t="s">
        <v>85</v>
      </c>
      <c r="N91" s="9" t="s">
        <v>85</v>
      </c>
      <c r="O91" s="9" t="s">
        <v>85</v>
      </c>
      <c r="P91" s="9" t="s">
        <v>85</v>
      </c>
      <c r="Q91" s="9" t="s">
        <v>85</v>
      </c>
      <c r="R91" s="9">
        <v>0.725198</v>
      </c>
      <c r="S91" s="9" t="s">
        <v>85</v>
      </c>
      <c r="T91" s="9" t="s">
        <v>85</v>
      </c>
      <c r="U91" s="9">
        <v>0.720808</v>
      </c>
      <c r="V91" s="9" t="s">
        <v>85</v>
      </c>
      <c r="W91" s="9" t="s">
        <v>85</v>
      </c>
      <c r="X91" s="9" t="s">
        <v>85</v>
      </c>
      <c r="Y91" s="9" t="s">
        <v>85</v>
      </c>
      <c r="Z91" s="9" t="s">
        <v>85</v>
      </c>
      <c r="AA91" s="9" t="s">
        <v>85</v>
      </c>
      <c r="AB91" s="10" t="s">
        <v>85</v>
      </c>
      <c r="AC91" s="10" t="s">
        <v>85</v>
      </c>
      <c r="AD91" s="9">
        <v>0.71993</v>
      </c>
      <c r="AE91" s="9" t="s">
        <v>85</v>
      </c>
      <c r="AF91" s="9" t="s">
        <v>85</v>
      </c>
      <c r="AG91" s="9">
        <v>0.757682</v>
      </c>
      <c r="AH91" s="9" t="s">
        <v>85</v>
      </c>
      <c r="AI91" s="9" t="s">
        <v>85</v>
      </c>
      <c r="AJ91" s="9" t="s">
        <v>85</v>
      </c>
      <c r="AK91" s="9" t="s">
        <v>85</v>
      </c>
      <c r="AL91" s="9" t="s">
        <v>85</v>
      </c>
      <c r="AM91" s="9" t="s">
        <v>85</v>
      </c>
      <c r="AN91" s="9" t="s">
        <v>85</v>
      </c>
      <c r="AO91" s="9" t="s">
        <v>85</v>
      </c>
      <c r="AP91" s="9">
        <v>0.737489</v>
      </c>
      <c r="AQ91" s="9" t="s">
        <v>85</v>
      </c>
      <c r="AR91" s="9" t="s">
        <v>85</v>
      </c>
      <c r="AS91" s="9">
        <v>0.745391</v>
      </c>
      <c r="AT91" s="9" t="s">
        <v>85</v>
      </c>
      <c r="AU91" s="9" t="s">
        <v>85</v>
      </c>
      <c r="AV91" s="9" t="s">
        <v>85</v>
      </c>
      <c r="AW91" s="9" t="s">
        <v>85</v>
      </c>
      <c r="AX91" s="9" t="s">
        <v>85</v>
      </c>
      <c r="AY91" s="9" t="s">
        <v>85</v>
      </c>
      <c r="AZ91" s="9" t="s">
        <v>85</v>
      </c>
      <c r="BA91" s="9" t="s">
        <v>85</v>
      </c>
      <c r="BB91" s="9" t="s">
        <v>85</v>
      </c>
      <c r="BC91" s="10" t="s">
        <v>85</v>
      </c>
      <c r="BD91" s="9" t="s">
        <v>85</v>
      </c>
      <c r="BE91" s="9" t="s">
        <v>85</v>
      </c>
      <c r="BF91" s="10" t="s">
        <v>85</v>
      </c>
      <c r="BG91" s="10" t="s">
        <v>85</v>
      </c>
      <c r="BH91" s="9" t="s">
        <v>85</v>
      </c>
      <c r="BI91" s="6"/>
      <c r="BJ91" s="6" t="str">
        <f t="shared" si="1"/>
        <v>5Bo_One_Acc</v>
      </c>
      <c r="BK91" s="6" t="str">
        <f t="shared" si="2"/>
        <v>10BoN_One_Acc</v>
      </c>
      <c r="BL91" s="6" t="str">
        <f t="shared" si="3"/>
        <v>12BoN_One_Acc</v>
      </c>
      <c r="BM91" s="6"/>
      <c r="BN91" s="6">
        <f t="shared" si="4"/>
        <v>5</v>
      </c>
      <c r="BO91" s="6"/>
      <c r="BP91" s="6"/>
      <c r="BQ91" s="6"/>
      <c r="BR91" s="6"/>
      <c r="BS91" s="6"/>
      <c r="BT91" s="6"/>
      <c r="BU91" s="6"/>
      <c r="BV91" s="6"/>
      <c r="BW91" s="6"/>
      <c r="BX91" s="6"/>
    </row>
    <row r="92" ht="15.75" customHeight="1">
      <c r="A92" s="1" t="s">
        <v>186</v>
      </c>
      <c r="B92" s="17">
        <v>128.0</v>
      </c>
      <c r="C92" s="17">
        <v>4.0</v>
      </c>
      <c r="D92" s="9" t="s">
        <v>85</v>
      </c>
      <c r="E92" s="9" t="s">
        <v>85</v>
      </c>
      <c r="F92" s="9">
        <v>0.4965</v>
      </c>
      <c r="G92" s="9" t="s">
        <v>85</v>
      </c>
      <c r="H92" s="9" t="s">
        <v>85</v>
      </c>
      <c r="I92" s="9">
        <v>0.25875</v>
      </c>
      <c r="J92" s="9" t="s">
        <v>85</v>
      </c>
      <c r="K92" s="9" t="s">
        <v>85</v>
      </c>
      <c r="L92" s="9" t="s">
        <v>85</v>
      </c>
      <c r="M92" s="9" t="s">
        <v>85</v>
      </c>
      <c r="N92" s="9" t="s">
        <v>85</v>
      </c>
      <c r="O92" s="9" t="s">
        <v>85</v>
      </c>
      <c r="P92" s="9" t="s">
        <v>85</v>
      </c>
      <c r="Q92" s="9" t="s">
        <v>85</v>
      </c>
      <c r="R92" s="9">
        <v>0.5255</v>
      </c>
      <c r="S92" s="9" t="s">
        <v>85</v>
      </c>
      <c r="T92" s="9" t="s">
        <v>85</v>
      </c>
      <c r="U92" s="9">
        <v>0.53</v>
      </c>
      <c r="V92" s="9" t="s">
        <v>85</v>
      </c>
      <c r="W92" s="9" t="s">
        <v>85</v>
      </c>
      <c r="X92" s="9" t="s">
        <v>85</v>
      </c>
      <c r="Y92" s="9" t="s">
        <v>85</v>
      </c>
      <c r="Z92" s="9" t="s">
        <v>85</v>
      </c>
      <c r="AA92" s="9" t="s">
        <v>85</v>
      </c>
      <c r="AB92" s="10" t="s">
        <v>85</v>
      </c>
      <c r="AC92" s="10" t="s">
        <v>85</v>
      </c>
      <c r="AD92" s="9">
        <v>0.53875</v>
      </c>
      <c r="AE92" s="9" t="s">
        <v>85</v>
      </c>
      <c r="AF92" s="9" t="s">
        <v>85</v>
      </c>
      <c r="AG92" s="9">
        <v>0.55</v>
      </c>
      <c r="AH92" s="9" t="s">
        <v>85</v>
      </c>
      <c r="AI92" s="9" t="s">
        <v>85</v>
      </c>
      <c r="AJ92" s="9" t="s">
        <v>85</v>
      </c>
      <c r="AK92" s="9" t="s">
        <v>85</v>
      </c>
      <c r="AL92" s="9" t="s">
        <v>85</v>
      </c>
      <c r="AM92" s="9" t="s">
        <v>85</v>
      </c>
      <c r="AN92" s="9" t="s">
        <v>85</v>
      </c>
      <c r="AO92" s="9" t="s">
        <v>85</v>
      </c>
      <c r="AP92" s="9">
        <v>0.43075</v>
      </c>
      <c r="AQ92" s="9" t="s">
        <v>85</v>
      </c>
      <c r="AR92" s="9" t="s">
        <v>85</v>
      </c>
      <c r="AS92" s="9">
        <v>0.50025</v>
      </c>
      <c r="AT92" s="9" t="s">
        <v>85</v>
      </c>
      <c r="AU92" s="9" t="s">
        <v>85</v>
      </c>
      <c r="AV92" s="9" t="s">
        <v>85</v>
      </c>
      <c r="AW92" s="9" t="s">
        <v>85</v>
      </c>
      <c r="AX92" s="9" t="s">
        <v>85</v>
      </c>
      <c r="AY92" s="9" t="s">
        <v>85</v>
      </c>
      <c r="AZ92" s="9" t="s">
        <v>85</v>
      </c>
      <c r="BA92" s="9" t="s">
        <v>85</v>
      </c>
      <c r="BB92" s="9" t="s">
        <v>85</v>
      </c>
      <c r="BC92" s="10" t="s">
        <v>85</v>
      </c>
      <c r="BD92" s="9" t="s">
        <v>85</v>
      </c>
      <c r="BE92" s="9" t="s">
        <v>85</v>
      </c>
      <c r="BF92" s="10" t="s">
        <v>85</v>
      </c>
      <c r="BG92" s="10" t="s">
        <v>85</v>
      </c>
      <c r="BH92" s="9" t="s">
        <v>85</v>
      </c>
      <c r="BI92" s="6"/>
      <c r="BJ92" s="6" t="str">
        <f t="shared" si="1"/>
        <v>10BoN_One_Acc</v>
      </c>
      <c r="BK92" s="6" t="str">
        <f t="shared" si="2"/>
        <v>10Bo_One_Acc</v>
      </c>
      <c r="BL92" s="6" t="str">
        <f t="shared" si="3"/>
        <v>8BoN_One_Acc</v>
      </c>
      <c r="BM92" s="6"/>
      <c r="BN92" s="6">
        <f t="shared" si="4"/>
        <v>10</v>
      </c>
      <c r="BO92" s="6"/>
      <c r="BP92" s="6"/>
      <c r="BQ92" s="6"/>
      <c r="BR92" s="6"/>
      <c r="BS92" s="6"/>
      <c r="BT92" s="6"/>
      <c r="BU92" s="6"/>
      <c r="BV92" s="6"/>
      <c r="BW92" s="6"/>
      <c r="BX92" s="6"/>
    </row>
    <row r="93" ht="15.75" customHeight="1">
      <c r="A93" s="1" t="s">
        <v>187</v>
      </c>
      <c r="B93" s="17">
        <v>150.0</v>
      </c>
      <c r="C93" s="17">
        <v>3.0</v>
      </c>
      <c r="D93" s="9" t="s">
        <v>85</v>
      </c>
      <c r="E93" s="9" t="s">
        <v>85</v>
      </c>
      <c r="F93" s="9">
        <v>0.868056</v>
      </c>
      <c r="G93" s="9" t="s">
        <v>85</v>
      </c>
      <c r="H93" s="9" t="s">
        <v>85</v>
      </c>
      <c r="I93" s="9">
        <v>0.333333</v>
      </c>
      <c r="J93" s="9" t="s">
        <v>85</v>
      </c>
      <c r="K93" s="9" t="s">
        <v>85</v>
      </c>
      <c r="L93" s="9" t="s">
        <v>85</v>
      </c>
      <c r="M93" s="9" t="s">
        <v>85</v>
      </c>
      <c r="N93" s="9" t="s">
        <v>85</v>
      </c>
      <c r="O93" s="9" t="s">
        <v>85</v>
      </c>
      <c r="P93" s="9" t="s">
        <v>85</v>
      </c>
      <c r="Q93" s="9" t="s">
        <v>85</v>
      </c>
      <c r="R93" s="9">
        <v>0.881944</v>
      </c>
      <c r="S93" s="9" t="s">
        <v>85</v>
      </c>
      <c r="T93" s="9" t="s">
        <v>85</v>
      </c>
      <c r="U93" s="9">
        <v>0.861111</v>
      </c>
      <c r="V93" s="9" t="s">
        <v>85</v>
      </c>
      <c r="W93" s="9" t="s">
        <v>85</v>
      </c>
      <c r="X93" s="9" t="s">
        <v>85</v>
      </c>
      <c r="Y93" s="9" t="s">
        <v>85</v>
      </c>
      <c r="Z93" s="9" t="s">
        <v>85</v>
      </c>
      <c r="AA93" s="9" t="s">
        <v>85</v>
      </c>
      <c r="AB93" s="10" t="s">
        <v>85</v>
      </c>
      <c r="AC93" s="10" t="s">
        <v>85</v>
      </c>
      <c r="AD93" s="9">
        <v>0.881944</v>
      </c>
      <c r="AE93" s="9" t="s">
        <v>85</v>
      </c>
      <c r="AF93" s="9" t="s">
        <v>85</v>
      </c>
      <c r="AG93" s="9">
        <v>0.881944</v>
      </c>
      <c r="AH93" s="9" t="s">
        <v>85</v>
      </c>
      <c r="AI93" s="9" t="s">
        <v>85</v>
      </c>
      <c r="AJ93" s="9" t="s">
        <v>85</v>
      </c>
      <c r="AK93" s="9" t="s">
        <v>85</v>
      </c>
      <c r="AL93" s="9" t="s">
        <v>85</v>
      </c>
      <c r="AM93" s="9" t="s">
        <v>85</v>
      </c>
      <c r="AN93" s="9" t="s">
        <v>85</v>
      </c>
      <c r="AO93" s="9" t="s">
        <v>85</v>
      </c>
      <c r="AP93" s="9">
        <v>0.875</v>
      </c>
      <c r="AQ93" s="9" t="s">
        <v>85</v>
      </c>
      <c r="AR93" s="9" t="s">
        <v>85</v>
      </c>
      <c r="AS93" s="9">
        <v>0.875</v>
      </c>
      <c r="AT93" s="9" t="s">
        <v>85</v>
      </c>
      <c r="AU93" s="9" t="s">
        <v>85</v>
      </c>
      <c r="AV93" s="9" t="s">
        <v>85</v>
      </c>
      <c r="AW93" s="9" t="s">
        <v>85</v>
      </c>
      <c r="AX93" s="9" t="s">
        <v>85</v>
      </c>
      <c r="AY93" s="9" t="s">
        <v>85</v>
      </c>
      <c r="AZ93" s="9" t="s">
        <v>85</v>
      </c>
      <c r="BA93" s="9" t="s">
        <v>85</v>
      </c>
      <c r="BB93" s="9" t="s">
        <v>85</v>
      </c>
      <c r="BC93" s="10" t="s">
        <v>85</v>
      </c>
      <c r="BD93" s="9" t="s">
        <v>85</v>
      </c>
      <c r="BE93" s="9" t="s">
        <v>85</v>
      </c>
      <c r="BF93" s="10" t="s">
        <v>85</v>
      </c>
      <c r="BG93" s="10" t="s">
        <v>85</v>
      </c>
      <c r="BH93" s="9" t="s">
        <v>85</v>
      </c>
      <c r="BI93" s="6"/>
      <c r="BJ93" s="6" t="str">
        <f t="shared" si="1"/>
        <v>8Bo_One_Acc</v>
      </c>
      <c r="BK93" s="6" t="str">
        <f t="shared" si="2"/>
        <v>8Bo_One_Acc</v>
      </c>
      <c r="BL93" s="6" t="str">
        <f t="shared" si="3"/>
        <v>8Bo_One_Acc</v>
      </c>
      <c r="BM93" s="6"/>
      <c r="BN93" s="6">
        <f t="shared" si="4"/>
        <v>8</v>
      </c>
      <c r="BO93" s="6"/>
      <c r="BP93" s="6"/>
      <c r="BQ93" s="6"/>
      <c r="BR93" s="6"/>
      <c r="BS93" s="6"/>
      <c r="BT93" s="6"/>
      <c r="BU93" s="6"/>
      <c r="BV93" s="6"/>
      <c r="BW93" s="6"/>
      <c r="BX93" s="6"/>
    </row>
    <row r="94" ht="15.75" customHeight="1">
      <c r="A94" s="1" t="s">
        <v>188</v>
      </c>
      <c r="B94" s="17">
        <v>945.0</v>
      </c>
      <c r="C94" s="17">
        <v>8.0</v>
      </c>
      <c r="D94" s="9" t="s">
        <v>85</v>
      </c>
      <c r="E94" s="9" t="s">
        <v>85</v>
      </c>
      <c r="F94" s="9">
        <v>0.729202</v>
      </c>
      <c r="G94" s="9" t="s">
        <v>85</v>
      </c>
      <c r="H94" s="9" t="s">
        <v>85</v>
      </c>
      <c r="I94" s="9">
        <v>0.120882</v>
      </c>
      <c r="J94" s="9" t="s">
        <v>85</v>
      </c>
      <c r="K94" s="9" t="s">
        <v>85</v>
      </c>
      <c r="L94" s="9" t="s">
        <v>85</v>
      </c>
      <c r="M94" s="9" t="s">
        <v>85</v>
      </c>
      <c r="N94" s="9" t="s">
        <v>85</v>
      </c>
      <c r="O94" s="9" t="s">
        <v>85</v>
      </c>
      <c r="P94" s="9" t="s">
        <v>85</v>
      </c>
      <c r="Q94" s="9" t="s">
        <v>85</v>
      </c>
      <c r="R94" s="9">
        <v>0.861809</v>
      </c>
      <c r="S94" s="9" t="s">
        <v>85</v>
      </c>
      <c r="T94" s="9" t="s">
        <v>85</v>
      </c>
      <c r="U94" s="9">
        <v>0.711893</v>
      </c>
      <c r="V94" s="9" t="s">
        <v>85</v>
      </c>
      <c r="W94" s="9" t="s">
        <v>85</v>
      </c>
      <c r="X94" s="9" t="s">
        <v>85</v>
      </c>
      <c r="Y94" s="9" t="s">
        <v>85</v>
      </c>
      <c r="Z94" s="9" t="s">
        <v>85</v>
      </c>
      <c r="AA94" s="9" t="s">
        <v>85</v>
      </c>
      <c r="AB94" s="10" t="s">
        <v>85</v>
      </c>
      <c r="AC94" s="10" t="s">
        <v>85</v>
      </c>
      <c r="AD94" s="9">
        <v>0.886656</v>
      </c>
      <c r="AE94" s="9" t="s">
        <v>85</v>
      </c>
      <c r="AF94" s="9" t="s">
        <v>85</v>
      </c>
      <c r="AG94" s="9">
        <v>0.896985</v>
      </c>
      <c r="AH94" s="9" t="s">
        <v>85</v>
      </c>
      <c r="AI94" s="9" t="s">
        <v>85</v>
      </c>
      <c r="AJ94" s="9" t="s">
        <v>85</v>
      </c>
      <c r="AK94" s="9" t="s">
        <v>85</v>
      </c>
      <c r="AL94" s="9" t="s">
        <v>85</v>
      </c>
      <c r="AM94" s="9" t="s">
        <v>85</v>
      </c>
      <c r="AN94" s="9" t="s">
        <v>85</v>
      </c>
      <c r="AO94" s="9" t="s">
        <v>85</v>
      </c>
      <c r="AP94" s="9">
        <v>0.882468</v>
      </c>
      <c r="AQ94" s="9" t="s">
        <v>85</v>
      </c>
      <c r="AR94" s="9" t="s">
        <v>85</v>
      </c>
      <c r="AS94" s="9">
        <v>0.852596</v>
      </c>
      <c r="AT94" s="9" t="s">
        <v>85</v>
      </c>
      <c r="AU94" s="9" t="s">
        <v>85</v>
      </c>
      <c r="AV94" s="9" t="s">
        <v>85</v>
      </c>
      <c r="AW94" s="9" t="s">
        <v>85</v>
      </c>
      <c r="AX94" s="9" t="s">
        <v>85</v>
      </c>
      <c r="AY94" s="9" t="s">
        <v>85</v>
      </c>
      <c r="AZ94" s="9" t="s">
        <v>85</v>
      </c>
      <c r="BA94" s="9" t="s">
        <v>85</v>
      </c>
      <c r="BB94" s="9" t="s">
        <v>85</v>
      </c>
      <c r="BC94" s="10" t="s">
        <v>85</v>
      </c>
      <c r="BD94" s="9" t="s">
        <v>85</v>
      </c>
      <c r="BE94" s="9" t="s">
        <v>85</v>
      </c>
      <c r="BF94" s="10" t="s">
        <v>85</v>
      </c>
      <c r="BG94" s="10" t="s">
        <v>85</v>
      </c>
      <c r="BH94" s="9" t="s">
        <v>85</v>
      </c>
      <c r="BI94" s="6"/>
      <c r="BJ94" s="6" t="str">
        <f t="shared" si="1"/>
        <v>10BoN_One_Acc</v>
      </c>
      <c r="BK94" s="6" t="str">
        <f t="shared" si="2"/>
        <v>10Bo_One_Acc</v>
      </c>
      <c r="BL94" s="6" t="str">
        <f t="shared" si="3"/>
        <v>12Bo_One_Acc</v>
      </c>
      <c r="BM94" s="6"/>
      <c r="BN94" s="6">
        <f t="shared" si="4"/>
        <v>10</v>
      </c>
      <c r="BO94" s="6"/>
      <c r="BP94" s="6"/>
      <c r="BQ94" s="6"/>
      <c r="BR94" s="6"/>
      <c r="BS94" s="6"/>
      <c r="BT94" s="6"/>
      <c r="BU94" s="6"/>
      <c r="BV94" s="6"/>
      <c r="BW94" s="6"/>
      <c r="BX94" s="6"/>
    </row>
    <row r="95" ht="15.75" customHeight="1">
      <c r="A95" s="1" t="s">
        <v>189</v>
      </c>
      <c r="B95" s="17">
        <v>152.0</v>
      </c>
      <c r="C95" s="17">
        <v>2.0</v>
      </c>
      <c r="D95" s="9" t="s">
        <v>85</v>
      </c>
      <c r="E95" s="9" t="s">
        <v>85</v>
      </c>
      <c r="F95" s="9">
        <v>0.892116</v>
      </c>
      <c r="G95" s="9" t="s">
        <v>85</v>
      </c>
      <c r="H95" s="9" t="s">
        <v>85</v>
      </c>
      <c r="I95" s="9">
        <v>0.892116</v>
      </c>
      <c r="J95" s="9" t="s">
        <v>85</v>
      </c>
      <c r="K95" s="9" t="s">
        <v>85</v>
      </c>
      <c r="L95" s="9" t="s">
        <v>85</v>
      </c>
      <c r="M95" s="9" t="s">
        <v>85</v>
      </c>
      <c r="N95" s="9" t="s">
        <v>85</v>
      </c>
      <c r="O95" s="9" t="s">
        <v>85</v>
      </c>
      <c r="P95" s="9" t="s">
        <v>85</v>
      </c>
      <c r="Q95" s="9" t="s">
        <v>85</v>
      </c>
      <c r="R95" s="9">
        <v>0.892116</v>
      </c>
      <c r="S95" s="9" t="s">
        <v>85</v>
      </c>
      <c r="T95" s="9" t="s">
        <v>85</v>
      </c>
      <c r="U95" s="9">
        <v>0.892116</v>
      </c>
      <c r="V95" s="9" t="s">
        <v>85</v>
      </c>
      <c r="W95" s="9" t="s">
        <v>85</v>
      </c>
      <c r="X95" s="9" t="s">
        <v>85</v>
      </c>
      <c r="Y95" s="9" t="s">
        <v>85</v>
      </c>
      <c r="Z95" s="9" t="s">
        <v>85</v>
      </c>
      <c r="AA95" s="9" t="s">
        <v>85</v>
      </c>
      <c r="AB95" s="10" t="s">
        <v>85</v>
      </c>
      <c r="AC95" s="10" t="s">
        <v>85</v>
      </c>
      <c r="AD95" s="9">
        <v>0.892116</v>
      </c>
      <c r="AE95" s="9" t="s">
        <v>85</v>
      </c>
      <c r="AF95" s="9" t="s">
        <v>85</v>
      </c>
      <c r="AG95" s="9">
        <v>0.892116</v>
      </c>
      <c r="AH95" s="9" t="s">
        <v>85</v>
      </c>
      <c r="AI95" s="9" t="s">
        <v>85</v>
      </c>
      <c r="AJ95" s="9" t="s">
        <v>85</v>
      </c>
      <c r="AK95" s="9" t="s">
        <v>85</v>
      </c>
      <c r="AL95" s="9" t="s">
        <v>85</v>
      </c>
      <c r="AM95" s="9" t="s">
        <v>85</v>
      </c>
      <c r="AN95" s="9" t="s">
        <v>85</v>
      </c>
      <c r="AO95" s="9" t="s">
        <v>85</v>
      </c>
      <c r="AP95" s="9">
        <v>0.892116</v>
      </c>
      <c r="AQ95" s="9" t="s">
        <v>85</v>
      </c>
      <c r="AR95" s="9" t="s">
        <v>85</v>
      </c>
      <c r="AS95" s="9">
        <v>0.892116</v>
      </c>
      <c r="AT95" s="9" t="s">
        <v>85</v>
      </c>
      <c r="AU95" s="9" t="s">
        <v>85</v>
      </c>
      <c r="AV95" s="9" t="s">
        <v>85</v>
      </c>
      <c r="AW95" s="9" t="s">
        <v>85</v>
      </c>
      <c r="AX95" s="9" t="s">
        <v>85</v>
      </c>
      <c r="AY95" s="9" t="s">
        <v>85</v>
      </c>
      <c r="AZ95" s="9" t="s">
        <v>85</v>
      </c>
      <c r="BA95" s="9" t="s">
        <v>85</v>
      </c>
      <c r="BB95" s="9" t="s">
        <v>85</v>
      </c>
      <c r="BC95" s="10" t="s">
        <v>85</v>
      </c>
      <c r="BD95" s="9" t="s">
        <v>85</v>
      </c>
      <c r="BE95" s="9" t="s">
        <v>85</v>
      </c>
      <c r="BF95" s="10" t="s">
        <v>85</v>
      </c>
      <c r="BG95" s="10" t="s">
        <v>85</v>
      </c>
      <c r="BH95" s="9" t="s">
        <v>85</v>
      </c>
      <c r="BI95" s="6"/>
      <c r="BJ95" s="6" t="str">
        <f t="shared" si="1"/>
        <v>5Bo_One_Acc</v>
      </c>
      <c r="BK95" s="6" t="str">
        <f t="shared" si="2"/>
        <v>5Bo_One_Acc</v>
      </c>
      <c r="BL95" s="6" t="str">
        <f t="shared" si="3"/>
        <v>5Bo_One_Acc</v>
      </c>
      <c r="BM95" s="6"/>
      <c r="BN95" s="6">
        <f t="shared" si="4"/>
        <v>5</v>
      </c>
      <c r="BO95" s="6"/>
      <c r="BP95" s="6"/>
      <c r="BQ95" s="6"/>
      <c r="BR95" s="6"/>
      <c r="BS95" s="6"/>
      <c r="BT95" s="6"/>
      <c r="BU95" s="6"/>
      <c r="BV95" s="6"/>
      <c r="BW95" s="6"/>
      <c r="BX95" s="6"/>
    </row>
    <row r="96" ht="15.75" customHeight="1">
      <c r="A96" s="1" t="s">
        <v>190</v>
      </c>
      <c r="B96" s="17">
        <v>234.0</v>
      </c>
      <c r="C96" s="17">
        <v>2.0</v>
      </c>
      <c r="D96" s="9" t="s">
        <v>85</v>
      </c>
      <c r="E96" s="9" t="s">
        <v>85</v>
      </c>
      <c r="F96" s="9">
        <v>0.5</v>
      </c>
      <c r="G96" s="9" t="s">
        <v>85</v>
      </c>
      <c r="H96" s="9" t="s">
        <v>85</v>
      </c>
      <c r="I96" s="9">
        <v>0.5</v>
      </c>
      <c r="J96" s="9" t="s">
        <v>85</v>
      </c>
      <c r="K96" s="9" t="s">
        <v>85</v>
      </c>
      <c r="L96" s="9" t="s">
        <v>85</v>
      </c>
      <c r="M96" s="9" t="s">
        <v>85</v>
      </c>
      <c r="N96" s="9" t="s">
        <v>85</v>
      </c>
      <c r="O96" s="9" t="s">
        <v>85</v>
      </c>
      <c r="P96" s="9" t="s">
        <v>85</v>
      </c>
      <c r="Q96" s="9" t="s">
        <v>85</v>
      </c>
      <c r="R96" s="9">
        <v>0.5</v>
      </c>
      <c r="S96" s="9" t="s">
        <v>85</v>
      </c>
      <c r="T96" s="9" t="s">
        <v>85</v>
      </c>
      <c r="U96" s="9">
        <v>0.444444</v>
      </c>
      <c r="V96" s="9" t="s">
        <v>85</v>
      </c>
      <c r="W96" s="9" t="s">
        <v>85</v>
      </c>
      <c r="X96" s="9" t="s">
        <v>85</v>
      </c>
      <c r="Y96" s="9" t="s">
        <v>85</v>
      </c>
      <c r="Z96" s="9" t="s">
        <v>85</v>
      </c>
      <c r="AA96" s="9" t="s">
        <v>85</v>
      </c>
      <c r="AB96" s="10" t="s">
        <v>85</v>
      </c>
      <c r="AC96" s="10" t="s">
        <v>85</v>
      </c>
      <c r="AD96" s="9">
        <v>0.5</v>
      </c>
      <c r="AE96" s="9" t="s">
        <v>85</v>
      </c>
      <c r="AF96" s="9" t="s">
        <v>85</v>
      </c>
      <c r="AG96" s="9">
        <v>0.5</v>
      </c>
      <c r="AH96" s="9" t="s">
        <v>85</v>
      </c>
      <c r="AI96" s="9" t="s">
        <v>85</v>
      </c>
      <c r="AJ96" s="9" t="s">
        <v>85</v>
      </c>
      <c r="AK96" s="9" t="s">
        <v>85</v>
      </c>
      <c r="AL96" s="9" t="s">
        <v>85</v>
      </c>
      <c r="AM96" s="9" t="s">
        <v>85</v>
      </c>
      <c r="AN96" s="9" t="s">
        <v>85</v>
      </c>
      <c r="AO96" s="9" t="s">
        <v>85</v>
      </c>
      <c r="AP96" s="9">
        <v>0.5</v>
      </c>
      <c r="AQ96" s="9" t="s">
        <v>85</v>
      </c>
      <c r="AR96" s="9" t="s">
        <v>85</v>
      </c>
      <c r="AS96" s="9">
        <v>0.5</v>
      </c>
      <c r="AT96" s="9" t="s">
        <v>85</v>
      </c>
      <c r="AU96" s="9" t="s">
        <v>85</v>
      </c>
      <c r="AV96" s="9" t="s">
        <v>85</v>
      </c>
      <c r="AW96" s="9" t="s">
        <v>85</v>
      </c>
      <c r="AX96" s="9" t="s">
        <v>85</v>
      </c>
      <c r="AY96" s="9" t="s">
        <v>85</v>
      </c>
      <c r="AZ96" s="9" t="s">
        <v>85</v>
      </c>
      <c r="BA96" s="9" t="s">
        <v>85</v>
      </c>
      <c r="BB96" s="9" t="s">
        <v>85</v>
      </c>
      <c r="BC96" s="10" t="s">
        <v>85</v>
      </c>
      <c r="BD96" s="9" t="s">
        <v>85</v>
      </c>
      <c r="BE96" s="9" t="s">
        <v>85</v>
      </c>
      <c r="BF96" s="10" t="s">
        <v>85</v>
      </c>
      <c r="BG96" s="10" t="s">
        <v>85</v>
      </c>
      <c r="BH96" s="9" t="s">
        <v>85</v>
      </c>
      <c r="BI96" s="6"/>
      <c r="BJ96" s="6" t="str">
        <f t="shared" si="1"/>
        <v>5Bo_One_Acc</v>
      </c>
      <c r="BK96" s="6" t="str">
        <f t="shared" si="2"/>
        <v>5Bo_One_Acc</v>
      </c>
      <c r="BL96" s="6" t="str">
        <f t="shared" si="3"/>
        <v>5Bo_One_Acc</v>
      </c>
      <c r="BM96" s="6"/>
      <c r="BN96" s="6">
        <f t="shared" si="4"/>
        <v>5</v>
      </c>
      <c r="BO96" s="6"/>
      <c r="BP96" s="6"/>
      <c r="BQ96" s="6"/>
      <c r="BR96" s="6"/>
      <c r="BS96" s="6"/>
      <c r="BT96" s="6"/>
      <c r="BU96" s="6"/>
      <c r="BV96" s="6"/>
      <c r="BW96" s="6"/>
      <c r="BX96" s="6"/>
    </row>
    <row r="97" ht="15.75" customHeight="1">
      <c r="A97" s="1" t="s">
        <v>191</v>
      </c>
      <c r="B97" s="17">
        <v>270.0</v>
      </c>
      <c r="C97" s="17">
        <v>25.0</v>
      </c>
      <c r="D97" s="9" t="s">
        <v>85</v>
      </c>
      <c r="E97" s="9" t="s">
        <v>85</v>
      </c>
      <c r="F97" s="9">
        <v>0.423197</v>
      </c>
      <c r="G97" s="9" t="s">
        <v>85</v>
      </c>
      <c r="H97" s="9" t="s">
        <v>85</v>
      </c>
      <c r="I97" s="9">
        <v>0.219436</v>
      </c>
      <c r="J97" s="9" t="s">
        <v>85</v>
      </c>
      <c r="K97" s="9" t="s">
        <v>85</v>
      </c>
      <c r="L97" s="9" t="s">
        <v>85</v>
      </c>
      <c r="M97" s="9" t="s">
        <v>85</v>
      </c>
      <c r="N97" s="9" t="s">
        <v>85</v>
      </c>
      <c r="O97" s="9" t="s">
        <v>85</v>
      </c>
      <c r="P97" s="9" t="s">
        <v>85</v>
      </c>
      <c r="Q97" s="9" t="s">
        <v>85</v>
      </c>
      <c r="R97" s="9">
        <v>0.478056</v>
      </c>
      <c r="S97" s="9" t="s">
        <v>85</v>
      </c>
      <c r="T97" s="9" t="s">
        <v>85</v>
      </c>
      <c r="U97" s="9">
        <v>0.473354</v>
      </c>
      <c r="V97" s="9" t="s">
        <v>85</v>
      </c>
      <c r="W97" s="9" t="s">
        <v>85</v>
      </c>
      <c r="X97" s="9" t="s">
        <v>85</v>
      </c>
      <c r="Y97" s="9" t="s">
        <v>85</v>
      </c>
      <c r="Z97" s="9" t="s">
        <v>85</v>
      </c>
      <c r="AA97" s="9" t="s">
        <v>85</v>
      </c>
      <c r="AB97" s="10" t="s">
        <v>85</v>
      </c>
      <c r="AC97" s="10" t="s">
        <v>85</v>
      </c>
      <c r="AD97" s="9">
        <v>0.420063</v>
      </c>
      <c r="AE97" s="9" t="s">
        <v>85</v>
      </c>
      <c r="AF97" s="9" t="s">
        <v>85</v>
      </c>
      <c r="AG97" s="9">
        <v>0.474922</v>
      </c>
      <c r="AH97" s="9" t="s">
        <v>85</v>
      </c>
      <c r="AI97" s="9" t="s">
        <v>85</v>
      </c>
      <c r="AJ97" s="9" t="s">
        <v>85</v>
      </c>
      <c r="AK97" s="9" t="s">
        <v>85</v>
      </c>
      <c r="AL97" s="9" t="s">
        <v>85</v>
      </c>
      <c r="AM97" s="9" t="s">
        <v>85</v>
      </c>
      <c r="AN97" s="9" t="s">
        <v>85</v>
      </c>
      <c r="AO97" s="9" t="s">
        <v>85</v>
      </c>
      <c r="AP97" s="9">
        <v>0.470219</v>
      </c>
      <c r="AQ97" s="9" t="s">
        <v>85</v>
      </c>
      <c r="AR97" s="9" t="s">
        <v>85</v>
      </c>
      <c r="AS97" s="9">
        <v>0.487461</v>
      </c>
      <c r="AT97" s="9" t="s">
        <v>85</v>
      </c>
      <c r="AU97" s="9" t="s">
        <v>85</v>
      </c>
      <c r="AV97" s="9" t="s">
        <v>85</v>
      </c>
      <c r="AW97" s="9" t="s">
        <v>85</v>
      </c>
      <c r="AX97" s="9" t="s">
        <v>85</v>
      </c>
      <c r="AY97" s="9" t="s">
        <v>85</v>
      </c>
      <c r="AZ97" s="9" t="s">
        <v>85</v>
      </c>
      <c r="BA97" s="9" t="s">
        <v>85</v>
      </c>
      <c r="BB97" s="9" t="s">
        <v>85</v>
      </c>
      <c r="BC97" s="10" t="s">
        <v>85</v>
      </c>
      <c r="BD97" s="9" t="s">
        <v>85</v>
      </c>
      <c r="BE97" s="9" t="s">
        <v>85</v>
      </c>
      <c r="BF97" s="10" t="s">
        <v>85</v>
      </c>
      <c r="BG97" s="10" t="s">
        <v>85</v>
      </c>
      <c r="BH97" s="9" t="s">
        <v>85</v>
      </c>
      <c r="BI97" s="6"/>
      <c r="BJ97" s="6" t="str">
        <f t="shared" si="1"/>
        <v>12BoN_One_Acc</v>
      </c>
      <c r="BK97" s="6" t="str">
        <f t="shared" si="2"/>
        <v>8Bo_One_Acc</v>
      </c>
      <c r="BL97" s="6" t="str">
        <f t="shared" si="3"/>
        <v>10BoN_One_Acc</v>
      </c>
      <c r="BM97" s="6"/>
      <c r="BN97" s="6">
        <f t="shared" si="4"/>
        <v>12</v>
      </c>
      <c r="BO97" s="6"/>
      <c r="BP97" s="6"/>
      <c r="BQ97" s="6"/>
      <c r="BR97" s="6"/>
      <c r="BS97" s="6"/>
      <c r="BT97" s="6"/>
      <c r="BU97" s="6"/>
      <c r="BV97" s="6"/>
      <c r="BW97" s="6"/>
      <c r="BX97" s="6"/>
    </row>
    <row r="98" ht="15.75" customHeight="1">
      <c r="A98" s="1" t="s">
        <v>192</v>
      </c>
      <c r="B98" s="17">
        <v>900.0</v>
      </c>
      <c r="C98" s="17">
        <v>5.0</v>
      </c>
      <c r="D98" s="9" t="s">
        <v>85</v>
      </c>
      <c r="E98" s="9" t="s">
        <v>85</v>
      </c>
      <c r="F98" s="9">
        <v>0.493506</v>
      </c>
      <c r="G98" s="9" t="s">
        <v>85</v>
      </c>
      <c r="H98" s="9" t="s">
        <v>85</v>
      </c>
      <c r="I98" s="9">
        <v>0.428571</v>
      </c>
      <c r="J98" s="9" t="s">
        <v>85</v>
      </c>
      <c r="K98" s="9" t="s">
        <v>85</v>
      </c>
      <c r="L98" s="9" t="s">
        <v>85</v>
      </c>
      <c r="M98" s="9" t="s">
        <v>85</v>
      </c>
      <c r="N98" s="9" t="s">
        <v>85</v>
      </c>
      <c r="O98" s="9" t="s">
        <v>85</v>
      </c>
      <c r="P98" s="9" t="s">
        <v>85</v>
      </c>
      <c r="Q98" s="9" t="s">
        <v>85</v>
      </c>
      <c r="R98" s="9">
        <v>0.454545</v>
      </c>
      <c r="S98" s="9" t="s">
        <v>85</v>
      </c>
      <c r="T98" s="9" t="s">
        <v>85</v>
      </c>
      <c r="U98" s="9">
        <v>0.519481</v>
      </c>
      <c r="V98" s="9" t="s">
        <v>85</v>
      </c>
      <c r="W98" s="9" t="s">
        <v>85</v>
      </c>
      <c r="X98" s="9" t="s">
        <v>85</v>
      </c>
      <c r="Y98" s="9" t="s">
        <v>85</v>
      </c>
      <c r="Z98" s="9" t="s">
        <v>85</v>
      </c>
      <c r="AA98" s="9" t="s">
        <v>85</v>
      </c>
      <c r="AB98" s="10" t="s">
        <v>85</v>
      </c>
      <c r="AC98" s="10" t="s">
        <v>85</v>
      </c>
      <c r="AD98" s="9">
        <v>0.467532</v>
      </c>
      <c r="AE98" s="9" t="s">
        <v>85</v>
      </c>
      <c r="AF98" s="9" t="s">
        <v>85</v>
      </c>
      <c r="AG98" s="9">
        <v>0.454545</v>
      </c>
      <c r="AH98" s="9" t="s">
        <v>85</v>
      </c>
      <c r="AI98" s="9" t="s">
        <v>85</v>
      </c>
      <c r="AJ98" s="9" t="s">
        <v>85</v>
      </c>
      <c r="AK98" s="9" t="s">
        <v>85</v>
      </c>
      <c r="AL98" s="9" t="s">
        <v>85</v>
      </c>
      <c r="AM98" s="9" t="s">
        <v>85</v>
      </c>
      <c r="AN98" s="9" t="s">
        <v>85</v>
      </c>
      <c r="AO98" s="9" t="s">
        <v>85</v>
      </c>
      <c r="AP98" s="9">
        <v>0.61039</v>
      </c>
      <c r="AQ98" s="9" t="s">
        <v>85</v>
      </c>
      <c r="AR98" s="9" t="s">
        <v>85</v>
      </c>
      <c r="AS98" s="9">
        <v>0.584416</v>
      </c>
      <c r="AT98" s="9" t="s">
        <v>85</v>
      </c>
      <c r="AU98" s="9" t="s">
        <v>85</v>
      </c>
      <c r="AV98" s="9" t="s">
        <v>85</v>
      </c>
      <c r="AW98" s="9" t="s">
        <v>85</v>
      </c>
      <c r="AX98" s="9" t="s">
        <v>85</v>
      </c>
      <c r="AY98" s="9" t="s">
        <v>85</v>
      </c>
      <c r="AZ98" s="9" t="s">
        <v>85</v>
      </c>
      <c r="BA98" s="9" t="s">
        <v>85</v>
      </c>
      <c r="BB98" s="9" t="s">
        <v>85</v>
      </c>
      <c r="BC98" s="10" t="s">
        <v>85</v>
      </c>
      <c r="BD98" s="9" t="s">
        <v>85</v>
      </c>
      <c r="BE98" s="9" t="s">
        <v>85</v>
      </c>
      <c r="BF98" s="10" t="s">
        <v>85</v>
      </c>
      <c r="BG98" s="10" t="s">
        <v>85</v>
      </c>
      <c r="BH98" s="9" t="s">
        <v>85</v>
      </c>
      <c r="BI98" s="6"/>
      <c r="BJ98" s="6" t="str">
        <f t="shared" si="1"/>
        <v>12Bo_One_Acc</v>
      </c>
      <c r="BK98" s="6" t="str">
        <f t="shared" si="2"/>
        <v>12BoN_One_Acc</v>
      </c>
      <c r="BL98" s="6" t="str">
        <f t="shared" si="3"/>
        <v>8BoN_One_Acc</v>
      </c>
      <c r="BM98" s="6"/>
      <c r="BN98" s="6">
        <f t="shared" si="4"/>
        <v>12</v>
      </c>
      <c r="BO98" s="6"/>
      <c r="BP98" s="6"/>
      <c r="BQ98" s="6"/>
      <c r="BR98" s="6"/>
      <c r="BS98" s="6"/>
      <c r="BT98" s="6"/>
      <c r="BU98" s="6"/>
      <c r="BV98" s="6"/>
      <c r="BW98" s="6"/>
      <c r="BX98" s="6"/>
    </row>
    <row r="99" ht="15.75" customHeight="1">
      <c r="A99" s="1" t="s">
        <v>193</v>
      </c>
      <c r="B99" s="17">
        <v>900.0</v>
      </c>
      <c r="C99" s="17">
        <v>2.0</v>
      </c>
      <c r="D99" s="9" t="s">
        <v>85</v>
      </c>
      <c r="E99" s="9" t="s">
        <v>85</v>
      </c>
      <c r="F99" s="9">
        <v>0.61039</v>
      </c>
      <c r="G99" s="9" t="s">
        <v>85</v>
      </c>
      <c r="H99" s="9" t="s">
        <v>85</v>
      </c>
      <c r="I99" s="9">
        <v>0.584416</v>
      </c>
      <c r="J99" s="9" t="s">
        <v>85</v>
      </c>
      <c r="K99" s="9" t="s">
        <v>85</v>
      </c>
      <c r="L99" s="9" t="s">
        <v>85</v>
      </c>
      <c r="M99" s="9" t="s">
        <v>85</v>
      </c>
      <c r="N99" s="9" t="s">
        <v>85</v>
      </c>
      <c r="O99" s="9" t="s">
        <v>85</v>
      </c>
      <c r="P99" s="9" t="s">
        <v>85</v>
      </c>
      <c r="Q99" s="9" t="s">
        <v>85</v>
      </c>
      <c r="R99" s="9">
        <v>0.597403</v>
      </c>
      <c r="S99" s="9" t="s">
        <v>85</v>
      </c>
      <c r="T99" s="9" t="s">
        <v>85</v>
      </c>
      <c r="U99" s="9">
        <v>0.571429</v>
      </c>
      <c r="V99" s="9" t="s">
        <v>85</v>
      </c>
      <c r="W99" s="9" t="s">
        <v>85</v>
      </c>
      <c r="X99" s="9" t="s">
        <v>85</v>
      </c>
      <c r="Y99" s="9" t="s">
        <v>85</v>
      </c>
      <c r="Z99" s="9" t="s">
        <v>85</v>
      </c>
      <c r="AA99" s="9" t="s">
        <v>85</v>
      </c>
      <c r="AB99" s="10" t="s">
        <v>85</v>
      </c>
      <c r="AC99" s="10" t="s">
        <v>85</v>
      </c>
      <c r="AD99" s="9">
        <v>0.649351</v>
      </c>
      <c r="AE99" s="9" t="s">
        <v>85</v>
      </c>
      <c r="AF99" s="9" t="s">
        <v>85</v>
      </c>
      <c r="AG99" s="9">
        <v>0.649351</v>
      </c>
      <c r="AH99" s="9" t="s">
        <v>85</v>
      </c>
      <c r="AI99" s="9" t="s">
        <v>85</v>
      </c>
      <c r="AJ99" s="9" t="s">
        <v>85</v>
      </c>
      <c r="AK99" s="9" t="s">
        <v>85</v>
      </c>
      <c r="AL99" s="9" t="s">
        <v>85</v>
      </c>
      <c r="AM99" s="9" t="s">
        <v>85</v>
      </c>
      <c r="AN99" s="9" t="s">
        <v>85</v>
      </c>
      <c r="AO99" s="9" t="s">
        <v>85</v>
      </c>
      <c r="AP99" s="9">
        <v>0.688312</v>
      </c>
      <c r="AQ99" s="9" t="s">
        <v>85</v>
      </c>
      <c r="AR99" s="9" t="s">
        <v>85</v>
      </c>
      <c r="AS99" s="9">
        <v>0.662338</v>
      </c>
      <c r="AT99" s="9" t="s">
        <v>85</v>
      </c>
      <c r="AU99" s="9" t="s">
        <v>85</v>
      </c>
      <c r="AV99" s="9" t="s">
        <v>85</v>
      </c>
      <c r="AW99" s="9" t="s">
        <v>85</v>
      </c>
      <c r="AX99" s="9" t="s">
        <v>85</v>
      </c>
      <c r="AY99" s="9" t="s">
        <v>85</v>
      </c>
      <c r="AZ99" s="9" t="s">
        <v>85</v>
      </c>
      <c r="BA99" s="9" t="s">
        <v>85</v>
      </c>
      <c r="BB99" s="9" t="s">
        <v>85</v>
      </c>
      <c r="BC99" s="10" t="s">
        <v>85</v>
      </c>
      <c r="BD99" s="9" t="s">
        <v>85</v>
      </c>
      <c r="BE99" s="9" t="s">
        <v>85</v>
      </c>
      <c r="BF99" s="10" t="s">
        <v>85</v>
      </c>
      <c r="BG99" s="10" t="s">
        <v>85</v>
      </c>
      <c r="BH99" s="9" t="s">
        <v>85</v>
      </c>
      <c r="BI99" s="6"/>
      <c r="BJ99" s="6" t="str">
        <f t="shared" si="1"/>
        <v>12Bo_One_Acc</v>
      </c>
      <c r="BK99" s="6" t="str">
        <f t="shared" si="2"/>
        <v>12BoN_One_Acc</v>
      </c>
      <c r="BL99" s="6" t="str">
        <f t="shared" si="3"/>
        <v>10Bo_One_Acc</v>
      </c>
      <c r="BM99" s="6"/>
      <c r="BN99" s="6">
        <f t="shared" si="4"/>
        <v>12</v>
      </c>
      <c r="BO99" s="6"/>
      <c r="BP99" s="6"/>
      <c r="BQ99" s="6"/>
      <c r="BR99" s="6"/>
      <c r="BS99" s="6"/>
      <c r="BT99" s="6"/>
      <c r="BU99" s="6"/>
      <c r="BV99" s="6"/>
      <c r="BW99" s="6"/>
      <c r="BX99" s="6"/>
    </row>
    <row r="100" ht="15.75" customHeight="1">
      <c r="A100" s="1" t="s">
        <v>194</v>
      </c>
      <c r="B100" s="17">
        <v>426.0</v>
      </c>
      <c r="C100" s="17">
        <v>2.0</v>
      </c>
      <c r="D100" s="9" t="s">
        <v>85</v>
      </c>
      <c r="E100" s="9" t="s">
        <v>85</v>
      </c>
      <c r="F100" s="9">
        <v>0.709667</v>
      </c>
      <c r="G100" s="9" t="s">
        <v>85</v>
      </c>
      <c r="H100" s="9" t="s">
        <v>85</v>
      </c>
      <c r="I100" s="9">
        <v>0.535667</v>
      </c>
      <c r="J100" s="9" t="s">
        <v>85</v>
      </c>
      <c r="K100" s="9" t="s">
        <v>85</v>
      </c>
      <c r="L100" s="9" t="s">
        <v>85</v>
      </c>
      <c r="M100" s="9" t="s">
        <v>85</v>
      </c>
      <c r="N100" s="9" t="s">
        <v>85</v>
      </c>
      <c r="O100" s="9" t="s">
        <v>85</v>
      </c>
      <c r="P100" s="9" t="s">
        <v>85</v>
      </c>
      <c r="Q100" s="9" t="s">
        <v>85</v>
      </c>
      <c r="R100" s="9">
        <v>0.751</v>
      </c>
      <c r="S100" s="9" t="s">
        <v>85</v>
      </c>
      <c r="T100" s="9" t="s">
        <v>85</v>
      </c>
      <c r="U100" s="9">
        <v>0.746333</v>
      </c>
      <c r="V100" s="9" t="s">
        <v>85</v>
      </c>
      <c r="W100" s="9" t="s">
        <v>85</v>
      </c>
      <c r="X100" s="9" t="s">
        <v>85</v>
      </c>
      <c r="Y100" s="9" t="s">
        <v>85</v>
      </c>
      <c r="Z100" s="9" t="s">
        <v>85</v>
      </c>
      <c r="AA100" s="9" t="s">
        <v>85</v>
      </c>
      <c r="AB100" s="10" t="s">
        <v>85</v>
      </c>
      <c r="AC100" s="10" t="s">
        <v>85</v>
      </c>
      <c r="AD100" s="9">
        <v>0.763</v>
      </c>
      <c r="AE100" s="9" t="s">
        <v>85</v>
      </c>
      <c r="AF100" s="9" t="s">
        <v>85</v>
      </c>
      <c r="AG100" s="9">
        <v>0.768</v>
      </c>
      <c r="AH100" s="9" t="s">
        <v>85</v>
      </c>
      <c r="AI100" s="9" t="s">
        <v>85</v>
      </c>
      <c r="AJ100" s="9" t="s">
        <v>85</v>
      </c>
      <c r="AK100" s="9" t="s">
        <v>85</v>
      </c>
      <c r="AL100" s="9" t="s">
        <v>85</v>
      </c>
      <c r="AM100" s="9" t="s">
        <v>85</v>
      </c>
      <c r="AN100" s="9" t="s">
        <v>85</v>
      </c>
      <c r="AO100" s="9" t="s">
        <v>85</v>
      </c>
      <c r="AP100" s="9">
        <v>0.778333</v>
      </c>
      <c r="AQ100" s="9" t="s">
        <v>85</v>
      </c>
      <c r="AR100" s="9" t="s">
        <v>85</v>
      </c>
      <c r="AS100" s="9">
        <v>0.775</v>
      </c>
      <c r="AT100" s="9" t="s">
        <v>85</v>
      </c>
      <c r="AU100" s="9" t="s">
        <v>85</v>
      </c>
      <c r="AV100" s="9" t="s">
        <v>85</v>
      </c>
      <c r="AW100" s="9" t="s">
        <v>85</v>
      </c>
      <c r="AX100" s="9" t="s">
        <v>85</v>
      </c>
      <c r="AY100" s="9" t="s">
        <v>85</v>
      </c>
      <c r="AZ100" s="9" t="s">
        <v>85</v>
      </c>
      <c r="BA100" s="9" t="s">
        <v>85</v>
      </c>
      <c r="BB100" s="9" t="s">
        <v>85</v>
      </c>
      <c r="BC100" s="10" t="s">
        <v>85</v>
      </c>
      <c r="BD100" s="9" t="s">
        <v>85</v>
      </c>
      <c r="BE100" s="9" t="s">
        <v>85</v>
      </c>
      <c r="BF100" s="10" t="s">
        <v>85</v>
      </c>
      <c r="BG100" s="10" t="s">
        <v>85</v>
      </c>
      <c r="BH100" s="9" t="s">
        <v>85</v>
      </c>
      <c r="BI100" s="6"/>
      <c r="BJ100" s="6" t="str">
        <f t="shared" si="1"/>
        <v>12Bo_One_Acc</v>
      </c>
      <c r="BK100" s="6" t="str">
        <f t="shared" si="2"/>
        <v>12BoN_One_Acc</v>
      </c>
      <c r="BL100" s="6" t="str">
        <f t="shared" si="3"/>
        <v>10BoN_One_Acc</v>
      </c>
      <c r="BM100" s="6"/>
      <c r="BN100" s="6">
        <f t="shared" si="4"/>
        <v>12</v>
      </c>
      <c r="BO100" s="6"/>
      <c r="BP100" s="6"/>
      <c r="BQ100" s="6"/>
      <c r="BR100" s="6"/>
      <c r="BS100" s="6"/>
      <c r="BT100" s="6"/>
      <c r="BU100" s="6"/>
      <c r="BV100" s="6"/>
      <c r="BW100" s="6"/>
      <c r="BX100" s="6"/>
    </row>
    <row r="101" ht="15.75" customHeight="1">
      <c r="A101" s="15"/>
      <c r="B101" s="15"/>
      <c r="C101" s="15"/>
      <c r="J101" s="1"/>
      <c r="K101" s="1"/>
      <c r="L101" s="1"/>
      <c r="P101" s="1"/>
      <c r="Q101" s="1"/>
      <c r="R101" s="1"/>
      <c r="S101" s="1"/>
      <c r="T101" s="1"/>
      <c r="U101" s="1"/>
      <c r="X101" s="1"/>
      <c r="AB101" s="1"/>
      <c r="AC101" s="1"/>
      <c r="AD101" s="1"/>
      <c r="AE101" s="1"/>
      <c r="AF101" s="1"/>
      <c r="AH101" s="1"/>
      <c r="AI101" s="1"/>
      <c r="AJ101" s="1"/>
      <c r="AN101" s="1"/>
      <c r="AO101" s="1"/>
      <c r="AP101" s="1"/>
      <c r="AQ101" s="1"/>
      <c r="AR101" s="1"/>
      <c r="AS101" s="1"/>
      <c r="AV101" s="1"/>
      <c r="AZ101" s="1"/>
      <c r="BA101" s="1"/>
      <c r="BB101" s="1"/>
      <c r="BC101" s="1"/>
      <c r="BD101" s="1"/>
    </row>
    <row r="102" ht="15.75" customHeight="1">
      <c r="A102" s="15"/>
      <c r="B102" s="15"/>
      <c r="C102" s="15"/>
      <c r="J102" s="1"/>
      <c r="K102" s="1"/>
      <c r="L102" s="1"/>
      <c r="M102" s="1"/>
      <c r="N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ht="15.75" customHeight="1">
      <c r="A103" s="15"/>
      <c r="B103" s="15"/>
      <c r="C103" s="15"/>
      <c r="J103" s="1"/>
      <c r="K103" s="1"/>
      <c r="L103" s="1"/>
      <c r="M103" s="1"/>
      <c r="N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ht="15.75" customHeight="1">
      <c r="A104" s="15"/>
      <c r="B104" s="15"/>
      <c r="C104" s="15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ht="15.75" customHeight="1">
      <c r="A105" s="15"/>
      <c r="B105" s="15"/>
      <c r="C105" s="15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ht="15.75" customHeight="1">
      <c r="A106" s="15"/>
      <c r="B106" s="15"/>
      <c r="C106" s="15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ht="15.75" customHeight="1">
      <c r="C107" s="15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ht="15.75" customHeight="1">
      <c r="C108" s="15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ht="15.75" customHeight="1">
      <c r="C109" s="15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ht="15.75" customHeight="1">
      <c r="C110" s="15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ht="15.75" customHeight="1">
      <c r="C111" s="15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ht="15.75" customHeight="1">
      <c r="C112" s="15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ht="15.75" customHeight="1">
      <c r="C113" s="15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ht="15.75" customHeight="1">
      <c r="C114" s="15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ht="15.75" customHeight="1">
      <c r="C115" s="15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ht="15.75" customHeight="1">
      <c r="C116" s="15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ht="15.75" customHeight="1">
      <c r="C117" s="15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ht="15.75" customHeight="1">
      <c r="C118" s="15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ht="15.75" customHeight="1">
      <c r="C119" s="15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ht="15.75" customHeight="1">
      <c r="C120" s="15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ht="15.75" customHeight="1">
      <c r="C121" s="15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ht="15.75" customHeight="1">
      <c r="C122" s="15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ht="15.75" customHeight="1">
      <c r="C123" s="15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ht="15.75" customHeight="1">
      <c r="C124" s="15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ht="15.75" customHeight="1">
      <c r="C125" s="15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ht="15.75" customHeight="1">
      <c r="C126" s="15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ht="15.75" customHeight="1">
      <c r="C127" s="15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ht="15.75" customHeight="1">
      <c r="C128" s="15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ht="15.75" customHeight="1">
      <c r="C129" s="15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ht="15.75" customHeight="1">
      <c r="C130" s="15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ht="15.75" customHeight="1">
      <c r="C131" s="15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ht="15.75" customHeight="1">
      <c r="C132" s="15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ht="15.75" customHeight="1">
      <c r="C133" s="15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ht="15.75" customHeight="1">
      <c r="C134" s="15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ht="15.75" customHeight="1">
      <c r="C135" s="15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ht="15.75" customHeight="1">
      <c r="C136" s="15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ht="15.75" customHeight="1">
      <c r="C137" s="15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ht="15.75" customHeight="1">
      <c r="C138" s="15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ht="15.75" customHeight="1">
      <c r="C139" s="15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ht="15.75" customHeight="1">
      <c r="C140" s="15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ht="15.75" customHeight="1">
      <c r="C141" s="15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ht="15.75" customHeight="1">
      <c r="C142" s="15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ht="15.75" customHeight="1">
      <c r="C143" s="15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ht="15.75" customHeight="1">
      <c r="C144" s="15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ht="15.75" customHeight="1">
      <c r="C145" s="15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ht="15.75" customHeight="1">
      <c r="C146" s="15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ht="15.75" customHeight="1">
      <c r="C147" s="15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ht="15.75" customHeight="1">
      <c r="C148" s="15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ht="15.75" customHeight="1">
      <c r="C149" s="15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ht="15.75" customHeight="1">
      <c r="C150" s="15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ht="15.75" customHeight="1">
      <c r="C151" s="15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ht="15.75" customHeight="1">
      <c r="C152" s="15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ht="15.75" customHeight="1">
      <c r="C153" s="15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ht="15.75" customHeight="1">
      <c r="C154" s="15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ht="15.75" customHeight="1">
      <c r="C155" s="15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ht="15.75" customHeight="1">
      <c r="C156" s="15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ht="15.75" customHeight="1">
      <c r="C157" s="15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ht="15.75" customHeight="1">
      <c r="C158" s="15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ht="15.75" customHeight="1">
      <c r="C159" s="15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ht="15.75" customHeight="1">
      <c r="C160" s="15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ht="15.75" customHeight="1">
      <c r="C161" s="15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ht="15.75" customHeight="1">
      <c r="C162" s="15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ht="15.75" customHeight="1">
      <c r="C163" s="15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ht="15.75" customHeight="1">
      <c r="C164" s="15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ht="15.75" customHeight="1">
      <c r="C165" s="15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ht="15.75" customHeight="1">
      <c r="C166" s="15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ht="15.75" customHeight="1">
      <c r="C167" s="15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ht="15.75" customHeight="1">
      <c r="C168" s="15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ht="15.75" customHeight="1">
      <c r="C169" s="15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ht="15.75" customHeight="1">
      <c r="C170" s="15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ht="15.75" customHeight="1">
      <c r="C171" s="15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ht="15.75" customHeight="1">
      <c r="C172" s="15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ht="15.75" customHeight="1">
      <c r="C173" s="15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ht="15.75" customHeight="1">
      <c r="C174" s="15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ht="15.75" customHeight="1">
      <c r="C175" s="15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ht="15.75" customHeight="1">
      <c r="C176" s="15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ht="15.75" customHeight="1">
      <c r="C177" s="15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ht="15.75" customHeight="1">
      <c r="C178" s="15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ht="15.75" customHeight="1">
      <c r="C179" s="15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ht="15.75" customHeight="1">
      <c r="C180" s="15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ht="15.75" customHeight="1">
      <c r="C181" s="15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ht="15.75" customHeight="1">
      <c r="C182" s="15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ht="15.75" customHeight="1">
      <c r="C183" s="15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ht="15.75" customHeight="1">
      <c r="C184" s="15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ht="15.75" customHeight="1">
      <c r="C185" s="15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ht="15.75" customHeight="1">
      <c r="C186" s="15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ht="15.75" customHeight="1">
      <c r="C187" s="15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ht="15.75" customHeight="1">
      <c r="C188" s="15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ht="15.75" customHeight="1">
      <c r="C189" s="15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ht="15.75" customHeight="1">
      <c r="C190" s="15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ht="15.75" customHeight="1">
      <c r="C191" s="15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ht="15.75" customHeight="1">
      <c r="C192" s="15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ht="15.75" customHeight="1">
      <c r="C193" s="15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ht="15.75" customHeight="1">
      <c r="C194" s="15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ht="15.75" customHeight="1">
      <c r="C195" s="15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ht="15.75" customHeight="1">
      <c r="C196" s="15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ht="15.75" customHeight="1">
      <c r="C197" s="15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ht="15.75" customHeight="1">
      <c r="C198" s="15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ht="15.75" customHeight="1">
      <c r="C199" s="15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ht="15.75" customHeight="1">
      <c r="C200" s="15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ht="15.75" customHeight="1">
      <c r="C201" s="15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ht="15.75" customHeight="1">
      <c r="C202" s="15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ht="15.75" customHeight="1">
      <c r="C203" s="15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ht="15.75" customHeight="1">
      <c r="C204" s="15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ht="15.75" customHeight="1">
      <c r="C205" s="15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ht="15.75" customHeight="1">
      <c r="C206" s="15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ht="15.75" customHeight="1">
      <c r="C207" s="15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ht="15.75" customHeight="1">
      <c r="C208" s="15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ht="15.75" customHeight="1">
      <c r="C209" s="15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ht="15.75" customHeight="1">
      <c r="C210" s="15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ht="15.75" customHeight="1">
      <c r="C211" s="15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ht="15.75" customHeight="1">
      <c r="C212" s="15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ht="15.75" customHeight="1">
      <c r="C213" s="15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ht="15.75" customHeight="1">
      <c r="C214" s="15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ht="15.75" customHeight="1">
      <c r="C215" s="15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ht="15.75" customHeight="1">
      <c r="C216" s="15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ht="15.75" customHeight="1">
      <c r="C217" s="15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ht="15.75" customHeight="1">
      <c r="C218" s="15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ht="15.75" customHeight="1">
      <c r="C219" s="15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ht="15.75" customHeight="1">
      <c r="C220" s="15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ht="15.75" customHeight="1">
      <c r="C221" s="15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ht="15.75" customHeight="1">
      <c r="C222" s="15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ht="15.75" customHeight="1">
      <c r="C223" s="15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ht="15.75" customHeight="1">
      <c r="C224" s="15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ht="15.75" customHeight="1">
      <c r="C225" s="15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ht="15.75" customHeight="1">
      <c r="C226" s="15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ht="15.75" customHeight="1">
      <c r="C227" s="15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ht="15.75" customHeight="1">
      <c r="C228" s="15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ht="15.75" customHeight="1">
      <c r="C229" s="15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ht="15.75" customHeight="1">
      <c r="C230" s="15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ht="15.75" customHeight="1">
      <c r="C231" s="15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ht="15.75" customHeight="1">
      <c r="C232" s="15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ht="15.75" customHeight="1">
      <c r="C233" s="15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ht="15.75" customHeight="1">
      <c r="C234" s="15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ht="15.75" customHeight="1">
      <c r="C235" s="15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ht="15.75" customHeight="1">
      <c r="C236" s="15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ht="15.75" customHeight="1">
      <c r="C237" s="15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ht="15.75" customHeight="1">
      <c r="C238" s="15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ht="15.75" customHeight="1">
      <c r="C239" s="15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ht="15.75" customHeight="1">
      <c r="C240" s="15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ht="15.75" customHeight="1">
      <c r="C241" s="15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ht="15.75" customHeight="1">
      <c r="C242" s="15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ht="15.75" customHeight="1">
      <c r="C243" s="15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ht="15.75" customHeight="1">
      <c r="C244" s="15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ht="15.75" customHeight="1">
      <c r="C245" s="15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ht="15.75" customHeight="1">
      <c r="C246" s="15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ht="15.75" customHeight="1">
      <c r="C247" s="15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ht="15.75" customHeight="1">
      <c r="C248" s="15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ht="15.75" customHeight="1">
      <c r="C249" s="15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ht="15.75" customHeight="1">
      <c r="C250" s="15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ht="15.75" customHeight="1">
      <c r="C251" s="15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ht="15.75" customHeight="1">
      <c r="C252" s="15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ht="15.75" customHeight="1">
      <c r="C253" s="15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ht="15.75" customHeight="1">
      <c r="C254" s="15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ht="15.75" customHeight="1">
      <c r="C255" s="15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ht="15.75" customHeight="1">
      <c r="C256" s="15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ht="15.75" customHeight="1">
      <c r="C257" s="15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ht="15.75" customHeight="1">
      <c r="C258" s="15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ht="15.75" customHeight="1">
      <c r="C259" s="15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ht="15.75" customHeight="1">
      <c r="C260" s="15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ht="15.75" customHeight="1">
      <c r="C261" s="15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ht="15.75" customHeight="1">
      <c r="C262" s="15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ht="15.75" customHeight="1">
      <c r="C263" s="15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ht="15.75" customHeight="1">
      <c r="C264" s="15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ht="15.75" customHeight="1">
      <c r="C265" s="15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ht="15.75" customHeight="1">
      <c r="C266" s="15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ht="15.75" customHeight="1">
      <c r="C267" s="15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ht="15.75" customHeight="1">
      <c r="C268" s="15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ht="15.75" customHeight="1">
      <c r="C269" s="15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ht="15.75" customHeight="1">
      <c r="C270" s="15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ht="15.75" customHeight="1">
      <c r="C271" s="15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ht="15.75" customHeight="1">
      <c r="C272" s="15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ht="15.75" customHeight="1">
      <c r="C273" s="15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ht="15.75" customHeight="1">
      <c r="C274" s="15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ht="15.75" customHeight="1">
      <c r="C275" s="15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ht="15.75" customHeight="1">
      <c r="C276" s="15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ht="15.75" customHeight="1">
      <c r="C277" s="15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ht="15.75" customHeight="1">
      <c r="C278" s="15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ht="15.75" customHeight="1">
      <c r="C279" s="15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ht="15.75" customHeight="1">
      <c r="C280" s="15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ht="15.75" customHeight="1">
      <c r="C281" s="15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ht="15.75" customHeight="1">
      <c r="C282" s="15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ht="15.75" customHeight="1">
      <c r="C283" s="15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ht="15.75" customHeight="1">
      <c r="C284" s="15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ht="15.75" customHeight="1">
      <c r="C285" s="15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ht="15.75" customHeight="1">
      <c r="C286" s="15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ht="15.75" customHeight="1">
      <c r="C287" s="15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ht="15.75" customHeight="1">
      <c r="C288" s="15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ht="15.75" customHeight="1">
      <c r="C289" s="15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ht="15.75" customHeight="1">
      <c r="C290" s="15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ht="15.75" customHeight="1">
      <c r="C291" s="15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ht="15.75" customHeight="1">
      <c r="C292" s="15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ht="15.75" customHeight="1">
      <c r="C293" s="15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ht="15.75" customHeight="1">
      <c r="C294" s="15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ht="15.75" customHeight="1">
      <c r="C295" s="15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ht="15.75" customHeight="1">
      <c r="C296" s="15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ht="15.75" customHeight="1">
      <c r="C297" s="15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ht="15.75" customHeight="1">
      <c r="C298" s="15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ht="15.75" customHeight="1">
      <c r="C299" s="15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ht="15.75" customHeight="1">
      <c r="C300" s="15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D1:F1"/>
    <mergeCell ref="G1:I1"/>
    <mergeCell ref="J1:L1"/>
    <mergeCell ref="M1:O1"/>
    <mergeCell ref="P1:R1"/>
    <mergeCell ref="S1:U1"/>
    <mergeCell ref="V1:X1"/>
    <mergeCell ref="AT1:AV1"/>
    <mergeCell ref="AW1:AY1"/>
    <mergeCell ref="AZ1:BB1"/>
    <mergeCell ref="BC1:BE1"/>
    <mergeCell ref="BF1:BH1"/>
    <mergeCell ref="Y1:AA1"/>
    <mergeCell ref="AB1:AD1"/>
    <mergeCell ref="AE1:AG1"/>
    <mergeCell ref="AH1:AJ1"/>
    <mergeCell ref="AK1:AM1"/>
    <mergeCell ref="AN1:AP1"/>
    <mergeCell ref="AQ1:AS1"/>
  </mergeCells>
  <printOptions/>
  <pageMargins bottom="0.75" footer="0.0" header="0.0" left="0.7" right="0.7" top="0.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0"/>
  <cols>
    <col customWidth="1" min="1" max="1" width="27.63"/>
    <col customWidth="1" min="2" max="2" width="8.0"/>
    <col customWidth="1" min="3" max="3" width="9.0"/>
    <col customWidth="1" min="4" max="4" width="13.88"/>
    <col customWidth="1" min="5" max="5" width="15.13"/>
    <col customWidth="1" min="6" max="7" width="13.75"/>
    <col customWidth="1" min="8" max="8" width="15.38"/>
    <col customWidth="1" min="9" max="9" width="13.75"/>
    <col customWidth="1" min="13" max="13" width="13.38"/>
    <col customWidth="1" min="14" max="14" width="17.75"/>
    <col customWidth="1" min="17" max="17" width="14.38"/>
    <col customWidth="1" min="20" max="20" width="13.88"/>
    <col customWidth="1" min="23" max="23" width="14.13"/>
    <col customWidth="1" min="25" max="25" width="13.88"/>
    <col customWidth="1" min="26" max="26" width="14.25"/>
    <col customWidth="1" min="28" max="28" width="13.75"/>
    <col customWidth="1" min="29" max="29" width="14.38"/>
    <col customWidth="1" min="31" max="31" width="14.0"/>
    <col customWidth="1" min="32" max="32" width="15.0"/>
    <col customWidth="1" min="35" max="35" width="13.25"/>
    <col customWidth="1" min="37" max="37" width="15.25"/>
    <col customWidth="1" min="38" max="38" width="16.38"/>
    <col customWidth="1" min="39" max="39" width="13.88"/>
    <col customWidth="1" min="41" max="41" width="14.38"/>
    <col customWidth="1" min="43" max="43" width="13.38"/>
    <col customWidth="1" min="44" max="44" width="14.13"/>
    <col customWidth="1" min="47" max="47" width="15.38"/>
    <col customWidth="1" min="49" max="49" width="14.88"/>
    <col customWidth="1" min="50" max="50" width="16.88"/>
    <col customWidth="1" min="52" max="52" width="14.75"/>
    <col customWidth="1" min="53" max="53" width="15.88"/>
    <col customWidth="1" min="62" max="62" width="17.38"/>
    <col customWidth="1" min="63" max="63" width="16.75"/>
    <col customWidth="1" min="64" max="64" width="16.63"/>
    <col customWidth="1" min="70" max="72" width="17.38"/>
    <col customWidth="1" min="73" max="73" width="15.25"/>
  </cols>
  <sheetData>
    <row r="1" ht="15.75" customHeight="1">
      <c r="A1" s="1" t="s">
        <v>0</v>
      </c>
      <c r="B1" s="1" t="s">
        <v>212</v>
      </c>
      <c r="C1" s="15" t="s">
        <v>235</v>
      </c>
      <c r="D1" s="3" t="s">
        <v>2</v>
      </c>
      <c r="G1" s="3" t="s">
        <v>3</v>
      </c>
      <c r="J1" s="3" t="s">
        <v>4</v>
      </c>
      <c r="M1" s="3" t="s">
        <v>5</v>
      </c>
      <c r="P1" s="3" t="s">
        <v>6</v>
      </c>
      <c r="S1" s="3" t="s">
        <v>7</v>
      </c>
      <c r="V1" s="3" t="s">
        <v>8</v>
      </c>
      <c r="Y1" s="3" t="s">
        <v>9</v>
      </c>
      <c r="AB1" s="3" t="s">
        <v>10</v>
      </c>
      <c r="AE1" s="3" t="s">
        <v>11</v>
      </c>
      <c r="AH1" s="3" t="s">
        <v>12</v>
      </c>
      <c r="AK1" s="3" t="s">
        <v>13</v>
      </c>
      <c r="AN1" s="3" t="s">
        <v>14</v>
      </c>
      <c r="AQ1" s="3" t="s">
        <v>15</v>
      </c>
      <c r="AT1" s="3" t="s">
        <v>16</v>
      </c>
      <c r="AW1" s="3" t="s">
        <v>17</v>
      </c>
      <c r="AZ1" s="3" t="s">
        <v>18</v>
      </c>
      <c r="BC1" s="3" t="s">
        <v>19</v>
      </c>
      <c r="BF1" s="3" t="s">
        <v>20</v>
      </c>
      <c r="BI1" s="1"/>
      <c r="BK1" s="1"/>
      <c r="BL1" s="1"/>
      <c r="BM1" s="1"/>
      <c r="BN1" s="1"/>
      <c r="BO1" s="1"/>
      <c r="BP1" s="1"/>
      <c r="BQ1" s="1"/>
      <c r="BR1" s="1"/>
      <c r="BS1" s="1"/>
      <c r="BV1" s="1"/>
      <c r="BW1" s="1"/>
      <c r="BX1" s="1"/>
      <c r="BY1" s="1"/>
      <c r="BZ1" s="1"/>
    </row>
    <row r="2" ht="15.75" customHeight="1">
      <c r="A2" s="1"/>
      <c r="B2" s="1"/>
      <c r="C2" s="15"/>
      <c r="D2" s="1" t="s">
        <v>260</v>
      </c>
      <c r="E2" s="1" t="s">
        <v>261</v>
      </c>
      <c r="F2" s="4" t="s">
        <v>262</v>
      </c>
      <c r="G2" s="1" t="s">
        <v>263</v>
      </c>
      <c r="H2" s="1" t="s">
        <v>264</v>
      </c>
      <c r="I2" s="4" t="s">
        <v>265</v>
      </c>
      <c r="J2" s="1" t="s">
        <v>27</v>
      </c>
      <c r="K2" s="1" t="s">
        <v>28</v>
      </c>
      <c r="L2" s="5" t="s">
        <v>29</v>
      </c>
      <c r="M2" s="1" t="s">
        <v>30</v>
      </c>
      <c r="N2" s="1" t="s">
        <v>31</v>
      </c>
      <c r="O2" s="5" t="s">
        <v>32</v>
      </c>
      <c r="P2" s="1" t="s">
        <v>266</v>
      </c>
      <c r="Q2" s="1" t="s">
        <v>267</v>
      </c>
      <c r="R2" s="5" t="s">
        <v>268</v>
      </c>
      <c r="S2" s="1" t="s">
        <v>269</v>
      </c>
      <c r="T2" s="1" t="s">
        <v>270</v>
      </c>
      <c r="U2" s="5" t="s">
        <v>271</v>
      </c>
      <c r="V2" s="1" t="s">
        <v>39</v>
      </c>
      <c r="W2" s="1" t="s">
        <v>40</v>
      </c>
      <c r="X2" s="5" t="s">
        <v>41</v>
      </c>
      <c r="Y2" s="1" t="s">
        <v>42</v>
      </c>
      <c r="Z2" s="1" t="s">
        <v>43</v>
      </c>
      <c r="AA2" s="5" t="s">
        <v>44</v>
      </c>
      <c r="AB2" s="1" t="s">
        <v>272</v>
      </c>
      <c r="AC2" s="1" t="s">
        <v>273</v>
      </c>
      <c r="AD2" s="5" t="s">
        <v>274</v>
      </c>
      <c r="AE2" s="1" t="s">
        <v>275</v>
      </c>
      <c r="AF2" s="1" t="s">
        <v>276</v>
      </c>
      <c r="AG2" s="5" t="s">
        <v>277</v>
      </c>
      <c r="AH2" s="1" t="s">
        <v>51</v>
      </c>
      <c r="AI2" s="1" t="s">
        <v>52</v>
      </c>
      <c r="AJ2" s="5" t="s">
        <v>53</v>
      </c>
      <c r="AK2" s="1" t="s">
        <v>54</v>
      </c>
      <c r="AL2" s="1" t="s">
        <v>55</v>
      </c>
      <c r="AM2" s="5" t="s">
        <v>56</v>
      </c>
      <c r="AN2" s="1" t="s">
        <v>278</v>
      </c>
      <c r="AO2" s="1" t="s">
        <v>279</v>
      </c>
      <c r="AP2" s="5" t="s">
        <v>280</v>
      </c>
      <c r="AQ2" s="1" t="s">
        <v>281</v>
      </c>
      <c r="AR2" s="1" t="s">
        <v>282</v>
      </c>
      <c r="AS2" s="5" t="s">
        <v>283</v>
      </c>
      <c r="AT2" s="1" t="s">
        <v>63</v>
      </c>
      <c r="AU2" s="1" t="s">
        <v>64</v>
      </c>
      <c r="AV2" s="5" t="s">
        <v>65</v>
      </c>
      <c r="AW2" s="1" t="s">
        <v>66</v>
      </c>
      <c r="AX2" s="1" t="s">
        <v>67</v>
      </c>
      <c r="AY2" s="5" t="s">
        <v>68</v>
      </c>
      <c r="AZ2" s="1" t="s">
        <v>284</v>
      </c>
      <c r="BA2" s="1" t="s">
        <v>285</v>
      </c>
      <c r="BB2" s="5" t="s">
        <v>286</v>
      </c>
      <c r="BC2" s="1" t="s">
        <v>72</v>
      </c>
      <c r="BD2" s="1" t="s">
        <v>73</v>
      </c>
      <c r="BE2" s="5" t="s">
        <v>74</v>
      </c>
      <c r="BF2" s="1" t="s">
        <v>75</v>
      </c>
      <c r="BG2" s="1" t="s">
        <v>76</v>
      </c>
      <c r="BH2" s="5" t="s">
        <v>77</v>
      </c>
      <c r="BI2" s="1"/>
      <c r="BJ2" s="1" t="s">
        <v>213</v>
      </c>
      <c r="BK2" s="1" t="s">
        <v>214</v>
      </c>
      <c r="BL2" s="1" t="s">
        <v>215</v>
      </c>
      <c r="BM2" s="1"/>
      <c r="BN2" s="1" t="s">
        <v>213</v>
      </c>
      <c r="BO2" s="1"/>
      <c r="BP2" s="1"/>
      <c r="BQ2" s="1" t="s">
        <v>216</v>
      </c>
      <c r="BR2" s="1" t="s">
        <v>294</v>
      </c>
      <c r="BS2" s="1" t="s">
        <v>295</v>
      </c>
      <c r="BV2" s="1"/>
      <c r="BW2" s="1"/>
      <c r="BX2" s="1"/>
      <c r="BY2" s="1"/>
      <c r="BZ2" s="1"/>
    </row>
    <row r="3" ht="15.75" customHeight="1">
      <c r="A3" s="1" t="s">
        <v>84</v>
      </c>
      <c r="B3" s="17">
        <v>1460.0</v>
      </c>
      <c r="C3" s="17">
        <v>10.0</v>
      </c>
      <c r="D3" s="9" t="s">
        <v>85</v>
      </c>
      <c r="E3" s="9" t="s">
        <v>85</v>
      </c>
      <c r="F3" s="9" t="s">
        <v>85</v>
      </c>
      <c r="G3" s="9" t="s">
        <v>85</v>
      </c>
      <c r="H3" s="9" t="s">
        <v>85</v>
      </c>
      <c r="I3" s="9" t="s">
        <v>85</v>
      </c>
      <c r="J3" s="9" t="s">
        <v>85</v>
      </c>
      <c r="K3" s="9" t="s">
        <v>85</v>
      </c>
      <c r="L3" s="9">
        <v>0.56</v>
      </c>
      <c r="M3" s="9" t="s">
        <v>85</v>
      </c>
      <c r="N3" s="9" t="s">
        <v>85</v>
      </c>
      <c r="O3" s="9">
        <v>0.59</v>
      </c>
      <c r="P3" s="9" t="s">
        <v>85</v>
      </c>
      <c r="Q3" s="9" t="s">
        <v>85</v>
      </c>
      <c r="R3" s="9" t="s">
        <v>85</v>
      </c>
      <c r="S3" s="9" t="s">
        <v>85</v>
      </c>
      <c r="T3" s="9" t="s">
        <v>85</v>
      </c>
      <c r="U3" s="9" t="s">
        <v>85</v>
      </c>
      <c r="V3" s="9" t="s">
        <v>85</v>
      </c>
      <c r="W3" s="9" t="s">
        <v>85</v>
      </c>
      <c r="X3" s="9">
        <v>0.55</v>
      </c>
      <c r="Y3" s="9" t="s">
        <v>85</v>
      </c>
      <c r="Z3" s="9" t="s">
        <v>85</v>
      </c>
      <c r="AA3" s="9">
        <v>0.4</v>
      </c>
      <c r="AB3" s="10" t="s">
        <v>85</v>
      </c>
      <c r="AC3" s="10" t="s">
        <v>85</v>
      </c>
      <c r="AD3" s="9" t="s">
        <v>85</v>
      </c>
      <c r="AE3" s="9" t="s">
        <v>85</v>
      </c>
      <c r="AF3" s="9" t="s">
        <v>85</v>
      </c>
      <c r="AG3" s="9" t="s">
        <v>85</v>
      </c>
      <c r="AH3" s="9" t="s">
        <v>85</v>
      </c>
      <c r="AI3" s="9" t="s">
        <v>85</v>
      </c>
      <c r="AJ3" s="9">
        <v>0.5</v>
      </c>
      <c r="AK3" s="9" t="s">
        <v>85</v>
      </c>
      <c r="AL3" s="9" t="s">
        <v>85</v>
      </c>
      <c r="AM3" s="9">
        <v>0.38</v>
      </c>
      <c r="AN3" s="9" t="s">
        <v>85</v>
      </c>
      <c r="AO3" s="9" t="s">
        <v>85</v>
      </c>
      <c r="AP3" s="9" t="s">
        <v>85</v>
      </c>
      <c r="AQ3" s="9" t="s">
        <v>85</v>
      </c>
      <c r="AR3" s="9" t="s">
        <v>85</v>
      </c>
      <c r="AS3" s="9" t="s">
        <v>85</v>
      </c>
      <c r="AT3" s="9" t="s">
        <v>85</v>
      </c>
      <c r="AU3" s="9" t="s">
        <v>85</v>
      </c>
      <c r="AV3" s="9">
        <v>0.3</v>
      </c>
      <c r="AW3" s="9" t="s">
        <v>85</v>
      </c>
      <c r="AX3" s="9" t="s">
        <v>85</v>
      </c>
      <c r="AY3" s="9">
        <v>0.49</v>
      </c>
      <c r="AZ3" s="9" t="s">
        <v>85</v>
      </c>
      <c r="BA3" s="9" t="s">
        <v>85</v>
      </c>
      <c r="BB3" s="9" t="s">
        <v>85</v>
      </c>
      <c r="BC3" s="10" t="s">
        <v>85</v>
      </c>
      <c r="BD3" s="10" t="s">
        <v>85</v>
      </c>
      <c r="BE3" s="10" t="s">
        <v>85</v>
      </c>
      <c r="BF3" s="10" t="s">
        <v>85</v>
      </c>
      <c r="BG3" s="10" t="s">
        <v>85</v>
      </c>
      <c r="BH3" s="9" t="s">
        <v>85</v>
      </c>
      <c r="BI3" s="6"/>
      <c r="BJ3" s="6" t="str">
        <f t="shared" ref="BJ3:BJ100" si="1">INDEX($D$2:$BH$2,0,MATCH(MAX(D3:BH3),D3:BH3,0))</f>
        <v>5VB_One_Acc</v>
      </c>
      <c r="BK3" s="6" t="str">
        <f t="shared" ref="BK3:BK100" si="2">INDEX($D$2:$BH$2,0,MATCH(LARGE(D3:BH3,2),D3:BH3,0))</f>
        <v>5V_One_Acc</v>
      </c>
      <c r="BL3" s="6" t="str">
        <f t="shared" ref="BL3:BL100" si="3">INDEX($D$2:$BH$2,0,MATCH(LARGE(D3:BH3,3),D3:BH3,0))</f>
        <v>8V_One_Acc</v>
      </c>
      <c r="BM3" s="6"/>
      <c r="BN3" s="6">
        <f t="shared" ref="BN3:BN100" si="4">IF(ISNUMBER(SEARCH("5",BJ3)),5,IF(ISNUMBER(SEARCH("*8*",BJ3)),8,IF(ISNUMBER(SEARCH("*10*",BJ3)),10,IF(ISNUMBER(SEARCH("*12*",BJ3)),12,IF(ISNUMBER(SEARCH("*20*",BJ3)),20)))))</f>
        <v>5</v>
      </c>
      <c r="BO3" s="6"/>
      <c r="BP3" s="6"/>
      <c r="BQ3" s="6">
        <f>COUNTA(BJ3:BL100)</f>
        <v>294</v>
      </c>
      <c r="BR3" s="6">
        <f>COUNTIF($BJ$3:$BL$100,"*V_*")</f>
        <v>173</v>
      </c>
      <c r="BS3" s="6">
        <f>COUNTIF($BJ$3:$BL$100,"*VB_*")</f>
        <v>121</v>
      </c>
      <c r="BU3" s="6"/>
      <c r="BV3" s="6"/>
      <c r="BW3" s="6"/>
      <c r="BX3" s="6"/>
      <c r="BY3" s="6"/>
      <c r="BZ3" s="6"/>
    </row>
    <row r="4" ht="15.75" customHeight="1">
      <c r="A4" s="1" t="s">
        <v>89</v>
      </c>
      <c r="B4" s="17">
        <v>176.0</v>
      </c>
      <c r="C4" s="17">
        <v>37.0</v>
      </c>
      <c r="D4" s="9" t="s">
        <v>85</v>
      </c>
      <c r="E4" s="9" t="s">
        <v>85</v>
      </c>
      <c r="F4" s="9" t="s">
        <v>85</v>
      </c>
      <c r="G4" s="9" t="s">
        <v>85</v>
      </c>
      <c r="H4" s="9" t="s">
        <v>85</v>
      </c>
      <c r="I4" s="9" t="s">
        <v>85</v>
      </c>
      <c r="J4" s="9" t="s">
        <v>85</v>
      </c>
      <c r="K4" s="9" t="s">
        <v>85</v>
      </c>
      <c r="L4" s="9">
        <v>0.350384</v>
      </c>
      <c r="M4" s="9" t="s">
        <v>85</v>
      </c>
      <c r="N4" s="9" t="s">
        <v>85</v>
      </c>
      <c r="O4" s="9">
        <v>0.161125</v>
      </c>
      <c r="P4" s="9" t="s">
        <v>85</v>
      </c>
      <c r="Q4" s="9" t="s">
        <v>85</v>
      </c>
      <c r="R4" s="9" t="s">
        <v>85</v>
      </c>
      <c r="S4" s="9" t="s">
        <v>85</v>
      </c>
      <c r="T4" s="9" t="s">
        <v>85</v>
      </c>
      <c r="U4" s="9" t="s">
        <v>85</v>
      </c>
      <c r="V4" s="9" t="s">
        <v>85</v>
      </c>
      <c r="W4" s="9" t="s">
        <v>85</v>
      </c>
      <c r="X4" s="9">
        <v>0.30179</v>
      </c>
      <c r="Y4" s="9" t="s">
        <v>85</v>
      </c>
      <c r="Z4" s="9" t="s">
        <v>85</v>
      </c>
      <c r="AA4" s="9">
        <v>0.242967</v>
      </c>
      <c r="AB4" s="10" t="s">
        <v>85</v>
      </c>
      <c r="AC4" s="10" t="s">
        <v>85</v>
      </c>
      <c r="AD4" s="9" t="s">
        <v>85</v>
      </c>
      <c r="AE4" s="9" t="s">
        <v>85</v>
      </c>
      <c r="AF4" s="9" t="s">
        <v>85</v>
      </c>
      <c r="AG4" s="9" t="s">
        <v>85</v>
      </c>
      <c r="AH4" s="9" t="s">
        <v>85</v>
      </c>
      <c r="AI4" s="9" t="s">
        <v>85</v>
      </c>
      <c r="AJ4" s="9">
        <v>0.332481</v>
      </c>
      <c r="AK4" s="9" t="s">
        <v>85</v>
      </c>
      <c r="AL4" s="9" t="s">
        <v>85</v>
      </c>
      <c r="AM4" s="9">
        <v>0.28133</v>
      </c>
      <c r="AN4" s="9" t="s">
        <v>85</v>
      </c>
      <c r="AO4" s="9" t="s">
        <v>85</v>
      </c>
      <c r="AP4" s="9" t="s">
        <v>85</v>
      </c>
      <c r="AQ4" s="9" t="s">
        <v>85</v>
      </c>
      <c r="AR4" s="9" t="s">
        <v>85</v>
      </c>
      <c r="AS4" s="9" t="s">
        <v>85</v>
      </c>
      <c r="AT4" s="9" t="s">
        <v>85</v>
      </c>
      <c r="AU4" s="9" t="s">
        <v>85</v>
      </c>
      <c r="AV4" s="9">
        <v>0.084399</v>
      </c>
      <c r="AW4" s="9" t="s">
        <v>85</v>
      </c>
      <c r="AX4" s="9" t="s">
        <v>85</v>
      </c>
      <c r="AY4" s="9">
        <v>0.120205</v>
      </c>
      <c r="AZ4" s="9" t="s">
        <v>85</v>
      </c>
      <c r="BA4" s="9" t="s">
        <v>85</v>
      </c>
      <c r="BB4" s="9" t="s">
        <v>85</v>
      </c>
      <c r="BC4" s="10" t="s">
        <v>85</v>
      </c>
      <c r="BD4" s="10" t="s">
        <v>85</v>
      </c>
      <c r="BE4" s="10" t="s">
        <v>85</v>
      </c>
      <c r="BF4" s="10" t="s">
        <v>85</v>
      </c>
      <c r="BG4" s="10" t="s">
        <v>85</v>
      </c>
      <c r="BH4" s="9" t="s">
        <v>85</v>
      </c>
      <c r="BI4" s="6"/>
      <c r="BJ4" s="6" t="str">
        <f t="shared" si="1"/>
        <v>5V_One_Acc</v>
      </c>
      <c r="BK4" s="6" t="str">
        <f t="shared" si="2"/>
        <v>10V_One_Acc</v>
      </c>
      <c r="BL4" s="6" t="str">
        <f t="shared" si="3"/>
        <v>8V_One_Acc</v>
      </c>
      <c r="BM4" s="6"/>
      <c r="BN4" s="6">
        <f t="shared" si="4"/>
        <v>5</v>
      </c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</row>
    <row r="5" ht="15.75" customHeight="1">
      <c r="A5" s="1" t="s">
        <v>91</v>
      </c>
      <c r="B5" s="17">
        <v>251.0</v>
      </c>
      <c r="C5" s="17">
        <v>3.0</v>
      </c>
      <c r="D5" s="9" t="s">
        <v>85</v>
      </c>
      <c r="E5" s="9" t="s">
        <v>85</v>
      </c>
      <c r="F5" s="9" t="s">
        <v>85</v>
      </c>
      <c r="G5" s="9" t="s">
        <v>85</v>
      </c>
      <c r="H5" s="9" t="s">
        <v>85</v>
      </c>
      <c r="I5" s="9" t="s">
        <v>85</v>
      </c>
      <c r="J5" s="9" t="s">
        <v>85</v>
      </c>
      <c r="K5" s="9" t="s">
        <v>85</v>
      </c>
      <c r="L5" s="9">
        <v>0.731429</v>
      </c>
      <c r="M5" s="9" t="s">
        <v>85</v>
      </c>
      <c r="N5" s="9" t="s">
        <v>85</v>
      </c>
      <c r="O5" s="9">
        <v>0.725714</v>
      </c>
      <c r="P5" s="9" t="s">
        <v>85</v>
      </c>
      <c r="Q5" s="9" t="s">
        <v>85</v>
      </c>
      <c r="R5" s="9" t="s">
        <v>85</v>
      </c>
      <c r="S5" s="9" t="s">
        <v>85</v>
      </c>
      <c r="T5" s="9" t="s">
        <v>85</v>
      </c>
      <c r="U5" s="9" t="s">
        <v>85</v>
      </c>
      <c r="V5" s="9" t="s">
        <v>85</v>
      </c>
      <c r="W5" s="9" t="s">
        <v>85</v>
      </c>
      <c r="X5" s="9">
        <v>0.68</v>
      </c>
      <c r="Y5" s="9" t="s">
        <v>85</v>
      </c>
      <c r="Z5" s="9" t="s">
        <v>85</v>
      </c>
      <c r="AA5" s="9">
        <v>0.674286</v>
      </c>
      <c r="AB5" s="10" t="s">
        <v>85</v>
      </c>
      <c r="AC5" s="10" t="s">
        <v>85</v>
      </c>
      <c r="AD5" s="9" t="s">
        <v>85</v>
      </c>
      <c r="AE5" s="9" t="s">
        <v>85</v>
      </c>
      <c r="AF5" s="9" t="s">
        <v>85</v>
      </c>
      <c r="AG5" s="9" t="s">
        <v>85</v>
      </c>
      <c r="AH5" s="9" t="s">
        <v>85</v>
      </c>
      <c r="AI5" s="9" t="s">
        <v>85</v>
      </c>
      <c r="AJ5" s="9">
        <v>0.685714</v>
      </c>
      <c r="AK5" s="9" t="s">
        <v>85</v>
      </c>
      <c r="AL5" s="9" t="s">
        <v>85</v>
      </c>
      <c r="AM5" s="9">
        <v>0.64</v>
      </c>
      <c r="AN5" s="9" t="s">
        <v>85</v>
      </c>
      <c r="AO5" s="9" t="s">
        <v>85</v>
      </c>
      <c r="AP5" s="9" t="s">
        <v>85</v>
      </c>
      <c r="AQ5" s="9" t="s">
        <v>85</v>
      </c>
      <c r="AR5" s="9" t="s">
        <v>85</v>
      </c>
      <c r="AS5" s="9" t="s">
        <v>85</v>
      </c>
      <c r="AT5" s="9" t="s">
        <v>85</v>
      </c>
      <c r="AU5" s="9" t="s">
        <v>85</v>
      </c>
      <c r="AV5" s="9">
        <v>0.72</v>
      </c>
      <c r="AW5" s="9" t="s">
        <v>85</v>
      </c>
      <c r="AX5" s="9" t="s">
        <v>85</v>
      </c>
      <c r="AY5" s="9">
        <v>0.754286</v>
      </c>
      <c r="AZ5" s="9" t="s">
        <v>85</v>
      </c>
      <c r="BA5" s="9" t="s">
        <v>85</v>
      </c>
      <c r="BB5" s="9" t="s">
        <v>85</v>
      </c>
      <c r="BC5" s="10" t="s">
        <v>85</v>
      </c>
      <c r="BD5" s="10" t="s">
        <v>85</v>
      </c>
      <c r="BE5" s="10" t="s">
        <v>85</v>
      </c>
      <c r="BF5" s="10" t="s">
        <v>85</v>
      </c>
      <c r="BG5" s="10" t="s">
        <v>85</v>
      </c>
      <c r="BH5" s="9" t="s">
        <v>85</v>
      </c>
      <c r="BI5" s="6"/>
      <c r="BJ5" s="6" t="str">
        <f t="shared" si="1"/>
        <v>12VB_One_Acc</v>
      </c>
      <c r="BK5" s="6" t="str">
        <f t="shared" si="2"/>
        <v>5V_One_Acc</v>
      </c>
      <c r="BL5" s="6" t="str">
        <f t="shared" si="3"/>
        <v>5VB_One_Acc</v>
      </c>
      <c r="BM5" s="6"/>
      <c r="BN5" s="6">
        <f t="shared" si="4"/>
        <v>12</v>
      </c>
      <c r="BO5" s="6"/>
      <c r="BP5" s="6"/>
      <c r="BQ5" s="1" t="s">
        <v>248</v>
      </c>
      <c r="BT5" s="6"/>
      <c r="BU5" s="6"/>
      <c r="BV5" s="6"/>
      <c r="BW5" s="6"/>
      <c r="BX5" s="6"/>
      <c r="BY5" s="6"/>
      <c r="BZ5" s="6"/>
    </row>
    <row r="6" ht="15.75" customHeight="1">
      <c r="A6" s="1" t="s">
        <v>93</v>
      </c>
      <c r="B6" s="17">
        <v>470.0</v>
      </c>
      <c r="C6" s="17">
        <v>5.0</v>
      </c>
      <c r="D6" s="9" t="s">
        <v>85</v>
      </c>
      <c r="E6" s="9" t="s">
        <v>85</v>
      </c>
      <c r="F6" s="9" t="s">
        <v>85</v>
      </c>
      <c r="G6" s="9" t="s">
        <v>85</v>
      </c>
      <c r="H6" s="9" t="s">
        <v>85</v>
      </c>
      <c r="I6" s="9" t="s">
        <v>85</v>
      </c>
      <c r="J6" s="9" t="s">
        <v>85</v>
      </c>
      <c r="K6" s="9" t="s">
        <v>85</v>
      </c>
      <c r="L6" s="9">
        <v>0.433333</v>
      </c>
      <c r="M6" s="9" t="s">
        <v>85</v>
      </c>
      <c r="N6" s="9" t="s">
        <v>85</v>
      </c>
      <c r="O6" s="9">
        <v>0.366667</v>
      </c>
      <c r="P6" s="9" t="s">
        <v>85</v>
      </c>
      <c r="Q6" s="9" t="s">
        <v>85</v>
      </c>
      <c r="R6" s="9" t="s">
        <v>85</v>
      </c>
      <c r="S6" s="9" t="s">
        <v>85</v>
      </c>
      <c r="T6" s="9" t="s">
        <v>85</v>
      </c>
      <c r="U6" s="9" t="s">
        <v>85</v>
      </c>
      <c r="V6" s="9" t="s">
        <v>85</v>
      </c>
      <c r="W6" s="9" t="s">
        <v>85</v>
      </c>
      <c r="X6" s="9">
        <v>0.366667</v>
      </c>
      <c r="Y6" s="9" t="s">
        <v>85</v>
      </c>
      <c r="Z6" s="9" t="s">
        <v>85</v>
      </c>
      <c r="AA6" s="9">
        <v>0.533333</v>
      </c>
      <c r="AB6" s="10" t="s">
        <v>85</v>
      </c>
      <c r="AC6" s="10" t="s">
        <v>85</v>
      </c>
      <c r="AD6" s="9" t="s">
        <v>85</v>
      </c>
      <c r="AE6" s="9" t="s">
        <v>85</v>
      </c>
      <c r="AF6" s="9" t="s">
        <v>85</v>
      </c>
      <c r="AG6" s="9" t="s">
        <v>85</v>
      </c>
      <c r="AH6" s="9" t="s">
        <v>85</v>
      </c>
      <c r="AI6" s="9" t="s">
        <v>85</v>
      </c>
      <c r="AJ6" s="9">
        <v>0.466667</v>
      </c>
      <c r="AK6" s="9" t="s">
        <v>85</v>
      </c>
      <c r="AL6" s="9" t="s">
        <v>85</v>
      </c>
      <c r="AM6" s="9">
        <v>0.433333</v>
      </c>
      <c r="AN6" s="9" t="s">
        <v>85</v>
      </c>
      <c r="AO6" s="9" t="s">
        <v>85</v>
      </c>
      <c r="AP6" s="9" t="s">
        <v>85</v>
      </c>
      <c r="AQ6" s="9" t="s">
        <v>85</v>
      </c>
      <c r="AR6" s="9" t="s">
        <v>85</v>
      </c>
      <c r="AS6" s="9" t="s">
        <v>85</v>
      </c>
      <c r="AT6" s="9" t="s">
        <v>85</v>
      </c>
      <c r="AU6" s="9" t="s">
        <v>85</v>
      </c>
      <c r="AV6" s="9">
        <v>0.433333</v>
      </c>
      <c r="AW6" s="9" t="s">
        <v>85</v>
      </c>
      <c r="AX6" s="9" t="s">
        <v>85</v>
      </c>
      <c r="AY6" s="9">
        <v>0.366667</v>
      </c>
      <c r="AZ6" s="9" t="s">
        <v>85</v>
      </c>
      <c r="BA6" s="9" t="s">
        <v>85</v>
      </c>
      <c r="BB6" s="9" t="s">
        <v>85</v>
      </c>
      <c r="BC6" s="10" t="s">
        <v>85</v>
      </c>
      <c r="BD6" s="10" t="s">
        <v>85</v>
      </c>
      <c r="BE6" s="10" t="s">
        <v>85</v>
      </c>
      <c r="BF6" s="10" t="s">
        <v>85</v>
      </c>
      <c r="BG6" s="10" t="s">
        <v>85</v>
      </c>
      <c r="BH6" s="9" t="s">
        <v>85</v>
      </c>
      <c r="BI6" s="6"/>
      <c r="BJ6" s="6" t="str">
        <f t="shared" si="1"/>
        <v>8VB_One_Acc</v>
      </c>
      <c r="BK6" s="6" t="str">
        <f t="shared" si="2"/>
        <v>10V_One_Acc</v>
      </c>
      <c r="BL6" s="6" t="str">
        <f t="shared" si="3"/>
        <v>5V_One_Acc</v>
      </c>
      <c r="BM6" s="6"/>
      <c r="BN6" s="6">
        <f t="shared" si="4"/>
        <v>8</v>
      </c>
      <c r="BO6" s="6"/>
      <c r="BP6" s="6"/>
      <c r="BQ6" s="1" t="s">
        <v>213</v>
      </c>
      <c r="BR6" s="6" t="s">
        <v>249</v>
      </c>
      <c r="BS6" s="6"/>
    </row>
    <row r="7" ht="15.75" customHeight="1">
      <c r="A7" s="1" t="s">
        <v>95</v>
      </c>
      <c r="B7" s="17">
        <v>512.0</v>
      </c>
      <c r="C7" s="17">
        <v>2.0</v>
      </c>
      <c r="D7" s="9" t="s">
        <v>85</v>
      </c>
      <c r="E7" s="9" t="s">
        <v>85</v>
      </c>
      <c r="F7" s="9" t="s">
        <v>85</v>
      </c>
      <c r="G7" s="9" t="s">
        <v>85</v>
      </c>
      <c r="H7" s="9" t="s">
        <v>85</v>
      </c>
      <c r="I7" s="9" t="s">
        <v>85</v>
      </c>
      <c r="J7" s="9" t="s">
        <v>85</v>
      </c>
      <c r="K7" s="9" t="s">
        <v>85</v>
      </c>
      <c r="L7" s="9">
        <v>0.9</v>
      </c>
      <c r="M7" s="9" t="s">
        <v>85</v>
      </c>
      <c r="N7" s="9" t="s">
        <v>85</v>
      </c>
      <c r="O7" s="9">
        <v>0.9</v>
      </c>
      <c r="P7" s="9" t="s">
        <v>85</v>
      </c>
      <c r="Q7" s="9" t="s">
        <v>85</v>
      </c>
      <c r="R7" s="9" t="s">
        <v>85</v>
      </c>
      <c r="S7" s="9" t="s">
        <v>85</v>
      </c>
      <c r="T7" s="9" t="s">
        <v>85</v>
      </c>
      <c r="U7" s="9" t="s">
        <v>85</v>
      </c>
      <c r="V7" s="9" t="s">
        <v>85</v>
      </c>
      <c r="W7" s="9" t="s">
        <v>85</v>
      </c>
      <c r="X7" s="9">
        <v>0.6</v>
      </c>
      <c r="Y7" s="9" t="s">
        <v>85</v>
      </c>
      <c r="Z7" s="9" t="s">
        <v>85</v>
      </c>
      <c r="AA7" s="9">
        <v>0.6</v>
      </c>
      <c r="AB7" s="10" t="s">
        <v>85</v>
      </c>
      <c r="AC7" s="10" t="s">
        <v>85</v>
      </c>
      <c r="AD7" s="9" t="s">
        <v>85</v>
      </c>
      <c r="AE7" s="9" t="s">
        <v>85</v>
      </c>
      <c r="AF7" s="9" t="s">
        <v>85</v>
      </c>
      <c r="AG7" s="9" t="s">
        <v>85</v>
      </c>
      <c r="AH7" s="9" t="s">
        <v>85</v>
      </c>
      <c r="AI7" s="9" t="s">
        <v>85</v>
      </c>
      <c r="AJ7" s="9">
        <v>0.75</v>
      </c>
      <c r="AK7" s="9" t="s">
        <v>85</v>
      </c>
      <c r="AL7" s="9" t="s">
        <v>85</v>
      </c>
      <c r="AM7" s="9">
        <v>0.6</v>
      </c>
      <c r="AN7" s="9" t="s">
        <v>85</v>
      </c>
      <c r="AO7" s="9" t="s">
        <v>85</v>
      </c>
      <c r="AP7" s="9" t="s">
        <v>85</v>
      </c>
      <c r="AQ7" s="9" t="s">
        <v>85</v>
      </c>
      <c r="AR7" s="9" t="s">
        <v>85</v>
      </c>
      <c r="AS7" s="9" t="s">
        <v>85</v>
      </c>
      <c r="AT7" s="9" t="s">
        <v>85</v>
      </c>
      <c r="AU7" s="9" t="s">
        <v>85</v>
      </c>
      <c r="AV7" s="9">
        <v>0.85</v>
      </c>
      <c r="AW7" s="9" t="s">
        <v>85</v>
      </c>
      <c r="AX7" s="9" t="s">
        <v>85</v>
      </c>
      <c r="AY7" s="9">
        <v>0.85</v>
      </c>
      <c r="AZ7" s="9" t="s">
        <v>85</v>
      </c>
      <c r="BA7" s="9" t="s">
        <v>85</v>
      </c>
      <c r="BB7" s="9" t="s">
        <v>85</v>
      </c>
      <c r="BC7" s="10" t="s">
        <v>85</v>
      </c>
      <c r="BD7" s="10" t="s">
        <v>85</v>
      </c>
      <c r="BE7" s="10" t="s">
        <v>85</v>
      </c>
      <c r="BF7" s="10" t="s">
        <v>85</v>
      </c>
      <c r="BG7" s="10" t="s">
        <v>85</v>
      </c>
      <c r="BH7" s="9" t="s">
        <v>85</v>
      </c>
      <c r="BI7" s="6"/>
      <c r="BJ7" s="6" t="str">
        <f t="shared" si="1"/>
        <v>5V_One_Acc</v>
      </c>
      <c r="BK7" s="6" t="str">
        <f t="shared" si="2"/>
        <v>5V_One_Acc</v>
      </c>
      <c r="BL7" s="6" t="str">
        <f t="shared" si="3"/>
        <v>12V_One_Acc</v>
      </c>
      <c r="BM7" s="6"/>
      <c r="BN7" s="6">
        <f t="shared" si="4"/>
        <v>5</v>
      </c>
      <c r="BO7" s="6"/>
      <c r="BP7" s="6"/>
      <c r="BR7" s="6">
        <f>COUNTIF(BJ3:BJ100,"*5*")</f>
        <v>33</v>
      </c>
      <c r="BS7" s="6">
        <f>COUNTIF(BJ3:BJ100,"*8*")</f>
        <v>24</v>
      </c>
      <c r="BT7" s="6">
        <f>COUNTIF(BJ3:BJ100,"*10*")</f>
        <v>17</v>
      </c>
      <c r="BU7" s="6">
        <f>COUNTIF(BJ3:BJ100,"*12*")</f>
        <v>24</v>
      </c>
      <c r="BV7" s="6">
        <f>COUNTIF(BJ3:BJ100,"*20*")</f>
        <v>0</v>
      </c>
      <c r="BW7" s="6"/>
      <c r="BX7" s="6"/>
      <c r="BY7" s="6"/>
      <c r="BZ7" s="6"/>
    </row>
    <row r="8" ht="15.75" customHeight="1">
      <c r="A8" s="1" t="s">
        <v>97</v>
      </c>
      <c r="B8" s="17">
        <v>512.0</v>
      </c>
      <c r="C8" s="17">
        <v>2.0</v>
      </c>
      <c r="D8" s="9" t="s">
        <v>85</v>
      </c>
      <c r="E8" s="9" t="s">
        <v>85</v>
      </c>
      <c r="F8" s="9" t="s">
        <v>85</v>
      </c>
      <c r="G8" s="9" t="s">
        <v>85</v>
      </c>
      <c r="H8" s="9" t="s">
        <v>85</v>
      </c>
      <c r="I8" s="9" t="s">
        <v>85</v>
      </c>
      <c r="J8" s="9" t="s">
        <v>85</v>
      </c>
      <c r="K8" s="9" t="s">
        <v>85</v>
      </c>
      <c r="L8" s="9">
        <v>0.8</v>
      </c>
      <c r="M8" s="9" t="s">
        <v>85</v>
      </c>
      <c r="N8" s="9" t="s">
        <v>85</v>
      </c>
      <c r="O8" s="9">
        <v>0.85</v>
      </c>
      <c r="P8" s="9" t="s">
        <v>85</v>
      </c>
      <c r="Q8" s="9" t="s">
        <v>85</v>
      </c>
      <c r="R8" s="9" t="s">
        <v>85</v>
      </c>
      <c r="S8" s="9" t="s">
        <v>85</v>
      </c>
      <c r="T8" s="9" t="s">
        <v>85</v>
      </c>
      <c r="U8" s="9" t="s">
        <v>85</v>
      </c>
      <c r="V8" s="9" t="s">
        <v>85</v>
      </c>
      <c r="W8" s="9" t="s">
        <v>85</v>
      </c>
      <c r="X8" s="9">
        <v>0.7</v>
      </c>
      <c r="Y8" s="9" t="s">
        <v>85</v>
      </c>
      <c r="Z8" s="9" t="s">
        <v>85</v>
      </c>
      <c r="AA8" s="9">
        <v>0.75</v>
      </c>
      <c r="AB8" s="10" t="s">
        <v>85</v>
      </c>
      <c r="AC8" s="10" t="s">
        <v>85</v>
      </c>
      <c r="AD8" s="9" t="s">
        <v>85</v>
      </c>
      <c r="AE8" s="9" t="s">
        <v>85</v>
      </c>
      <c r="AF8" s="9" t="s">
        <v>85</v>
      </c>
      <c r="AG8" s="9" t="s">
        <v>85</v>
      </c>
      <c r="AH8" s="9" t="s">
        <v>85</v>
      </c>
      <c r="AI8" s="9" t="s">
        <v>85</v>
      </c>
      <c r="AJ8" s="9">
        <v>0.9</v>
      </c>
      <c r="AK8" s="9" t="s">
        <v>85</v>
      </c>
      <c r="AL8" s="9" t="s">
        <v>85</v>
      </c>
      <c r="AM8" s="9">
        <v>0.9</v>
      </c>
      <c r="AN8" s="9" t="s">
        <v>85</v>
      </c>
      <c r="AO8" s="9" t="s">
        <v>85</v>
      </c>
      <c r="AP8" s="9" t="s">
        <v>85</v>
      </c>
      <c r="AQ8" s="9" t="s">
        <v>85</v>
      </c>
      <c r="AR8" s="9" t="s">
        <v>85</v>
      </c>
      <c r="AS8" s="9" t="s">
        <v>85</v>
      </c>
      <c r="AT8" s="9" t="s">
        <v>85</v>
      </c>
      <c r="AU8" s="9" t="s">
        <v>85</v>
      </c>
      <c r="AV8" s="9">
        <v>0.75</v>
      </c>
      <c r="AW8" s="9" t="s">
        <v>85</v>
      </c>
      <c r="AX8" s="9" t="s">
        <v>85</v>
      </c>
      <c r="AY8" s="9">
        <v>0.75</v>
      </c>
      <c r="AZ8" s="9" t="s">
        <v>85</v>
      </c>
      <c r="BA8" s="9" t="s">
        <v>85</v>
      </c>
      <c r="BB8" s="9" t="s">
        <v>85</v>
      </c>
      <c r="BC8" s="10" t="s">
        <v>85</v>
      </c>
      <c r="BD8" s="10" t="s">
        <v>85</v>
      </c>
      <c r="BE8" s="10" t="s">
        <v>85</v>
      </c>
      <c r="BF8" s="10" t="s">
        <v>85</v>
      </c>
      <c r="BG8" s="10" t="s">
        <v>85</v>
      </c>
      <c r="BH8" s="9" t="s">
        <v>85</v>
      </c>
      <c r="BI8" s="6"/>
      <c r="BJ8" s="6" t="str">
        <f t="shared" si="1"/>
        <v>10V_One_Acc</v>
      </c>
      <c r="BK8" s="6" t="str">
        <f t="shared" si="2"/>
        <v>10V_One_Acc</v>
      </c>
      <c r="BL8" s="6" t="str">
        <f t="shared" si="3"/>
        <v>5VB_One_Acc</v>
      </c>
      <c r="BM8" s="6"/>
      <c r="BN8" s="6">
        <f t="shared" si="4"/>
        <v>10</v>
      </c>
      <c r="BO8" s="6"/>
      <c r="BP8" s="6"/>
      <c r="BQ8" s="6"/>
      <c r="BR8" s="6" t="s">
        <v>250</v>
      </c>
      <c r="BS8" s="6" t="s">
        <v>251</v>
      </c>
      <c r="BT8" s="6" t="s">
        <v>252</v>
      </c>
      <c r="BU8" s="6" t="s">
        <v>253</v>
      </c>
      <c r="BV8" s="6" t="s">
        <v>254</v>
      </c>
      <c r="BW8" s="6"/>
      <c r="BX8" s="6"/>
      <c r="BY8" s="6"/>
      <c r="BZ8" s="6"/>
    </row>
    <row r="9" ht="15.75" customHeight="1">
      <c r="A9" s="1" t="s">
        <v>98</v>
      </c>
      <c r="B9" s="17">
        <v>128.0</v>
      </c>
      <c r="C9" s="17">
        <v>3.0</v>
      </c>
      <c r="D9" s="9" t="s">
        <v>85</v>
      </c>
      <c r="E9" s="9" t="s">
        <v>85</v>
      </c>
      <c r="F9" s="9" t="s">
        <v>85</v>
      </c>
      <c r="G9" s="9" t="s">
        <v>85</v>
      </c>
      <c r="H9" s="9" t="s">
        <v>85</v>
      </c>
      <c r="I9" s="9" t="s">
        <v>85</v>
      </c>
      <c r="J9" s="9" t="s">
        <v>85</v>
      </c>
      <c r="K9" s="9" t="s">
        <v>85</v>
      </c>
      <c r="L9" s="9">
        <v>0.966667</v>
      </c>
      <c r="M9" s="9" t="s">
        <v>85</v>
      </c>
      <c r="N9" s="9" t="s">
        <v>85</v>
      </c>
      <c r="O9" s="9">
        <v>0.986667</v>
      </c>
      <c r="P9" s="9" t="s">
        <v>85</v>
      </c>
      <c r="Q9" s="9" t="s">
        <v>85</v>
      </c>
      <c r="R9" s="9" t="s">
        <v>85</v>
      </c>
      <c r="S9" s="9" t="s">
        <v>85</v>
      </c>
      <c r="T9" s="9" t="s">
        <v>85</v>
      </c>
      <c r="U9" s="9" t="s">
        <v>85</v>
      </c>
      <c r="V9" s="9" t="s">
        <v>85</v>
      </c>
      <c r="W9" s="9" t="s">
        <v>85</v>
      </c>
      <c r="X9" s="9">
        <v>0.973333</v>
      </c>
      <c r="Y9" s="9" t="s">
        <v>85</v>
      </c>
      <c r="Z9" s="9" t="s">
        <v>85</v>
      </c>
      <c r="AA9" s="9">
        <v>0.96</v>
      </c>
      <c r="AB9" s="10" t="s">
        <v>85</v>
      </c>
      <c r="AC9" s="10" t="s">
        <v>85</v>
      </c>
      <c r="AD9" s="9" t="s">
        <v>85</v>
      </c>
      <c r="AE9" s="9" t="s">
        <v>85</v>
      </c>
      <c r="AF9" s="9" t="s">
        <v>85</v>
      </c>
      <c r="AG9" s="9" t="s">
        <v>85</v>
      </c>
      <c r="AH9" s="9" t="s">
        <v>85</v>
      </c>
      <c r="AI9" s="9" t="s">
        <v>85</v>
      </c>
      <c r="AJ9" s="9">
        <v>0.946667</v>
      </c>
      <c r="AK9" s="9" t="s">
        <v>85</v>
      </c>
      <c r="AL9" s="9" t="s">
        <v>85</v>
      </c>
      <c r="AM9" s="9">
        <v>0.9</v>
      </c>
      <c r="AN9" s="9" t="s">
        <v>85</v>
      </c>
      <c r="AO9" s="9" t="s">
        <v>85</v>
      </c>
      <c r="AP9" s="9" t="s">
        <v>85</v>
      </c>
      <c r="AQ9" s="9" t="s">
        <v>85</v>
      </c>
      <c r="AR9" s="9" t="s">
        <v>85</v>
      </c>
      <c r="AS9" s="9" t="s">
        <v>85</v>
      </c>
      <c r="AT9" s="9" t="s">
        <v>85</v>
      </c>
      <c r="AU9" s="9" t="s">
        <v>85</v>
      </c>
      <c r="AV9" s="9">
        <v>0.893333</v>
      </c>
      <c r="AW9" s="9" t="s">
        <v>85</v>
      </c>
      <c r="AX9" s="9" t="s">
        <v>85</v>
      </c>
      <c r="AY9" s="9">
        <v>0.893333</v>
      </c>
      <c r="AZ9" s="9" t="s">
        <v>85</v>
      </c>
      <c r="BA9" s="9" t="s">
        <v>85</v>
      </c>
      <c r="BB9" s="9" t="s">
        <v>85</v>
      </c>
      <c r="BC9" s="10" t="s">
        <v>85</v>
      </c>
      <c r="BD9" s="10" t="s">
        <v>85</v>
      </c>
      <c r="BE9" s="10" t="s">
        <v>85</v>
      </c>
      <c r="BF9" s="10" t="s">
        <v>85</v>
      </c>
      <c r="BG9" s="10" t="s">
        <v>85</v>
      </c>
      <c r="BH9" s="9" t="s">
        <v>85</v>
      </c>
      <c r="BI9" s="6"/>
      <c r="BJ9" s="6" t="str">
        <f t="shared" si="1"/>
        <v>5VB_One_Acc</v>
      </c>
      <c r="BK9" s="6" t="str">
        <f t="shared" si="2"/>
        <v>8V_One_Acc</v>
      </c>
      <c r="BL9" s="6" t="str">
        <f t="shared" si="3"/>
        <v>5V_One_Acc</v>
      </c>
      <c r="BM9" s="6"/>
      <c r="BN9" s="6">
        <f t="shared" si="4"/>
        <v>5</v>
      </c>
      <c r="BO9" s="6"/>
      <c r="BP9" s="6"/>
      <c r="BQ9" s="6" t="s">
        <v>296</v>
      </c>
      <c r="BR9" s="18">
        <f>COUNTIFS($BJ$3:$BJ$100,"*5*",$BJ$3:$BJ$100,"**V_*")</f>
        <v>23</v>
      </c>
      <c r="BS9" s="18">
        <f>COUNTIFS($BJ$3:$BJ$100,"*8*",$BJ$3:$BJ$100,"**V_*")</f>
        <v>14</v>
      </c>
      <c r="BT9" s="18">
        <f>COUNTIFS($BJ$3:$BJ$100,"*10*",$BJ$3:$BJ$100,"*V_*")</f>
        <v>8</v>
      </c>
      <c r="BU9" s="18">
        <f>COUNTIFS($BJ$3:$BJ$100,"*12*",$BJ$3:$BJ$100,"*V_*")</f>
        <v>10</v>
      </c>
      <c r="BV9" s="18">
        <f>COUNTIFS($BJ$3:$BJ$100,"*20*",$BJ$3:$BJ$100,"*V_*")</f>
        <v>0</v>
      </c>
      <c r="BW9" s="6">
        <f t="shared" ref="BW9:BW10" si="5">SUM(BR9:BV9)</f>
        <v>55</v>
      </c>
      <c r="BX9" s="6"/>
      <c r="BY9" s="6"/>
      <c r="BZ9" s="6"/>
    </row>
    <row r="10" ht="15.75" customHeight="1">
      <c r="A10" s="1" t="s">
        <v>99</v>
      </c>
      <c r="B10" s="17">
        <v>577.0</v>
      </c>
      <c r="C10" s="17">
        <v>4.0</v>
      </c>
      <c r="D10" s="9" t="s">
        <v>85</v>
      </c>
      <c r="E10" s="9" t="s">
        <v>85</v>
      </c>
      <c r="F10" s="9" t="s">
        <v>85</v>
      </c>
      <c r="G10" s="9" t="s">
        <v>85</v>
      </c>
      <c r="H10" s="9" t="s">
        <v>85</v>
      </c>
      <c r="I10" s="9" t="s">
        <v>85</v>
      </c>
      <c r="J10" s="9" t="s">
        <v>85</v>
      </c>
      <c r="K10" s="9" t="s">
        <v>85</v>
      </c>
      <c r="L10" s="9">
        <v>0.683333</v>
      </c>
      <c r="M10" s="9" t="s">
        <v>85</v>
      </c>
      <c r="N10" s="9" t="s">
        <v>85</v>
      </c>
      <c r="O10" s="9">
        <v>0.666667</v>
      </c>
      <c r="P10" s="9" t="s">
        <v>85</v>
      </c>
      <c r="Q10" s="9" t="s">
        <v>85</v>
      </c>
      <c r="R10" s="9" t="s">
        <v>85</v>
      </c>
      <c r="S10" s="9" t="s">
        <v>85</v>
      </c>
      <c r="T10" s="9" t="s">
        <v>85</v>
      </c>
      <c r="U10" s="9" t="s">
        <v>85</v>
      </c>
      <c r="V10" s="9" t="s">
        <v>85</v>
      </c>
      <c r="W10" s="9" t="s">
        <v>85</v>
      </c>
      <c r="X10" s="9">
        <v>0.716667</v>
      </c>
      <c r="Y10" s="9" t="s">
        <v>85</v>
      </c>
      <c r="Z10" s="9" t="s">
        <v>85</v>
      </c>
      <c r="AA10" s="9">
        <v>0.666667</v>
      </c>
      <c r="AB10" s="10" t="s">
        <v>85</v>
      </c>
      <c r="AC10" s="10" t="s">
        <v>85</v>
      </c>
      <c r="AD10" s="9" t="s">
        <v>85</v>
      </c>
      <c r="AE10" s="9" t="s">
        <v>85</v>
      </c>
      <c r="AF10" s="9" t="s">
        <v>85</v>
      </c>
      <c r="AG10" s="9" t="s">
        <v>85</v>
      </c>
      <c r="AH10" s="9" t="s">
        <v>85</v>
      </c>
      <c r="AI10" s="9" t="s">
        <v>85</v>
      </c>
      <c r="AJ10" s="9">
        <v>0.65</v>
      </c>
      <c r="AK10" s="9" t="s">
        <v>85</v>
      </c>
      <c r="AL10" s="9" t="s">
        <v>85</v>
      </c>
      <c r="AM10" s="9">
        <v>0.7</v>
      </c>
      <c r="AN10" s="9" t="s">
        <v>85</v>
      </c>
      <c r="AO10" s="9" t="s">
        <v>85</v>
      </c>
      <c r="AP10" s="9" t="s">
        <v>85</v>
      </c>
      <c r="AQ10" s="9" t="s">
        <v>85</v>
      </c>
      <c r="AR10" s="9" t="s">
        <v>85</v>
      </c>
      <c r="AS10" s="9" t="s">
        <v>85</v>
      </c>
      <c r="AT10" s="9" t="s">
        <v>85</v>
      </c>
      <c r="AU10" s="9" t="s">
        <v>85</v>
      </c>
      <c r="AV10" s="9">
        <v>0.766667</v>
      </c>
      <c r="AW10" s="9" t="s">
        <v>85</v>
      </c>
      <c r="AX10" s="9" t="s">
        <v>85</v>
      </c>
      <c r="AY10" s="9">
        <v>0.7</v>
      </c>
      <c r="AZ10" s="9" t="s">
        <v>85</v>
      </c>
      <c r="BA10" s="9" t="s">
        <v>85</v>
      </c>
      <c r="BB10" s="9" t="s">
        <v>85</v>
      </c>
      <c r="BC10" s="10" t="s">
        <v>85</v>
      </c>
      <c r="BD10" s="10" t="s">
        <v>85</v>
      </c>
      <c r="BE10" s="10" t="s">
        <v>85</v>
      </c>
      <c r="BF10" s="10" t="s">
        <v>85</v>
      </c>
      <c r="BG10" s="10" t="s">
        <v>85</v>
      </c>
      <c r="BH10" s="9" t="s">
        <v>85</v>
      </c>
      <c r="BI10" s="6"/>
      <c r="BJ10" s="6" t="str">
        <f t="shared" si="1"/>
        <v>12V_One_Acc</v>
      </c>
      <c r="BK10" s="6" t="str">
        <f t="shared" si="2"/>
        <v>8V_One_Acc</v>
      </c>
      <c r="BL10" s="6" t="str">
        <f t="shared" si="3"/>
        <v>10VB_One_Acc</v>
      </c>
      <c r="BM10" s="6"/>
      <c r="BN10" s="6">
        <f t="shared" si="4"/>
        <v>12</v>
      </c>
      <c r="BO10" s="6"/>
      <c r="BP10" s="6"/>
      <c r="BQ10" s="6" t="s">
        <v>297</v>
      </c>
      <c r="BR10" s="18">
        <f>COUNTIFS($BJ$3:$BJ$100,"*5*",$BJ$3:$BJ$100,"*VB_*")</f>
        <v>10</v>
      </c>
      <c r="BS10" s="18">
        <f>COUNTIFS($BJ$3:$BJ$100,"*8*",$BJ$3:$BJ$100,"*VB_*")</f>
        <v>10</v>
      </c>
      <c r="BT10" s="18">
        <f>COUNTIFS($BJ$3:$BJ$100,"*10*",$BJ$3:$BJ$100,"*VB_*")</f>
        <v>9</v>
      </c>
      <c r="BU10" s="18">
        <f>COUNTIFS($BJ$3:$BJ$100,"*12*",$BJ$3:$BJ$100,"*VB_*")</f>
        <v>14</v>
      </c>
      <c r="BV10" s="18">
        <f>COUNTIFS($BJ$3:$BJ$100,"*20*",$BJ$3:$BJ$100,"*VB_*")</f>
        <v>0</v>
      </c>
      <c r="BW10" s="6">
        <f t="shared" si="5"/>
        <v>43</v>
      </c>
      <c r="BX10" s="6"/>
      <c r="BY10" s="6"/>
      <c r="BZ10" s="6"/>
    </row>
    <row r="11" ht="15.75" customHeight="1">
      <c r="A11" s="1" t="s">
        <v>101</v>
      </c>
      <c r="B11" s="17">
        <v>128.0</v>
      </c>
      <c r="C11" s="17">
        <v>3.0</v>
      </c>
      <c r="D11" s="9" t="s">
        <v>85</v>
      </c>
      <c r="E11" s="9" t="s">
        <v>85</v>
      </c>
      <c r="F11" s="9" t="s">
        <v>85</v>
      </c>
      <c r="G11" s="9" t="s">
        <v>85</v>
      </c>
      <c r="H11" s="9" t="s">
        <v>85</v>
      </c>
      <c r="I11" s="9" t="s">
        <v>85</v>
      </c>
      <c r="J11" s="9" t="s">
        <v>85</v>
      </c>
      <c r="K11" s="9" t="s">
        <v>85</v>
      </c>
      <c r="L11" s="9">
        <v>0.984444</v>
      </c>
      <c r="M11" s="9" t="s">
        <v>85</v>
      </c>
      <c r="N11" s="9" t="s">
        <v>85</v>
      </c>
      <c r="O11" s="9">
        <v>0.975556</v>
      </c>
      <c r="P11" s="9" t="s">
        <v>85</v>
      </c>
      <c r="Q11" s="9" t="s">
        <v>85</v>
      </c>
      <c r="R11" s="9" t="s">
        <v>85</v>
      </c>
      <c r="S11" s="9" t="s">
        <v>85</v>
      </c>
      <c r="T11" s="9" t="s">
        <v>85</v>
      </c>
      <c r="U11" s="9" t="s">
        <v>85</v>
      </c>
      <c r="V11" s="9" t="s">
        <v>85</v>
      </c>
      <c r="W11" s="9" t="s">
        <v>85</v>
      </c>
      <c r="X11" s="9">
        <v>0.945556</v>
      </c>
      <c r="Y11" s="9" t="s">
        <v>85</v>
      </c>
      <c r="Z11" s="9" t="s">
        <v>85</v>
      </c>
      <c r="AA11" s="9">
        <v>0.956667</v>
      </c>
      <c r="AB11" s="10" t="s">
        <v>85</v>
      </c>
      <c r="AC11" s="10" t="s">
        <v>85</v>
      </c>
      <c r="AD11" s="9" t="s">
        <v>85</v>
      </c>
      <c r="AE11" s="9" t="s">
        <v>85</v>
      </c>
      <c r="AF11" s="9" t="s">
        <v>85</v>
      </c>
      <c r="AG11" s="9" t="s">
        <v>85</v>
      </c>
      <c r="AH11" s="9" t="s">
        <v>85</v>
      </c>
      <c r="AI11" s="9" t="s">
        <v>85</v>
      </c>
      <c r="AJ11" s="9">
        <v>0.974444</v>
      </c>
      <c r="AK11" s="9" t="s">
        <v>85</v>
      </c>
      <c r="AL11" s="9" t="s">
        <v>85</v>
      </c>
      <c r="AM11" s="9">
        <v>0.975556</v>
      </c>
      <c r="AN11" s="9" t="s">
        <v>85</v>
      </c>
      <c r="AO11" s="9" t="s">
        <v>85</v>
      </c>
      <c r="AP11" s="9" t="s">
        <v>85</v>
      </c>
      <c r="AQ11" s="9" t="s">
        <v>85</v>
      </c>
      <c r="AR11" s="9" t="s">
        <v>85</v>
      </c>
      <c r="AS11" s="9" t="s">
        <v>85</v>
      </c>
      <c r="AT11" s="9" t="s">
        <v>85</v>
      </c>
      <c r="AU11" s="9" t="s">
        <v>85</v>
      </c>
      <c r="AV11" s="9">
        <v>0.933333</v>
      </c>
      <c r="AW11" s="9" t="s">
        <v>85</v>
      </c>
      <c r="AX11" s="9" t="s">
        <v>85</v>
      </c>
      <c r="AY11" s="9">
        <v>0.948889</v>
      </c>
      <c r="AZ11" s="9" t="s">
        <v>85</v>
      </c>
      <c r="BA11" s="9" t="s">
        <v>85</v>
      </c>
      <c r="BB11" s="9" t="s">
        <v>85</v>
      </c>
      <c r="BC11" s="10" t="s">
        <v>85</v>
      </c>
      <c r="BD11" s="10" t="s">
        <v>85</v>
      </c>
      <c r="BE11" s="10" t="s">
        <v>85</v>
      </c>
      <c r="BF11" s="10" t="s">
        <v>85</v>
      </c>
      <c r="BG11" s="10" t="s">
        <v>85</v>
      </c>
      <c r="BH11" s="9" t="s">
        <v>85</v>
      </c>
      <c r="BI11" s="6"/>
      <c r="BJ11" s="6" t="str">
        <f t="shared" si="1"/>
        <v>5V_One_Acc</v>
      </c>
      <c r="BK11" s="6" t="str">
        <f t="shared" si="2"/>
        <v>5VB_One_Acc</v>
      </c>
      <c r="BL11" s="6" t="str">
        <f t="shared" si="3"/>
        <v>5VB_One_Acc</v>
      </c>
      <c r="BM11" s="6"/>
      <c r="BN11" s="6">
        <f t="shared" si="4"/>
        <v>5</v>
      </c>
      <c r="BO11" s="6"/>
      <c r="BP11" s="6"/>
      <c r="BQ11" s="6"/>
      <c r="BR11" s="6"/>
      <c r="BT11" s="6"/>
      <c r="BU11" s="6"/>
      <c r="BV11" s="6"/>
      <c r="BW11" s="6"/>
      <c r="BX11" s="6"/>
      <c r="BY11" s="6"/>
      <c r="BZ11" s="6"/>
    </row>
    <row r="12" ht="15.75" customHeight="1">
      <c r="A12" s="1" t="s">
        <v>103</v>
      </c>
      <c r="B12" s="17">
        <v>24.0</v>
      </c>
      <c r="C12" s="17">
        <v>2.0</v>
      </c>
      <c r="D12" s="9" t="s">
        <v>85</v>
      </c>
      <c r="E12" s="9" t="s">
        <v>85</v>
      </c>
      <c r="F12" s="9" t="s">
        <v>85</v>
      </c>
      <c r="G12" s="9" t="s">
        <v>85</v>
      </c>
      <c r="H12" s="9" t="s">
        <v>85</v>
      </c>
      <c r="I12" s="9" t="s">
        <v>85</v>
      </c>
      <c r="J12" s="9" t="s">
        <v>85</v>
      </c>
      <c r="K12" s="9" t="s">
        <v>85</v>
      </c>
      <c r="L12" s="9">
        <v>0.962099</v>
      </c>
      <c r="M12" s="9" t="s">
        <v>85</v>
      </c>
      <c r="N12" s="9" t="s">
        <v>85</v>
      </c>
      <c r="O12" s="9">
        <v>0.965015</v>
      </c>
      <c r="P12" s="9" t="s">
        <v>85</v>
      </c>
      <c r="Q12" s="9" t="s">
        <v>85</v>
      </c>
      <c r="R12" s="9" t="s">
        <v>85</v>
      </c>
      <c r="S12" s="9" t="s">
        <v>85</v>
      </c>
      <c r="T12" s="9" t="s">
        <v>85</v>
      </c>
      <c r="U12" s="9" t="s">
        <v>85</v>
      </c>
      <c r="V12" s="9" t="s">
        <v>85</v>
      </c>
      <c r="W12" s="9" t="s">
        <v>85</v>
      </c>
      <c r="X12" s="9">
        <v>0.944606</v>
      </c>
      <c r="Y12" s="9" t="s">
        <v>85</v>
      </c>
      <c r="Z12" s="9" t="s">
        <v>85</v>
      </c>
      <c r="AA12" s="9">
        <v>0.944606</v>
      </c>
      <c r="AB12" s="10" t="s">
        <v>85</v>
      </c>
      <c r="AC12" s="10" t="s">
        <v>85</v>
      </c>
      <c r="AD12" s="9" t="s">
        <v>85</v>
      </c>
      <c r="AE12" s="9" t="s">
        <v>85</v>
      </c>
      <c r="AF12" s="9" t="s">
        <v>85</v>
      </c>
      <c r="AG12" s="9" t="s">
        <v>85</v>
      </c>
      <c r="AH12" s="9" t="s">
        <v>85</v>
      </c>
      <c r="AI12" s="9" t="s">
        <v>85</v>
      </c>
      <c r="AJ12" s="9">
        <v>0.947522</v>
      </c>
      <c r="AK12" s="9" t="s">
        <v>85</v>
      </c>
      <c r="AL12" s="9" t="s">
        <v>85</v>
      </c>
      <c r="AM12" s="9">
        <v>0.932945</v>
      </c>
      <c r="AN12" s="9" t="s">
        <v>85</v>
      </c>
      <c r="AO12" s="9" t="s">
        <v>85</v>
      </c>
      <c r="AP12" s="9" t="s">
        <v>85</v>
      </c>
      <c r="AQ12" s="9" t="s">
        <v>85</v>
      </c>
      <c r="AR12" s="9" t="s">
        <v>85</v>
      </c>
      <c r="AS12" s="9" t="s">
        <v>85</v>
      </c>
      <c r="AT12" s="9" t="s">
        <v>85</v>
      </c>
      <c r="AU12" s="9" t="s">
        <v>85</v>
      </c>
      <c r="AV12" s="9">
        <v>0.932945</v>
      </c>
      <c r="AW12" s="9" t="s">
        <v>85</v>
      </c>
      <c r="AX12" s="9" t="s">
        <v>85</v>
      </c>
      <c r="AY12" s="9">
        <v>0.956268</v>
      </c>
      <c r="AZ12" s="9" t="s">
        <v>85</v>
      </c>
      <c r="BA12" s="9" t="s">
        <v>85</v>
      </c>
      <c r="BB12" s="9" t="s">
        <v>85</v>
      </c>
      <c r="BC12" s="10" t="s">
        <v>85</v>
      </c>
      <c r="BD12" s="10" t="s">
        <v>85</v>
      </c>
      <c r="BE12" s="10" t="s">
        <v>85</v>
      </c>
      <c r="BF12" s="10" t="s">
        <v>85</v>
      </c>
      <c r="BG12" s="10" t="s">
        <v>85</v>
      </c>
      <c r="BH12" s="9" t="s">
        <v>85</v>
      </c>
      <c r="BI12" s="6"/>
      <c r="BJ12" s="6" t="str">
        <f t="shared" si="1"/>
        <v>5VB_One_Acc</v>
      </c>
      <c r="BK12" s="6" t="str">
        <f t="shared" si="2"/>
        <v>5V_One_Acc</v>
      </c>
      <c r="BL12" s="6" t="str">
        <f t="shared" si="3"/>
        <v>12VB_One_Acc</v>
      </c>
      <c r="BM12" s="6"/>
      <c r="BN12" s="6">
        <f t="shared" si="4"/>
        <v>5</v>
      </c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</row>
    <row r="13" ht="15.75" customHeight="1">
      <c r="A13" s="1" t="s">
        <v>105</v>
      </c>
      <c r="B13" s="17">
        <v>166.0</v>
      </c>
      <c r="C13" s="17">
        <v>3.0</v>
      </c>
      <c r="D13" s="9" t="s">
        <v>85</v>
      </c>
      <c r="E13" s="9" t="s">
        <v>85</v>
      </c>
      <c r="F13" s="9" t="s">
        <v>85</v>
      </c>
      <c r="G13" s="9" t="s">
        <v>85</v>
      </c>
      <c r="H13" s="9" t="s">
        <v>85</v>
      </c>
      <c r="I13" s="9" t="s">
        <v>85</v>
      </c>
      <c r="J13" s="9" t="s">
        <v>85</v>
      </c>
      <c r="K13" s="9" t="s">
        <v>85</v>
      </c>
      <c r="L13" s="9">
        <v>0.532552</v>
      </c>
      <c r="M13" s="9" t="s">
        <v>85</v>
      </c>
      <c r="N13" s="9" t="s">
        <v>85</v>
      </c>
      <c r="O13" s="9">
        <v>0.532552</v>
      </c>
      <c r="P13" s="9" t="s">
        <v>85</v>
      </c>
      <c r="Q13" s="9" t="s">
        <v>85</v>
      </c>
      <c r="R13" s="9" t="s">
        <v>85</v>
      </c>
      <c r="S13" s="9" t="s">
        <v>85</v>
      </c>
      <c r="T13" s="9" t="s">
        <v>85</v>
      </c>
      <c r="U13" s="9" t="s">
        <v>85</v>
      </c>
      <c r="V13" s="9" t="s">
        <v>85</v>
      </c>
      <c r="W13" s="9" t="s">
        <v>85</v>
      </c>
      <c r="X13" s="9">
        <v>0.56276</v>
      </c>
      <c r="Y13" s="9" t="s">
        <v>85</v>
      </c>
      <c r="Z13" s="9" t="s">
        <v>85</v>
      </c>
      <c r="AA13" s="9">
        <v>0.532552</v>
      </c>
      <c r="AB13" s="10" t="s">
        <v>85</v>
      </c>
      <c r="AC13" s="10" t="s">
        <v>85</v>
      </c>
      <c r="AD13" s="9" t="s">
        <v>85</v>
      </c>
      <c r="AE13" s="9" t="s">
        <v>85</v>
      </c>
      <c r="AF13" s="9" t="s">
        <v>85</v>
      </c>
      <c r="AG13" s="9" t="s">
        <v>85</v>
      </c>
      <c r="AH13" s="9" t="s">
        <v>85</v>
      </c>
      <c r="AI13" s="9" t="s">
        <v>85</v>
      </c>
      <c r="AJ13" s="9">
        <v>0.532552</v>
      </c>
      <c r="AK13" s="9" t="s">
        <v>85</v>
      </c>
      <c r="AL13" s="9" t="s">
        <v>85</v>
      </c>
      <c r="AM13" s="9">
        <v>0.532552</v>
      </c>
      <c r="AN13" s="9" t="s">
        <v>85</v>
      </c>
      <c r="AO13" s="9" t="s">
        <v>85</v>
      </c>
      <c r="AP13" s="9" t="s">
        <v>85</v>
      </c>
      <c r="AQ13" s="9" t="s">
        <v>85</v>
      </c>
      <c r="AR13" s="9" t="s">
        <v>85</v>
      </c>
      <c r="AS13" s="9" t="s">
        <v>85</v>
      </c>
      <c r="AT13" s="9" t="s">
        <v>85</v>
      </c>
      <c r="AU13" s="9" t="s">
        <v>85</v>
      </c>
      <c r="AV13" s="9">
        <v>0.59974</v>
      </c>
      <c r="AW13" s="9" t="s">
        <v>85</v>
      </c>
      <c r="AX13" s="9" t="s">
        <v>85</v>
      </c>
      <c r="AY13" s="9">
        <v>0.532552</v>
      </c>
      <c r="AZ13" s="9" t="s">
        <v>85</v>
      </c>
      <c r="BA13" s="9" t="s">
        <v>85</v>
      </c>
      <c r="BB13" s="9" t="s">
        <v>85</v>
      </c>
      <c r="BC13" s="10" t="s">
        <v>85</v>
      </c>
      <c r="BD13" s="10" t="s">
        <v>85</v>
      </c>
      <c r="BE13" s="10" t="s">
        <v>85</v>
      </c>
      <c r="BF13" s="10" t="s">
        <v>85</v>
      </c>
      <c r="BG13" s="10" t="s">
        <v>85</v>
      </c>
      <c r="BH13" s="9" t="s">
        <v>85</v>
      </c>
      <c r="BI13" s="6"/>
      <c r="BJ13" s="6" t="str">
        <f t="shared" si="1"/>
        <v>12V_One_Acc</v>
      </c>
      <c r="BK13" s="6" t="str">
        <f t="shared" si="2"/>
        <v>8V_One_Acc</v>
      </c>
      <c r="BL13" s="6" t="str">
        <f t="shared" si="3"/>
        <v>5V_One_Acc</v>
      </c>
      <c r="BM13" s="6"/>
      <c r="BN13" s="6">
        <f t="shared" si="4"/>
        <v>12</v>
      </c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</row>
    <row r="14" ht="15.75" customHeight="1">
      <c r="A14" s="1" t="s">
        <v>107</v>
      </c>
      <c r="B14" s="17">
        <v>1639.0</v>
      </c>
      <c r="C14" s="17">
        <v>4.0</v>
      </c>
      <c r="D14" s="9" t="s">
        <v>85</v>
      </c>
      <c r="E14" s="9" t="s">
        <v>85</v>
      </c>
      <c r="F14" s="9" t="s">
        <v>85</v>
      </c>
      <c r="G14" s="9" t="s">
        <v>85</v>
      </c>
      <c r="H14" s="9" t="s">
        <v>85</v>
      </c>
      <c r="I14" s="9" t="s">
        <v>85</v>
      </c>
      <c r="J14" s="9" t="s">
        <v>85</v>
      </c>
      <c r="K14" s="9" t="s">
        <v>85</v>
      </c>
      <c r="L14" s="9">
        <v>0.496377</v>
      </c>
      <c r="M14" s="9" t="s">
        <v>85</v>
      </c>
      <c r="N14" s="9" t="s">
        <v>85</v>
      </c>
      <c r="O14" s="9">
        <v>0.494203</v>
      </c>
      <c r="P14" s="9" t="s">
        <v>85</v>
      </c>
      <c r="Q14" s="9" t="s">
        <v>85</v>
      </c>
      <c r="R14" s="9" t="s">
        <v>85</v>
      </c>
      <c r="S14" s="9" t="s">
        <v>85</v>
      </c>
      <c r="T14" s="9" t="s">
        <v>85</v>
      </c>
      <c r="U14" s="9" t="s">
        <v>85</v>
      </c>
      <c r="V14" s="9" t="s">
        <v>85</v>
      </c>
      <c r="W14" s="9" t="s">
        <v>85</v>
      </c>
      <c r="X14" s="9">
        <v>0.628261</v>
      </c>
      <c r="Y14" s="9" t="s">
        <v>85</v>
      </c>
      <c r="Z14" s="9" t="s">
        <v>85</v>
      </c>
      <c r="AA14" s="9">
        <v>0.602899</v>
      </c>
      <c r="AB14" s="10" t="s">
        <v>85</v>
      </c>
      <c r="AC14" s="10" t="s">
        <v>85</v>
      </c>
      <c r="AD14" s="9" t="s">
        <v>85</v>
      </c>
      <c r="AE14" s="9" t="s">
        <v>85</v>
      </c>
      <c r="AF14" s="9" t="s">
        <v>85</v>
      </c>
      <c r="AG14" s="9" t="s">
        <v>85</v>
      </c>
      <c r="AH14" s="9" t="s">
        <v>85</v>
      </c>
      <c r="AI14" s="9" t="s">
        <v>85</v>
      </c>
      <c r="AJ14" s="9">
        <v>0.641304</v>
      </c>
      <c r="AK14" s="9" t="s">
        <v>85</v>
      </c>
      <c r="AL14" s="9" t="s">
        <v>85</v>
      </c>
      <c r="AM14" s="9">
        <v>0.634058</v>
      </c>
      <c r="AN14" s="9" t="s">
        <v>85</v>
      </c>
      <c r="AO14" s="9" t="s">
        <v>85</v>
      </c>
      <c r="AP14" s="9" t="s">
        <v>85</v>
      </c>
      <c r="AQ14" s="9" t="s">
        <v>85</v>
      </c>
      <c r="AR14" s="9" t="s">
        <v>85</v>
      </c>
      <c r="AS14" s="9" t="s">
        <v>85</v>
      </c>
      <c r="AT14" s="9" t="s">
        <v>85</v>
      </c>
      <c r="AU14" s="9" t="s">
        <v>85</v>
      </c>
      <c r="AV14" s="9">
        <v>0.697826</v>
      </c>
      <c r="AW14" s="9" t="s">
        <v>85</v>
      </c>
      <c r="AX14" s="9" t="s">
        <v>85</v>
      </c>
      <c r="AY14" s="9">
        <v>0.742029</v>
      </c>
      <c r="AZ14" s="9" t="s">
        <v>85</v>
      </c>
      <c r="BA14" s="9" t="s">
        <v>85</v>
      </c>
      <c r="BB14" s="9" t="s">
        <v>85</v>
      </c>
      <c r="BC14" s="10" t="s">
        <v>85</v>
      </c>
      <c r="BD14" s="10" t="s">
        <v>85</v>
      </c>
      <c r="BE14" s="10" t="s">
        <v>85</v>
      </c>
      <c r="BF14" s="10" t="s">
        <v>85</v>
      </c>
      <c r="BG14" s="10" t="s">
        <v>85</v>
      </c>
      <c r="BH14" s="9" t="s">
        <v>85</v>
      </c>
      <c r="BI14" s="6"/>
      <c r="BJ14" s="6" t="str">
        <f t="shared" si="1"/>
        <v>12VB_One_Acc</v>
      </c>
      <c r="BK14" s="6" t="str">
        <f t="shared" si="2"/>
        <v>12V_One_Acc</v>
      </c>
      <c r="BL14" s="6" t="str">
        <f t="shared" si="3"/>
        <v>10V_One_Acc</v>
      </c>
      <c r="BM14" s="6"/>
      <c r="BN14" s="6">
        <f t="shared" si="4"/>
        <v>12</v>
      </c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</row>
    <row r="15" ht="15.75" customHeight="1">
      <c r="A15" s="1" t="s">
        <v>109</v>
      </c>
      <c r="B15" s="17">
        <v>286.0</v>
      </c>
      <c r="C15" s="17">
        <v>2.0</v>
      </c>
      <c r="D15" s="9" t="s">
        <v>85</v>
      </c>
      <c r="E15" s="9" t="s">
        <v>85</v>
      </c>
      <c r="F15" s="9" t="s">
        <v>85</v>
      </c>
      <c r="G15" s="9" t="s">
        <v>85</v>
      </c>
      <c r="H15" s="9" t="s">
        <v>85</v>
      </c>
      <c r="I15" s="9" t="s">
        <v>85</v>
      </c>
      <c r="J15" s="9" t="s">
        <v>85</v>
      </c>
      <c r="K15" s="9" t="s">
        <v>85</v>
      </c>
      <c r="L15" s="9">
        <v>0.821429</v>
      </c>
      <c r="M15" s="9" t="s">
        <v>85</v>
      </c>
      <c r="N15" s="9" t="s">
        <v>85</v>
      </c>
      <c r="O15" s="9">
        <v>0.75</v>
      </c>
      <c r="P15" s="9" t="s">
        <v>85</v>
      </c>
      <c r="Q15" s="9" t="s">
        <v>85</v>
      </c>
      <c r="R15" s="9" t="s">
        <v>85</v>
      </c>
      <c r="S15" s="9" t="s">
        <v>85</v>
      </c>
      <c r="T15" s="9" t="s">
        <v>85</v>
      </c>
      <c r="U15" s="9" t="s">
        <v>85</v>
      </c>
      <c r="V15" s="9" t="s">
        <v>85</v>
      </c>
      <c r="W15" s="9" t="s">
        <v>85</v>
      </c>
      <c r="X15" s="9">
        <v>0.964286</v>
      </c>
      <c r="Y15" s="9" t="s">
        <v>85</v>
      </c>
      <c r="Z15" s="9" t="s">
        <v>85</v>
      </c>
      <c r="AA15" s="9">
        <v>1.0</v>
      </c>
      <c r="AB15" s="10" t="s">
        <v>85</v>
      </c>
      <c r="AC15" s="10" t="s">
        <v>85</v>
      </c>
      <c r="AD15" s="9" t="s">
        <v>85</v>
      </c>
      <c r="AE15" s="9" t="s">
        <v>85</v>
      </c>
      <c r="AF15" s="9" t="s">
        <v>85</v>
      </c>
      <c r="AG15" s="9" t="s">
        <v>85</v>
      </c>
      <c r="AH15" s="9" t="s">
        <v>85</v>
      </c>
      <c r="AI15" s="9" t="s">
        <v>85</v>
      </c>
      <c r="AJ15" s="9">
        <v>0.857143</v>
      </c>
      <c r="AK15" s="9" t="s">
        <v>85</v>
      </c>
      <c r="AL15" s="9" t="s">
        <v>85</v>
      </c>
      <c r="AM15" s="9">
        <v>0.857143</v>
      </c>
      <c r="AN15" s="9" t="s">
        <v>85</v>
      </c>
      <c r="AO15" s="9" t="s">
        <v>85</v>
      </c>
      <c r="AP15" s="9" t="s">
        <v>85</v>
      </c>
      <c r="AQ15" s="9" t="s">
        <v>85</v>
      </c>
      <c r="AR15" s="9" t="s">
        <v>85</v>
      </c>
      <c r="AS15" s="9" t="s">
        <v>85</v>
      </c>
      <c r="AT15" s="9" t="s">
        <v>85</v>
      </c>
      <c r="AU15" s="9" t="s">
        <v>85</v>
      </c>
      <c r="AV15" s="9">
        <v>0.964286</v>
      </c>
      <c r="AW15" s="9" t="s">
        <v>85</v>
      </c>
      <c r="AX15" s="9" t="s">
        <v>85</v>
      </c>
      <c r="AY15" s="9">
        <v>0.964286</v>
      </c>
      <c r="AZ15" s="9" t="s">
        <v>85</v>
      </c>
      <c r="BA15" s="9" t="s">
        <v>85</v>
      </c>
      <c r="BB15" s="9" t="s">
        <v>85</v>
      </c>
      <c r="BC15" s="10" t="s">
        <v>85</v>
      </c>
      <c r="BD15" s="10" t="s">
        <v>85</v>
      </c>
      <c r="BE15" s="10" t="s">
        <v>85</v>
      </c>
      <c r="BF15" s="10" t="s">
        <v>85</v>
      </c>
      <c r="BG15" s="10" t="s">
        <v>85</v>
      </c>
      <c r="BH15" s="9" t="s">
        <v>85</v>
      </c>
      <c r="BI15" s="6"/>
      <c r="BJ15" s="6" t="str">
        <f t="shared" si="1"/>
        <v>8VB_One_Acc</v>
      </c>
      <c r="BK15" s="6" t="str">
        <f t="shared" si="2"/>
        <v>8V_One_Acc</v>
      </c>
      <c r="BL15" s="6" t="str">
        <f t="shared" si="3"/>
        <v>8V_One_Acc</v>
      </c>
      <c r="BM15" s="6"/>
      <c r="BN15" s="6">
        <f t="shared" si="4"/>
        <v>8</v>
      </c>
      <c r="BO15" s="6"/>
      <c r="BP15" s="6"/>
      <c r="BR15" s="6"/>
      <c r="BS15" s="6"/>
      <c r="BT15" s="6"/>
      <c r="BU15" s="6"/>
      <c r="BV15" s="6"/>
      <c r="BW15" s="21" t="s">
        <v>289</v>
      </c>
      <c r="BX15" s="18" t="s">
        <v>290</v>
      </c>
      <c r="BY15" s="18" t="s">
        <v>291</v>
      </c>
      <c r="BZ15" s="18" t="s">
        <v>292</v>
      </c>
    </row>
    <row r="16" ht="15.75" customHeight="1">
      <c r="A16" s="1" t="s">
        <v>110</v>
      </c>
      <c r="B16" s="17">
        <v>720.0</v>
      </c>
      <c r="C16" s="17">
        <v>2.0</v>
      </c>
      <c r="D16" s="9" t="s">
        <v>85</v>
      </c>
      <c r="E16" s="9" t="s">
        <v>85</v>
      </c>
      <c r="F16" s="9" t="s">
        <v>85</v>
      </c>
      <c r="G16" s="9" t="s">
        <v>85</v>
      </c>
      <c r="H16" s="9" t="s">
        <v>85</v>
      </c>
      <c r="I16" s="9" t="s">
        <v>85</v>
      </c>
      <c r="J16" s="9" t="s">
        <v>85</v>
      </c>
      <c r="K16" s="9" t="s">
        <v>85</v>
      </c>
      <c r="L16" s="9">
        <v>0.684</v>
      </c>
      <c r="M16" s="9" t="s">
        <v>85</v>
      </c>
      <c r="N16" s="9" t="s">
        <v>85</v>
      </c>
      <c r="O16" s="9">
        <v>0.672</v>
      </c>
      <c r="P16" s="9" t="s">
        <v>85</v>
      </c>
      <c r="Q16" s="9" t="s">
        <v>85</v>
      </c>
      <c r="R16" s="9" t="s">
        <v>85</v>
      </c>
      <c r="S16" s="9" t="s">
        <v>85</v>
      </c>
      <c r="T16" s="9" t="s">
        <v>85</v>
      </c>
      <c r="U16" s="9" t="s">
        <v>85</v>
      </c>
      <c r="V16" s="9" t="s">
        <v>85</v>
      </c>
      <c r="W16" s="9" t="s">
        <v>85</v>
      </c>
      <c r="X16" s="9">
        <v>0.712</v>
      </c>
      <c r="Y16" s="9" t="s">
        <v>85</v>
      </c>
      <c r="Z16" s="9" t="s">
        <v>85</v>
      </c>
      <c r="AA16" s="9">
        <v>0.692</v>
      </c>
      <c r="AB16" s="10" t="s">
        <v>85</v>
      </c>
      <c r="AC16" s="10" t="s">
        <v>85</v>
      </c>
      <c r="AD16" s="9" t="s">
        <v>85</v>
      </c>
      <c r="AE16" s="9" t="s">
        <v>85</v>
      </c>
      <c r="AF16" s="9" t="s">
        <v>85</v>
      </c>
      <c r="AG16" s="9" t="s">
        <v>85</v>
      </c>
      <c r="AH16" s="9" t="s">
        <v>85</v>
      </c>
      <c r="AI16" s="9" t="s">
        <v>85</v>
      </c>
      <c r="AJ16" s="9">
        <v>0.616</v>
      </c>
      <c r="AK16" s="9" t="s">
        <v>85</v>
      </c>
      <c r="AL16" s="9" t="s">
        <v>85</v>
      </c>
      <c r="AM16" s="9">
        <v>0.676</v>
      </c>
      <c r="AN16" s="9" t="s">
        <v>85</v>
      </c>
      <c r="AO16" s="9" t="s">
        <v>85</v>
      </c>
      <c r="AP16" s="9" t="s">
        <v>85</v>
      </c>
      <c r="AQ16" s="9" t="s">
        <v>85</v>
      </c>
      <c r="AR16" s="9" t="s">
        <v>85</v>
      </c>
      <c r="AS16" s="9" t="s">
        <v>85</v>
      </c>
      <c r="AT16" s="9" t="s">
        <v>85</v>
      </c>
      <c r="AU16" s="9" t="s">
        <v>85</v>
      </c>
      <c r="AV16" s="9">
        <v>0.648</v>
      </c>
      <c r="AW16" s="9" t="s">
        <v>85</v>
      </c>
      <c r="AX16" s="9" t="s">
        <v>85</v>
      </c>
      <c r="AY16" s="9">
        <v>0.644</v>
      </c>
      <c r="AZ16" s="9" t="s">
        <v>85</v>
      </c>
      <c r="BA16" s="9" t="s">
        <v>85</v>
      </c>
      <c r="BB16" s="9" t="s">
        <v>85</v>
      </c>
      <c r="BC16" s="10" t="s">
        <v>85</v>
      </c>
      <c r="BD16" s="10" t="s">
        <v>85</v>
      </c>
      <c r="BE16" s="10" t="s">
        <v>85</v>
      </c>
      <c r="BF16" s="10" t="s">
        <v>85</v>
      </c>
      <c r="BG16" s="10" t="s">
        <v>85</v>
      </c>
      <c r="BH16" s="9" t="s">
        <v>85</v>
      </c>
      <c r="BI16" s="6"/>
      <c r="BJ16" s="6" t="str">
        <f t="shared" si="1"/>
        <v>8V_One_Acc</v>
      </c>
      <c r="BK16" s="6" t="str">
        <f t="shared" si="2"/>
        <v>8VB_One_Acc</v>
      </c>
      <c r="BL16" s="6" t="str">
        <f t="shared" si="3"/>
        <v>5V_One_Acc</v>
      </c>
      <c r="BM16" s="6"/>
      <c r="BN16" s="6">
        <f t="shared" si="4"/>
        <v>8</v>
      </c>
      <c r="BO16" s="6"/>
      <c r="BP16" s="6"/>
      <c r="BR16" s="6"/>
      <c r="BS16" s="6"/>
      <c r="BT16" s="6"/>
      <c r="BU16" s="6"/>
      <c r="BV16" s="6"/>
      <c r="BW16" s="18" t="s">
        <v>290</v>
      </c>
      <c r="BX16" s="22">
        <v>1.0</v>
      </c>
      <c r="BY16" s="22"/>
      <c r="BZ16" s="22"/>
    </row>
    <row r="17" ht="15.75" customHeight="1">
      <c r="A17" s="1" t="s">
        <v>111</v>
      </c>
      <c r="B17" s="17">
        <v>46.0</v>
      </c>
      <c r="C17" s="17">
        <v>24.0</v>
      </c>
      <c r="D17" s="9" t="s">
        <v>85</v>
      </c>
      <c r="E17" s="9" t="s">
        <v>85</v>
      </c>
      <c r="F17" s="9" t="s">
        <v>85</v>
      </c>
      <c r="G17" s="9" t="s">
        <v>85</v>
      </c>
      <c r="H17" s="9" t="s">
        <v>85</v>
      </c>
      <c r="I17" s="9" t="s">
        <v>85</v>
      </c>
      <c r="J17" s="9" t="s">
        <v>85</v>
      </c>
      <c r="K17" s="9" t="s">
        <v>85</v>
      </c>
      <c r="L17" s="9">
        <v>0.253274</v>
      </c>
      <c r="M17" s="9" t="s">
        <v>85</v>
      </c>
      <c r="N17" s="9" t="s">
        <v>85</v>
      </c>
      <c r="O17" s="9">
        <v>0.37631</v>
      </c>
      <c r="P17" s="9" t="s">
        <v>85</v>
      </c>
      <c r="Q17" s="9" t="s">
        <v>85</v>
      </c>
      <c r="R17" s="9" t="s">
        <v>85</v>
      </c>
      <c r="S17" s="9" t="s">
        <v>85</v>
      </c>
      <c r="T17" s="9" t="s">
        <v>85</v>
      </c>
      <c r="U17" s="9" t="s">
        <v>85</v>
      </c>
      <c r="V17" s="9" t="s">
        <v>85</v>
      </c>
      <c r="W17" s="9" t="s">
        <v>85</v>
      </c>
      <c r="X17" s="9">
        <v>0.489762</v>
      </c>
      <c r="Y17" s="9" t="s">
        <v>85</v>
      </c>
      <c r="Z17" s="9" t="s">
        <v>85</v>
      </c>
      <c r="AA17" s="9">
        <v>0.255119</v>
      </c>
      <c r="AB17" s="10" t="s">
        <v>85</v>
      </c>
      <c r="AC17" s="10" t="s">
        <v>85</v>
      </c>
      <c r="AD17" s="9" t="s">
        <v>85</v>
      </c>
      <c r="AE17" s="9" t="s">
        <v>85</v>
      </c>
      <c r="AF17" s="9" t="s">
        <v>85</v>
      </c>
      <c r="AG17" s="9" t="s">
        <v>85</v>
      </c>
      <c r="AH17" s="9" t="s">
        <v>85</v>
      </c>
      <c r="AI17" s="9" t="s">
        <v>85</v>
      </c>
      <c r="AJ17" s="9">
        <v>0.407679</v>
      </c>
      <c r="AK17" s="9" t="s">
        <v>85</v>
      </c>
      <c r="AL17" s="9" t="s">
        <v>85</v>
      </c>
      <c r="AM17" s="9">
        <v>0.2325</v>
      </c>
      <c r="AN17" s="9" t="s">
        <v>85</v>
      </c>
      <c r="AO17" s="9" t="s">
        <v>85</v>
      </c>
      <c r="AP17" s="9" t="s">
        <v>85</v>
      </c>
      <c r="AQ17" s="9" t="s">
        <v>85</v>
      </c>
      <c r="AR17" s="9" t="s">
        <v>85</v>
      </c>
      <c r="AS17" s="9" t="s">
        <v>85</v>
      </c>
      <c r="AT17" s="9" t="s">
        <v>85</v>
      </c>
      <c r="AU17" s="9" t="s">
        <v>85</v>
      </c>
      <c r="AV17" s="9">
        <v>0.593988</v>
      </c>
      <c r="AW17" s="9" t="s">
        <v>85</v>
      </c>
      <c r="AX17" s="9" t="s">
        <v>85</v>
      </c>
      <c r="AY17" s="9">
        <v>0.354048</v>
      </c>
      <c r="AZ17" s="9" t="s">
        <v>85</v>
      </c>
      <c r="BA17" s="9" t="s">
        <v>85</v>
      </c>
      <c r="BB17" s="9" t="s">
        <v>85</v>
      </c>
      <c r="BC17" s="10" t="s">
        <v>85</v>
      </c>
      <c r="BD17" s="10" t="s">
        <v>85</v>
      </c>
      <c r="BE17" s="10" t="s">
        <v>85</v>
      </c>
      <c r="BF17" s="10" t="s">
        <v>85</v>
      </c>
      <c r="BG17" s="10" t="s">
        <v>85</v>
      </c>
      <c r="BH17" s="9" t="s">
        <v>85</v>
      </c>
      <c r="BI17" s="6"/>
      <c r="BJ17" s="6" t="str">
        <f t="shared" si="1"/>
        <v>12V_One_Acc</v>
      </c>
      <c r="BK17" s="6" t="str">
        <f t="shared" si="2"/>
        <v>8V_One_Acc</v>
      </c>
      <c r="BL17" s="6" t="str">
        <f t="shared" si="3"/>
        <v>10V_One_Acc</v>
      </c>
      <c r="BM17" s="6"/>
      <c r="BN17" s="6">
        <f t="shared" si="4"/>
        <v>12</v>
      </c>
      <c r="BO17" s="6"/>
      <c r="BP17" s="6"/>
      <c r="BQ17" s="6"/>
      <c r="BR17" s="6"/>
      <c r="BS17" s="6"/>
      <c r="BT17" s="6"/>
      <c r="BU17" s="6"/>
      <c r="BV17" s="6"/>
      <c r="BW17" s="18" t="s">
        <v>291</v>
      </c>
      <c r="BX17" s="23">
        <f>CORREL($BN$3:$BN$100,$B$3:$B$100)</f>
        <v>0.01405236446</v>
      </c>
      <c r="BY17" s="22">
        <v>1.0</v>
      </c>
      <c r="BZ17" s="22"/>
    </row>
    <row r="18" ht="15.75" customHeight="1">
      <c r="A18" s="1" t="s">
        <v>112</v>
      </c>
      <c r="B18" s="17">
        <v>345.0</v>
      </c>
      <c r="C18" s="17">
        <v>4.0</v>
      </c>
      <c r="D18" s="9" t="s">
        <v>85</v>
      </c>
      <c r="E18" s="9" t="s">
        <v>85</v>
      </c>
      <c r="F18" s="9" t="s">
        <v>85</v>
      </c>
      <c r="G18" s="9" t="s">
        <v>85</v>
      </c>
      <c r="H18" s="9" t="s">
        <v>85</v>
      </c>
      <c r="I18" s="9" t="s">
        <v>85</v>
      </c>
      <c r="J18" s="9" t="s">
        <v>85</v>
      </c>
      <c r="K18" s="9" t="s">
        <v>85</v>
      </c>
      <c r="L18" s="9">
        <v>0.892157</v>
      </c>
      <c r="M18" s="9" t="s">
        <v>85</v>
      </c>
      <c r="N18" s="9" t="s">
        <v>85</v>
      </c>
      <c r="O18" s="9">
        <v>0.892157</v>
      </c>
      <c r="P18" s="9" t="s">
        <v>85</v>
      </c>
      <c r="Q18" s="9" t="s">
        <v>85</v>
      </c>
      <c r="R18" s="9" t="s">
        <v>85</v>
      </c>
      <c r="S18" s="9" t="s">
        <v>85</v>
      </c>
      <c r="T18" s="9" t="s">
        <v>85</v>
      </c>
      <c r="U18" s="9" t="s">
        <v>85</v>
      </c>
      <c r="V18" s="9" t="s">
        <v>85</v>
      </c>
      <c r="W18" s="9" t="s">
        <v>85</v>
      </c>
      <c r="X18" s="9">
        <v>0.892157</v>
      </c>
      <c r="Y18" s="9" t="s">
        <v>85</v>
      </c>
      <c r="Z18" s="9" t="s">
        <v>85</v>
      </c>
      <c r="AA18" s="9">
        <v>0.892157</v>
      </c>
      <c r="AB18" s="10" t="s">
        <v>85</v>
      </c>
      <c r="AC18" s="10" t="s">
        <v>85</v>
      </c>
      <c r="AD18" s="9" t="s">
        <v>85</v>
      </c>
      <c r="AE18" s="9" t="s">
        <v>85</v>
      </c>
      <c r="AF18" s="9" t="s">
        <v>85</v>
      </c>
      <c r="AG18" s="9" t="s">
        <v>85</v>
      </c>
      <c r="AH18" s="9" t="s">
        <v>85</v>
      </c>
      <c r="AI18" s="9" t="s">
        <v>85</v>
      </c>
      <c r="AJ18" s="9">
        <v>0.915033</v>
      </c>
      <c r="AK18" s="9" t="s">
        <v>85</v>
      </c>
      <c r="AL18" s="9" t="s">
        <v>85</v>
      </c>
      <c r="AM18" s="9">
        <v>0.892157</v>
      </c>
      <c r="AN18" s="9" t="s">
        <v>85</v>
      </c>
      <c r="AO18" s="9" t="s">
        <v>85</v>
      </c>
      <c r="AP18" s="9" t="s">
        <v>85</v>
      </c>
      <c r="AQ18" s="9" t="s">
        <v>85</v>
      </c>
      <c r="AR18" s="9" t="s">
        <v>85</v>
      </c>
      <c r="AS18" s="9" t="s">
        <v>85</v>
      </c>
      <c r="AT18" s="9" t="s">
        <v>85</v>
      </c>
      <c r="AU18" s="9" t="s">
        <v>85</v>
      </c>
      <c r="AV18" s="9">
        <v>0.888889</v>
      </c>
      <c r="AW18" s="9" t="s">
        <v>85</v>
      </c>
      <c r="AX18" s="9" t="s">
        <v>85</v>
      </c>
      <c r="AY18" s="9">
        <v>0.888889</v>
      </c>
      <c r="AZ18" s="9" t="s">
        <v>85</v>
      </c>
      <c r="BA18" s="9" t="s">
        <v>85</v>
      </c>
      <c r="BB18" s="9" t="s">
        <v>85</v>
      </c>
      <c r="BC18" s="10" t="s">
        <v>85</v>
      </c>
      <c r="BD18" s="10" t="s">
        <v>85</v>
      </c>
      <c r="BE18" s="10" t="s">
        <v>85</v>
      </c>
      <c r="BF18" s="10" t="s">
        <v>85</v>
      </c>
      <c r="BG18" s="10" t="s">
        <v>85</v>
      </c>
      <c r="BH18" s="9" t="s">
        <v>85</v>
      </c>
      <c r="BI18" s="6"/>
      <c r="BJ18" s="6" t="str">
        <f t="shared" si="1"/>
        <v>10V_One_Acc</v>
      </c>
      <c r="BK18" s="6" t="str">
        <f t="shared" si="2"/>
        <v>5V_One_Acc</v>
      </c>
      <c r="BL18" s="6" t="str">
        <f t="shared" si="3"/>
        <v>5V_One_Acc</v>
      </c>
      <c r="BM18" s="6"/>
      <c r="BN18" s="6">
        <f t="shared" si="4"/>
        <v>10</v>
      </c>
      <c r="BO18" s="6"/>
      <c r="BP18" s="6"/>
      <c r="BQ18" s="6"/>
      <c r="BR18" s="6"/>
      <c r="BS18" s="6"/>
      <c r="BT18" s="6"/>
      <c r="BU18" s="6"/>
      <c r="BV18" s="6"/>
      <c r="BW18" s="18" t="s">
        <v>292</v>
      </c>
      <c r="BX18" s="23">
        <f>CORREL($BN$3:$BN$100,$C$3:$C$100)</f>
        <v>-0.1498639128</v>
      </c>
      <c r="BY18" s="22"/>
      <c r="BZ18" s="22">
        <v>1.0</v>
      </c>
    </row>
    <row r="19" ht="15.75" customHeight="1">
      <c r="A19" s="1" t="s">
        <v>113</v>
      </c>
      <c r="B19" s="17">
        <v>80.0</v>
      </c>
      <c r="C19" s="17">
        <v>3.0</v>
      </c>
      <c r="D19" s="9" t="s">
        <v>85</v>
      </c>
      <c r="E19" s="9" t="s">
        <v>85</v>
      </c>
      <c r="F19" s="9" t="s">
        <v>85</v>
      </c>
      <c r="G19" s="9" t="s">
        <v>85</v>
      </c>
      <c r="H19" s="9" t="s">
        <v>85</v>
      </c>
      <c r="I19" s="9" t="s">
        <v>85</v>
      </c>
      <c r="J19" s="9" t="s">
        <v>85</v>
      </c>
      <c r="K19" s="9" t="s">
        <v>85</v>
      </c>
      <c r="L19" s="9">
        <v>0.733813</v>
      </c>
      <c r="M19" s="9" t="s">
        <v>85</v>
      </c>
      <c r="N19" s="9" t="s">
        <v>85</v>
      </c>
      <c r="O19" s="9">
        <v>0.654676</v>
      </c>
      <c r="P19" s="9" t="s">
        <v>85</v>
      </c>
      <c r="Q19" s="9" t="s">
        <v>85</v>
      </c>
      <c r="R19" s="9" t="s">
        <v>85</v>
      </c>
      <c r="S19" s="9" t="s">
        <v>85</v>
      </c>
      <c r="T19" s="9" t="s">
        <v>85</v>
      </c>
      <c r="U19" s="9" t="s">
        <v>85</v>
      </c>
      <c r="V19" s="9" t="s">
        <v>85</v>
      </c>
      <c r="W19" s="9" t="s">
        <v>85</v>
      </c>
      <c r="X19" s="9">
        <v>0.726619</v>
      </c>
      <c r="Y19" s="9" t="s">
        <v>85</v>
      </c>
      <c r="Z19" s="9" t="s">
        <v>85</v>
      </c>
      <c r="AA19" s="9">
        <v>0.705036</v>
      </c>
      <c r="AB19" s="10" t="s">
        <v>85</v>
      </c>
      <c r="AC19" s="10" t="s">
        <v>85</v>
      </c>
      <c r="AD19" s="9" t="s">
        <v>85</v>
      </c>
      <c r="AE19" s="9" t="s">
        <v>85</v>
      </c>
      <c r="AF19" s="9" t="s">
        <v>85</v>
      </c>
      <c r="AG19" s="9" t="s">
        <v>85</v>
      </c>
      <c r="AH19" s="9" t="s">
        <v>85</v>
      </c>
      <c r="AI19" s="9" t="s">
        <v>85</v>
      </c>
      <c r="AJ19" s="9">
        <v>0.669065</v>
      </c>
      <c r="AK19" s="9" t="s">
        <v>85</v>
      </c>
      <c r="AL19" s="9" t="s">
        <v>85</v>
      </c>
      <c r="AM19" s="9">
        <v>0.719424</v>
      </c>
      <c r="AN19" s="9" t="s">
        <v>85</v>
      </c>
      <c r="AO19" s="9" t="s">
        <v>85</v>
      </c>
      <c r="AP19" s="9" t="s">
        <v>85</v>
      </c>
      <c r="AQ19" s="9" t="s">
        <v>85</v>
      </c>
      <c r="AR19" s="9" t="s">
        <v>85</v>
      </c>
      <c r="AS19" s="9" t="s">
        <v>85</v>
      </c>
      <c r="AT19" s="9" t="s">
        <v>85</v>
      </c>
      <c r="AU19" s="9" t="s">
        <v>85</v>
      </c>
      <c r="AV19" s="9">
        <v>0.733813</v>
      </c>
      <c r="AW19" s="9" t="s">
        <v>85</v>
      </c>
      <c r="AX19" s="9" t="s">
        <v>85</v>
      </c>
      <c r="AY19" s="9">
        <v>0.748201</v>
      </c>
      <c r="AZ19" s="9" t="s">
        <v>85</v>
      </c>
      <c r="BA19" s="9" t="s">
        <v>85</v>
      </c>
      <c r="BB19" s="9" t="s">
        <v>85</v>
      </c>
      <c r="BC19" s="10" t="s">
        <v>85</v>
      </c>
      <c r="BD19" s="10" t="s">
        <v>85</v>
      </c>
      <c r="BE19" s="10" t="s">
        <v>85</v>
      </c>
      <c r="BF19" s="10" t="s">
        <v>85</v>
      </c>
      <c r="BG19" s="10" t="s">
        <v>85</v>
      </c>
      <c r="BH19" s="9" t="s">
        <v>85</v>
      </c>
      <c r="BI19" s="6"/>
      <c r="BJ19" s="6" t="str">
        <f t="shared" si="1"/>
        <v>12VB_One_Acc</v>
      </c>
      <c r="BK19" s="6" t="str">
        <f t="shared" si="2"/>
        <v>5V_One_Acc</v>
      </c>
      <c r="BL19" s="6" t="str">
        <f t="shared" si="3"/>
        <v>5V_One_Acc</v>
      </c>
      <c r="BM19" s="6"/>
      <c r="BN19" s="6">
        <f t="shared" si="4"/>
        <v>12</v>
      </c>
      <c r="BO19" s="6"/>
      <c r="BP19" s="6"/>
      <c r="BQ19" s="6"/>
      <c r="BR19" s="6"/>
      <c r="BT19" s="6"/>
      <c r="BU19" s="6"/>
      <c r="BV19" s="6"/>
      <c r="BW19" s="6"/>
      <c r="BX19" s="6"/>
      <c r="BY19" s="6"/>
      <c r="BZ19" s="6"/>
    </row>
    <row r="20" ht="15.75" customHeight="1">
      <c r="A20" s="1" t="s">
        <v>114</v>
      </c>
      <c r="B20" s="17">
        <v>80.0</v>
      </c>
      <c r="C20" s="17">
        <v>2.0</v>
      </c>
      <c r="D20" s="9" t="s">
        <v>85</v>
      </c>
      <c r="E20" s="9" t="s">
        <v>85</v>
      </c>
      <c r="F20" s="9" t="s">
        <v>85</v>
      </c>
      <c r="G20" s="9" t="s">
        <v>85</v>
      </c>
      <c r="H20" s="9" t="s">
        <v>85</v>
      </c>
      <c r="I20" s="9" t="s">
        <v>85</v>
      </c>
      <c r="J20" s="9" t="s">
        <v>85</v>
      </c>
      <c r="K20" s="9" t="s">
        <v>85</v>
      </c>
      <c r="L20" s="9">
        <v>0.768116</v>
      </c>
      <c r="M20" s="9" t="s">
        <v>85</v>
      </c>
      <c r="N20" s="9" t="s">
        <v>85</v>
      </c>
      <c r="O20" s="9">
        <v>0.764493</v>
      </c>
      <c r="P20" s="9" t="s">
        <v>85</v>
      </c>
      <c r="Q20" s="9" t="s">
        <v>85</v>
      </c>
      <c r="R20" s="9" t="s">
        <v>85</v>
      </c>
      <c r="S20" s="9" t="s">
        <v>85</v>
      </c>
      <c r="T20" s="9" t="s">
        <v>85</v>
      </c>
      <c r="U20" s="9" t="s">
        <v>85</v>
      </c>
      <c r="V20" s="9" t="s">
        <v>85</v>
      </c>
      <c r="W20" s="9" t="s">
        <v>85</v>
      </c>
      <c r="X20" s="9">
        <v>0.76087</v>
      </c>
      <c r="Y20" s="9" t="s">
        <v>85</v>
      </c>
      <c r="Z20" s="9" t="s">
        <v>85</v>
      </c>
      <c r="AA20" s="9">
        <v>0.757246</v>
      </c>
      <c r="AB20" s="10" t="s">
        <v>85</v>
      </c>
      <c r="AC20" s="10" t="s">
        <v>85</v>
      </c>
      <c r="AD20" s="9" t="s">
        <v>85</v>
      </c>
      <c r="AE20" s="9" t="s">
        <v>85</v>
      </c>
      <c r="AF20" s="9" t="s">
        <v>85</v>
      </c>
      <c r="AG20" s="9" t="s">
        <v>85</v>
      </c>
      <c r="AH20" s="9" t="s">
        <v>85</v>
      </c>
      <c r="AI20" s="9" t="s">
        <v>85</v>
      </c>
      <c r="AJ20" s="9">
        <v>0.75</v>
      </c>
      <c r="AK20" s="9" t="s">
        <v>85</v>
      </c>
      <c r="AL20" s="9" t="s">
        <v>85</v>
      </c>
      <c r="AM20" s="9">
        <v>0.75</v>
      </c>
      <c r="AN20" s="9" t="s">
        <v>85</v>
      </c>
      <c r="AO20" s="9" t="s">
        <v>85</v>
      </c>
      <c r="AP20" s="9" t="s">
        <v>85</v>
      </c>
      <c r="AQ20" s="9" t="s">
        <v>85</v>
      </c>
      <c r="AR20" s="9" t="s">
        <v>85</v>
      </c>
      <c r="AS20" s="9" t="s">
        <v>85</v>
      </c>
      <c r="AT20" s="9" t="s">
        <v>85</v>
      </c>
      <c r="AU20" s="9" t="s">
        <v>85</v>
      </c>
      <c r="AV20" s="9">
        <v>0.771739</v>
      </c>
      <c r="AW20" s="9" t="s">
        <v>85</v>
      </c>
      <c r="AX20" s="9" t="s">
        <v>85</v>
      </c>
      <c r="AY20" s="9">
        <v>0.753623</v>
      </c>
      <c r="AZ20" s="9" t="s">
        <v>85</v>
      </c>
      <c r="BA20" s="9" t="s">
        <v>85</v>
      </c>
      <c r="BB20" s="9" t="s">
        <v>85</v>
      </c>
      <c r="BC20" s="10" t="s">
        <v>85</v>
      </c>
      <c r="BD20" s="10" t="s">
        <v>85</v>
      </c>
      <c r="BE20" s="10" t="s">
        <v>85</v>
      </c>
      <c r="BF20" s="10" t="s">
        <v>85</v>
      </c>
      <c r="BG20" s="10" t="s">
        <v>85</v>
      </c>
      <c r="BH20" s="9" t="s">
        <v>85</v>
      </c>
      <c r="BI20" s="6"/>
      <c r="BJ20" s="6" t="str">
        <f t="shared" si="1"/>
        <v>12V_One_Acc</v>
      </c>
      <c r="BK20" s="6" t="str">
        <f t="shared" si="2"/>
        <v>5V_One_Acc</v>
      </c>
      <c r="BL20" s="6" t="str">
        <f t="shared" si="3"/>
        <v>5VB_One_Acc</v>
      </c>
      <c r="BM20" s="6"/>
      <c r="BN20" s="6">
        <f t="shared" si="4"/>
        <v>12</v>
      </c>
      <c r="BO20" s="6"/>
      <c r="BP20" s="6"/>
      <c r="BQ20" s="6"/>
      <c r="BR20" s="6"/>
      <c r="BT20" s="6"/>
      <c r="BU20" s="6"/>
      <c r="BV20" s="6"/>
      <c r="BW20" s="6"/>
      <c r="BX20" s="6"/>
      <c r="BY20" s="6"/>
      <c r="BZ20" s="6"/>
    </row>
    <row r="21" ht="15.75" customHeight="1">
      <c r="A21" s="1" t="s">
        <v>115</v>
      </c>
      <c r="B21" s="17">
        <v>80.0</v>
      </c>
      <c r="C21" s="17">
        <v>6.0</v>
      </c>
      <c r="D21" s="9" t="s">
        <v>85</v>
      </c>
      <c r="E21" s="9" t="s">
        <v>85</v>
      </c>
      <c r="F21" s="9" t="s">
        <v>85</v>
      </c>
      <c r="G21" s="9" t="s">
        <v>85</v>
      </c>
      <c r="H21" s="9" t="s">
        <v>85</v>
      </c>
      <c r="I21" s="9" t="s">
        <v>85</v>
      </c>
      <c r="J21" s="9" t="s">
        <v>85</v>
      </c>
      <c r="K21" s="9" t="s">
        <v>85</v>
      </c>
      <c r="L21" s="9">
        <v>0.669065</v>
      </c>
      <c r="M21" s="9" t="s">
        <v>85</v>
      </c>
      <c r="N21" s="9" t="s">
        <v>85</v>
      </c>
      <c r="O21" s="9">
        <v>0.676259</v>
      </c>
      <c r="P21" s="9" t="s">
        <v>85</v>
      </c>
      <c r="Q21" s="9" t="s">
        <v>85</v>
      </c>
      <c r="R21" s="9" t="s">
        <v>85</v>
      </c>
      <c r="S21" s="9" t="s">
        <v>85</v>
      </c>
      <c r="T21" s="9" t="s">
        <v>85</v>
      </c>
      <c r="U21" s="9" t="s">
        <v>85</v>
      </c>
      <c r="V21" s="9" t="s">
        <v>85</v>
      </c>
      <c r="W21" s="9" t="s">
        <v>85</v>
      </c>
      <c r="X21" s="9">
        <v>0.669065</v>
      </c>
      <c r="Y21" s="9" t="s">
        <v>85</v>
      </c>
      <c r="Z21" s="9" t="s">
        <v>85</v>
      </c>
      <c r="AA21" s="9">
        <v>0.669065</v>
      </c>
      <c r="AB21" s="10" t="s">
        <v>85</v>
      </c>
      <c r="AC21" s="10" t="s">
        <v>85</v>
      </c>
      <c r="AD21" s="9" t="s">
        <v>85</v>
      </c>
      <c r="AE21" s="9" t="s">
        <v>85</v>
      </c>
      <c r="AF21" s="9" t="s">
        <v>85</v>
      </c>
      <c r="AG21" s="9" t="s">
        <v>85</v>
      </c>
      <c r="AH21" s="9" t="s">
        <v>85</v>
      </c>
      <c r="AI21" s="9" t="s">
        <v>85</v>
      </c>
      <c r="AJ21" s="9">
        <v>0.654676</v>
      </c>
      <c r="AK21" s="9" t="s">
        <v>85</v>
      </c>
      <c r="AL21" s="9" t="s">
        <v>85</v>
      </c>
      <c r="AM21" s="9">
        <v>0.582734</v>
      </c>
      <c r="AN21" s="9" t="s">
        <v>85</v>
      </c>
      <c r="AO21" s="9" t="s">
        <v>85</v>
      </c>
      <c r="AP21" s="9" t="s">
        <v>85</v>
      </c>
      <c r="AQ21" s="9" t="s">
        <v>85</v>
      </c>
      <c r="AR21" s="9" t="s">
        <v>85</v>
      </c>
      <c r="AS21" s="9" t="s">
        <v>85</v>
      </c>
      <c r="AT21" s="9" t="s">
        <v>85</v>
      </c>
      <c r="AU21" s="9" t="s">
        <v>85</v>
      </c>
      <c r="AV21" s="9">
        <v>0.676259</v>
      </c>
      <c r="AW21" s="9" t="s">
        <v>85</v>
      </c>
      <c r="AX21" s="9" t="s">
        <v>85</v>
      </c>
      <c r="AY21" s="9">
        <v>0.654676</v>
      </c>
      <c r="AZ21" s="9" t="s">
        <v>85</v>
      </c>
      <c r="BA21" s="9" t="s">
        <v>85</v>
      </c>
      <c r="BB21" s="9" t="s">
        <v>85</v>
      </c>
      <c r="BC21" s="10" t="s">
        <v>85</v>
      </c>
      <c r="BD21" s="10" t="s">
        <v>85</v>
      </c>
      <c r="BE21" s="10" t="s">
        <v>85</v>
      </c>
      <c r="BF21" s="10" t="s">
        <v>85</v>
      </c>
      <c r="BG21" s="10" t="s">
        <v>85</v>
      </c>
      <c r="BH21" s="9" t="s">
        <v>85</v>
      </c>
      <c r="BI21" s="6"/>
      <c r="BJ21" s="6" t="str">
        <f t="shared" si="1"/>
        <v>5VB_One_Acc</v>
      </c>
      <c r="BK21" s="6" t="str">
        <f t="shared" si="2"/>
        <v>5VB_One_Acc</v>
      </c>
      <c r="BL21" s="6" t="str">
        <f t="shared" si="3"/>
        <v>5V_One_Acc</v>
      </c>
      <c r="BM21" s="6"/>
      <c r="BN21" s="6">
        <f t="shared" si="4"/>
        <v>5</v>
      </c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</row>
    <row r="22" ht="15.75" customHeight="1">
      <c r="A22" s="1" t="s">
        <v>116</v>
      </c>
      <c r="B22" s="17">
        <v>512.0</v>
      </c>
      <c r="C22" s="17">
        <v>2.0</v>
      </c>
      <c r="D22" s="9" t="s">
        <v>85</v>
      </c>
      <c r="E22" s="9" t="s">
        <v>85</v>
      </c>
      <c r="F22" s="9" t="s">
        <v>85</v>
      </c>
      <c r="G22" s="9" t="s">
        <v>85</v>
      </c>
      <c r="H22" s="9" t="s">
        <v>85</v>
      </c>
      <c r="I22" s="9" t="s">
        <v>85</v>
      </c>
      <c r="J22" s="9" t="s">
        <v>85</v>
      </c>
      <c r="K22" s="9" t="s">
        <v>85</v>
      </c>
      <c r="L22" s="9">
        <v>0.748201</v>
      </c>
      <c r="M22" s="9" t="s">
        <v>85</v>
      </c>
      <c r="N22" s="9" t="s">
        <v>85</v>
      </c>
      <c r="O22" s="9">
        <v>0.748201</v>
      </c>
      <c r="P22" s="9" t="s">
        <v>85</v>
      </c>
      <c r="Q22" s="9" t="s">
        <v>85</v>
      </c>
      <c r="R22" s="9" t="s">
        <v>85</v>
      </c>
      <c r="S22" s="9" t="s">
        <v>85</v>
      </c>
      <c r="T22" s="9" t="s">
        <v>85</v>
      </c>
      <c r="U22" s="9" t="s">
        <v>85</v>
      </c>
      <c r="V22" s="9" t="s">
        <v>85</v>
      </c>
      <c r="W22" s="9" t="s">
        <v>85</v>
      </c>
      <c r="X22" s="9">
        <v>0.748201</v>
      </c>
      <c r="Y22" s="9" t="s">
        <v>85</v>
      </c>
      <c r="Z22" s="9" t="s">
        <v>85</v>
      </c>
      <c r="AA22" s="9">
        <v>0.748201</v>
      </c>
      <c r="AB22" s="10" t="s">
        <v>85</v>
      </c>
      <c r="AC22" s="10" t="s">
        <v>85</v>
      </c>
      <c r="AD22" s="9" t="s">
        <v>85</v>
      </c>
      <c r="AE22" s="9" t="s">
        <v>85</v>
      </c>
      <c r="AF22" s="9" t="s">
        <v>85</v>
      </c>
      <c r="AG22" s="9" t="s">
        <v>85</v>
      </c>
      <c r="AH22" s="9" t="s">
        <v>85</v>
      </c>
      <c r="AI22" s="9" t="s">
        <v>85</v>
      </c>
      <c r="AJ22" s="9">
        <v>0.748201</v>
      </c>
      <c r="AK22" s="9" t="s">
        <v>85</v>
      </c>
      <c r="AL22" s="9" t="s">
        <v>85</v>
      </c>
      <c r="AM22" s="9">
        <v>0.748201</v>
      </c>
      <c r="AN22" s="9" t="s">
        <v>85</v>
      </c>
      <c r="AO22" s="9" t="s">
        <v>85</v>
      </c>
      <c r="AP22" s="9" t="s">
        <v>85</v>
      </c>
      <c r="AQ22" s="9" t="s">
        <v>85</v>
      </c>
      <c r="AR22" s="9" t="s">
        <v>85</v>
      </c>
      <c r="AS22" s="9" t="s">
        <v>85</v>
      </c>
      <c r="AT22" s="9" t="s">
        <v>85</v>
      </c>
      <c r="AU22" s="9" t="s">
        <v>85</v>
      </c>
      <c r="AV22" s="9">
        <v>0.748201</v>
      </c>
      <c r="AW22" s="9" t="s">
        <v>85</v>
      </c>
      <c r="AX22" s="9" t="s">
        <v>85</v>
      </c>
      <c r="AY22" s="9">
        <v>0.748201</v>
      </c>
      <c r="AZ22" s="9" t="s">
        <v>85</v>
      </c>
      <c r="BA22" s="9" t="s">
        <v>85</v>
      </c>
      <c r="BB22" s="9" t="s">
        <v>85</v>
      </c>
      <c r="BC22" s="10" t="s">
        <v>85</v>
      </c>
      <c r="BD22" s="10" t="s">
        <v>85</v>
      </c>
      <c r="BE22" s="10" t="s">
        <v>85</v>
      </c>
      <c r="BF22" s="10" t="s">
        <v>85</v>
      </c>
      <c r="BG22" s="10" t="s">
        <v>85</v>
      </c>
      <c r="BH22" s="9" t="s">
        <v>85</v>
      </c>
      <c r="BI22" s="6"/>
      <c r="BJ22" s="6" t="str">
        <f t="shared" si="1"/>
        <v>5V_One_Acc</v>
      </c>
      <c r="BK22" s="6" t="str">
        <f t="shared" si="2"/>
        <v>5V_One_Acc</v>
      </c>
      <c r="BL22" s="6" t="str">
        <f t="shared" si="3"/>
        <v>5V_One_Acc</v>
      </c>
      <c r="BM22" s="6"/>
      <c r="BN22" s="6">
        <f t="shared" si="4"/>
        <v>5</v>
      </c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</row>
    <row r="23" ht="15.75" customHeight="1">
      <c r="A23" s="1" t="s">
        <v>117</v>
      </c>
      <c r="B23" s="17">
        <v>96.0</v>
      </c>
      <c r="C23" s="17">
        <v>2.0</v>
      </c>
      <c r="D23" s="9" t="s">
        <v>85</v>
      </c>
      <c r="E23" s="9" t="s">
        <v>85</v>
      </c>
      <c r="F23" s="9" t="s">
        <v>85</v>
      </c>
      <c r="G23" s="9" t="s">
        <v>85</v>
      </c>
      <c r="H23" s="9" t="s">
        <v>85</v>
      </c>
      <c r="I23" s="9" t="s">
        <v>85</v>
      </c>
      <c r="J23" s="9" t="s">
        <v>85</v>
      </c>
      <c r="K23" s="9" t="s">
        <v>85</v>
      </c>
      <c r="L23" s="9">
        <v>0.64</v>
      </c>
      <c r="M23" s="9" t="s">
        <v>85</v>
      </c>
      <c r="N23" s="9" t="s">
        <v>85</v>
      </c>
      <c r="O23" s="9">
        <v>0.64</v>
      </c>
      <c r="P23" s="9" t="s">
        <v>85</v>
      </c>
      <c r="Q23" s="9" t="s">
        <v>85</v>
      </c>
      <c r="R23" s="9" t="s">
        <v>85</v>
      </c>
      <c r="S23" s="9" t="s">
        <v>85</v>
      </c>
      <c r="T23" s="9" t="s">
        <v>85</v>
      </c>
      <c r="U23" s="9" t="s">
        <v>85</v>
      </c>
      <c r="V23" s="9" t="s">
        <v>85</v>
      </c>
      <c r="W23" s="9" t="s">
        <v>85</v>
      </c>
      <c r="X23" s="9">
        <v>0.64</v>
      </c>
      <c r="Y23" s="9" t="s">
        <v>85</v>
      </c>
      <c r="Z23" s="9" t="s">
        <v>85</v>
      </c>
      <c r="AA23" s="9">
        <v>0.64</v>
      </c>
      <c r="AB23" s="10" t="s">
        <v>85</v>
      </c>
      <c r="AC23" s="10" t="s">
        <v>85</v>
      </c>
      <c r="AD23" s="9" t="s">
        <v>85</v>
      </c>
      <c r="AE23" s="9" t="s">
        <v>85</v>
      </c>
      <c r="AF23" s="9" t="s">
        <v>85</v>
      </c>
      <c r="AG23" s="9" t="s">
        <v>85</v>
      </c>
      <c r="AH23" s="9" t="s">
        <v>85</v>
      </c>
      <c r="AI23" s="9" t="s">
        <v>85</v>
      </c>
      <c r="AJ23" s="9">
        <v>0.64</v>
      </c>
      <c r="AK23" s="9" t="s">
        <v>85</v>
      </c>
      <c r="AL23" s="9" t="s">
        <v>85</v>
      </c>
      <c r="AM23" s="9">
        <v>0.64</v>
      </c>
      <c r="AN23" s="9" t="s">
        <v>85</v>
      </c>
      <c r="AO23" s="9" t="s">
        <v>85</v>
      </c>
      <c r="AP23" s="9" t="s">
        <v>85</v>
      </c>
      <c r="AQ23" s="9" t="s">
        <v>85</v>
      </c>
      <c r="AR23" s="9" t="s">
        <v>85</v>
      </c>
      <c r="AS23" s="9" t="s">
        <v>85</v>
      </c>
      <c r="AT23" s="9" t="s">
        <v>85</v>
      </c>
      <c r="AU23" s="9" t="s">
        <v>85</v>
      </c>
      <c r="AV23" s="9">
        <v>0.64</v>
      </c>
      <c r="AW23" s="9" t="s">
        <v>85</v>
      </c>
      <c r="AX23" s="9" t="s">
        <v>85</v>
      </c>
      <c r="AY23" s="9">
        <v>0.64</v>
      </c>
      <c r="AZ23" s="9" t="s">
        <v>85</v>
      </c>
      <c r="BA23" s="9" t="s">
        <v>85</v>
      </c>
      <c r="BB23" s="9" t="s">
        <v>85</v>
      </c>
      <c r="BC23" s="10" t="s">
        <v>85</v>
      </c>
      <c r="BD23" s="10" t="s">
        <v>85</v>
      </c>
      <c r="BE23" s="10" t="s">
        <v>85</v>
      </c>
      <c r="BF23" s="10" t="s">
        <v>85</v>
      </c>
      <c r="BG23" s="10" t="s">
        <v>85</v>
      </c>
      <c r="BH23" s="9" t="s">
        <v>85</v>
      </c>
      <c r="BI23" s="6"/>
      <c r="BJ23" s="6" t="str">
        <f t="shared" si="1"/>
        <v>5V_One_Acc</v>
      </c>
      <c r="BK23" s="6" t="str">
        <f t="shared" si="2"/>
        <v>5V_One_Acc</v>
      </c>
      <c r="BL23" s="6" t="str">
        <f t="shared" si="3"/>
        <v>5V_One_Acc</v>
      </c>
      <c r="BM23" s="6"/>
      <c r="BN23" s="6">
        <f t="shared" si="4"/>
        <v>5</v>
      </c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</row>
    <row r="24" ht="15.75" customHeight="1">
      <c r="A24" s="1" t="s">
        <v>118</v>
      </c>
      <c r="B24" s="17">
        <v>140.0</v>
      </c>
      <c r="C24" s="17">
        <v>5.0</v>
      </c>
      <c r="D24" s="9" t="s">
        <v>85</v>
      </c>
      <c r="E24" s="9" t="s">
        <v>85</v>
      </c>
      <c r="F24" s="9" t="s">
        <v>85</v>
      </c>
      <c r="G24" s="9" t="s">
        <v>85</v>
      </c>
      <c r="H24" s="9" t="s">
        <v>85</v>
      </c>
      <c r="I24" s="9" t="s">
        <v>85</v>
      </c>
      <c r="J24" s="9" t="s">
        <v>85</v>
      </c>
      <c r="K24" s="9" t="s">
        <v>85</v>
      </c>
      <c r="L24" s="9">
        <v>0.918444</v>
      </c>
      <c r="M24" s="9" t="s">
        <v>85</v>
      </c>
      <c r="N24" s="9" t="s">
        <v>85</v>
      </c>
      <c r="O24" s="9">
        <v>0.919556</v>
      </c>
      <c r="P24" s="9" t="s">
        <v>85</v>
      </c>
      <c r="Q24" s="9" t="s">
        <v>85</v>
      </c>
      <c r="R24" s="9" t="s">
        <v>85</v>
      </c>
      <c r="S24" s="9" t="s">
        <v>85</v>
      </c>
      <c r="T24" s="9" t="s">
        <v>85</v>
      </c>
      <c r="U24" s="9" t="s">
        <v>85</v>
      </c>
      <c r="V24" s="9" t="s">
        <v>85</v>
      </c>
      <c r="W24" s="9" t="s">
        <v>85</v>
      </c>
      <c r="X24" s="9">
        <v>0.921778</v>
      </c>
      <c r="Y24" s="9" t="s">
        <v>85</v>
      </c>
      <c r="Z24" s="9" t="s">
        <v>85</v>
      </c>
      <c r="AA24" s="9">
        <v>0.925778</v>
      </c>
      <c r="AB24" s="10" t="s">
        <v>85</v>
      </c>
      <c r="AC24" s="10" t="s">
        <v>85</v>
      </c>
      <c r="AD24" s="9" t="s">
        <v>85</v>
      </c>
      <c r="AE24" s="9" t="s">
        <v>85</v>
      </c>
      <c r="AF24" s="9" t="s">
        <v>85</v>
      </c>
      <c r="AG24" s="9" t="s">
        <v>85</v>
      </c>
      <c r="AH24" s="9" t="s">
        <v>85</v>
      </c>
      <c r="AI24" s="9" t="s">
        <v>85</v>
      </c>
      <c r="AJ24" s="9">
        <v>0.924</v>
      </c>
      <c r="AK24" s="9" t="s">
        <v>85</v>
      </c>
      <c r="AL24" s="9" t="s">
        <v>85</v>
      </c>
      <c r="AM24" s="9">
        <v>0.924222</v>
      </c>
      <c r="AN24" s="9" t="s">
        <v>85</v>
      </c>
      <c r="AO24" s="9" t="s">
        <v>85</v>
      </c>
      <c r="AP24" s="9" t="s">
        <v>85</v>
      </c>
      <c r="AQ24" s="9" t="s">
        <v>85</v>
      </c>
      <c r="AR24" s="9" t="s">
        <v>85</v>
      </c>
      <c r="AS24" s="9" t="s">
        <v>85</v>
      </c>
      <c r="AT24" s="9" t="s">
        <v>85</v>
      </c>
      <c r="AU24" s="9" t="s">
        <v>85</v>
      </c>
      <c r="AV24" s="9">
        <v>0.924667</v>
      </c>
      <c r="AW24" s="9" t="s">
        <v>85</v>
      </c>
      <c r="AX24" s="9" t="s">
        <v>85</v>
      </c>
      <c r="AY24" s="9">
        <v>0.931111</v>
      </c>
      <c r="AZ24" s="9" t="s">
        <v>85</v>
      </c>
      <c r="BA24" s="9" t="s">
        <v>85</v>
      </c>
      <c r="BB24" s="9" t="s">
        <v>85</v>
      </c>
      <c r="BC24" s="10" t="s">
        <v>85</v>
      </c>
      <c r="BD24" s="10" t="s">
        <v>85</v>
      </c>
      <c r="BE24" s="10" t="s">
        <v>85</v>
      </c>
      <c r="BF24" s="10" t="s">
        <v>85</v>
      </c>
      <c r="BG24" s="10" t="s">
        <v>85</v>
      </c>
      <c r="BH24" s="9" t="s">
        <v>85</v>
      </c>
      <c r="BI24" s="6"/>
      <c r="BJ24" s="6" t="str">
        <f t="shared" si="1"/>
        <v>12VB_One_Acc</v>
      </c>
      <c r="BK24" s="6" t="str">
        <f t="shared" si="2"/>
        <v>8VB_One_Acc</v>
      </c>
      <c r="BL24" s="6" t="str">
        <f t="shared" si="3"/>
        <v>12V_One_Acc</v>
      </c>
      <c r="BM24" s="6"/>
      <c r="BN24" s="6">
        <f t="shared" si="4"/>
        <v>12</v>
      </c>
      <c r="BO24" s="6"/>
      <c r="BP24" s="6"/>
      <c r="BR24" s="6"/>
      <c r="BS24" s="6"/>
      <c r="BT24" s="6"/>
      <c r="BU24" s="6"/>
      <c r="BV24" s="6"/>
      <c r="BW24" s="6"/>
      <c r="BX24" s="6"/>
      <c r="BY24" s="6"/>
      <c r="BZ24" s="6"/>
    </row>
    <row r="25" ht="15.75" customHeight="1">
      <c r="A25" s="1" t="s">
        <v>119</v>
      </c>
      <c r="B25" s="17">
        <v>136.0</v>
      </c>
      <c r="C25" s="17">
        <v>2.0</v>
      </c>
      <c r="D25" s="9" t="s">
        <v>85</v>
      </c>
      <c r="E25" s="9" t="s">
        <v>85</v>
      </c>
      <c r="F25" s="9" t="s">
        <v>85</v>
      </c>
      <c r="G25" s="9" t="s">
        <v>85</v>
      </c>
      <c r="H25" s="9" t="s">
        <v>85</v>
      </c>
      <c r="I25" s="9" t="s">
        <v>85</v>
      </c>
      <c r="J25" s="9" t="s">
        <v>85</v>
      </c>
      <c r="K25" s="9" t="s">
        <v>85</v>
      </c>
      <c r="L25" s="9">
        <v>0.885017</v>
      </c>
      <c r="M25" s="9" t="s">
        <v>85</v>
      </c>
      <c r="N25" s="9" t="s">
        <v>85</v>
      </c>
      <c r="O25" s="9">
        <v>0.912892</v>
      </c>
      <c r="P25" s="9" t="s">
        <v>85</v>
      </c>
      <c r="Q25" s="9" t="s">
        <v>85</v>
      </c>
      <c r="R25" s="9" t="s">
        <v>85</v>
      </c>
      <c r="S25" s="9" t="s">
        <v>85</v>
      </c>
      <c r="T25" s="9" t="s">
        <v>85</v>
      </c>
      <c r="U25" s="9" t="s">
        <v>85</v>
      </c>
      <c r="V25" s="9" t="s">
        <v>85</v>
      </c>
      <c r="W25" s="9" t="s">
        <v>85</v>
      </c>
      <c r="X25" s="9">
        <v>0.872242</v>
      </c>
      <c r="Y25" s="9" t="s">
        <v>85</v>
      </c>
      <c r="Z25" s="9" t="s">
        <v>85</v>
      </c>
      <c r="AA25" s="9">
        <v>0.875726</v>
      </c>
      <c r="AB25" s="10" t="s">
        <v>85</v>
      </c>
      <c r="AC25" s="10" t="s">
        <v>85</v>
      </c>
      <c r="AD25" s="9" t="s">
        <v>85</v>
      </c>
      <c r="AE25" s="9" t="s">
        <v>85</v>
      </c>
      <c r="AF25" s="9" t="s">
        <v>85</v>
      </c>
      <c r="AG25" s="9" t="s">
        <v>85</v>
      </c>
      <c r="AH25" s="9" t="s">
        <v>85</v>
      </c>
      <c r="AI25" s="9" t="s">
        <v>85</v>
      </c>
      <c r="AJ25" s="9">
        <v>0.836237</v>
      </c>
      <c r="AK25" s="9" t="s">
        <v>85</v>
      </c>
      <c r="AL25" s="9" t="s">
        <v>85</v>
      </c>
      <c r="AM25" s="9">
        <v>0.801394</v>
      </c>
      <c r="AN25" s="9" t="s">
        <v>85</v>
      </c>
      <c r="AO25" s="9" t="s">
        <v>85</v>
      </c>
      <c r="AP25" s="9" t="s">
        <v>85</v>
      </c>
      <c r="AQ25" s="9" t="s">
        <v>85</v>
      </c>
      <c r="AR25" s="9" t="s">
        <v>85</v>
      </c>
      <c r="AS25" s="9" t="s">
        <v>85</v>
      </c>
      <c r="AT25" s="9" t="s">
        <v>85</v>
      </c>
      <c r="AU25" s="9" t="s">
        <v>85</v>
      </c>
      <c r="AV25" s="9">
        <v>0.831591</v>
      </c>
      <c r="AW25" s="9" t="s">
        <v>85</v>
      </c>
      <c r="AX25" s="9" t="s">
        <v>85</v>
      </c>
      <c r="AY25" s="9">
        <v>0.824623</v>
      </c>
      <c r="AZ25" s="9" t="s">
        <v>85</v>
      </c>
      <c r="BA25" s="9" t="s">
        <v>85</v>
      </c>
      <c r="BB25" s="9" t="s">
        <v>85</v>
      </c>
      <c r="BC25" s="10" t="s">
        <v>85</v>
      </c>
      <c r="BD25" s="10" t="s">
        <v>85</v>
      </c>
      <c r="BE25" s="10" t="s">
        <v>85</v>
      </c>
      <c r="BF25" s="10" t="s">
        <v>85</v>
      </c>
      <c r="BG25" s="10" t="s">
        <v>85</v>
      </c>
      <c r="BH25" s="9" t="s">
        <v>85</v>
      </c>
      <c r="BI25" s="6"/>
      <c r="BJ25" s="6" t="str">
        <f t="shared" si="1"/>
        <v>5VB_One_Acc</v>
      </c>
      <c r="BK25" s="6" t="str">
        <f t="shared" si="2"/>
        <v>5V_One_Acc</v>
      </c>
      <c r="BL25" s="6" t="str">
        <f t="shared" si="3"/>
        <v>8VB_One_Acc</v>
      </c>
      <c r="BM25" s="6"/>
      <c r="BN25" s="6">
        <f t="shared" si="4"/>
        <v>5</v>
      </c>
      <c r="BO25" s="6"/>
      <c r="BP25" s="6"/>
      <c r="BR25" s="6"/>
      <c r="BS25" s="6"/>
      <c r="BT25" s="6"/>
      <c r="BU25" s="6"/>
      <c r="BV25" s="6"/>
      <c r="BW25" s="6"/>
      <c r="BX25" s="6"/>
      <c r="BY25" s="6"/>
      <c r="BZ25" s="6"/>
    </row>
    <row r="26" ht="15.75" customHeight="1">
      <c r="A26" s="1" t="s">
        <v>120</v>
      </c>
      <c r="B26" s="17">
        <v>96.0</v>
      </c>
      <c r="C26" s="17">
        <v>7.0</v>
      </c>
      <c r="D26" s="9" t="s">
        <v>85</v>
      </c>
      <c r="E26" s="9" t="s">
        <v>85</v>
      </c>
      <c r="F26" s="9" t="s">
        <v>85</v>
      </c>
      <c r="G26" s="9" t="s">
        <v>85</v>
      </c>
      <c r="H26" s="9" t="s">
        <v>85</v>
      </c>
      <c r="I26" s="9" t="s">
        <v>85</v>
      </c>
      <c r="J26" s="9" t="s">
        <v>85</v>
      </c>
      <c r="K26" s="9" t="s">
        <v>85</v>
      </c>
      <c r="L26" s="9">
        <v>0.607574</v>
      </c>
      <c r="M26" s="9" t="s">
        <v>85</v>
      </c>
      <c r="N26" s="9" t="s">
        <v>85</v>
      </c>
      <c r="O26" s="9">
        <v>0.650499</v>
      </c>
      <c r="P26" s="9" t="s">
        <v>85</v>
      </c>
      <c r="Q26" s="9" t="s">
        <v>85</v>
      </c>
      <c r="R26" s="9" t="s">
        <v>85</v>
      </c>
      <c r="S26" s="9" t="s">
        <v>85</v>
      </c>
      <c r="T26" s="9" t="s">
        <v>85</v>
      </c>
      <c r="U26" s="9" t="s">
        <v>85</v>
      </c>
      <c r="V26" s="9" t="s">
        <v>85</v>
      </c>
      <c r="W26" s="9" t="s">
        <v>85</v>
      </c>
      <c r="X26" s="9">
        <v>0.643237</v>
      </c>
      <c r="Y26" s="9" t="s">
        <v>85</v>
      </c>
      <c r="Z26" s="9" t="s">
        <v>85</v>
      </c>
      <c r="AA26" s="9">
        <v>0.606017</v>
      </c>
      <c r="AB26" s="10" t="s">
        <v>85</v>
      </c>
      <c r="AC26" s="10" t="s">
        <v>85</v>
      </c>
      <c r="AD26" s="9" t="s">
        <v>85</v>
      </c>
      <c r="AE26" s="9" t="s">
        <v>85</v>
      </c>
      <c r="AF26" s="9" t="s">
        <v>85</v>
      </c>
      <c r="AG26" s="9" t="s">
        <v>85</v>
      </c>
      <c r="AH26" s="9" t="s">
        <v>85</v>
      </c>
      <c r="AI26" s="9" t="s">
        <v>85</v>
      </c>
      <c r="AJ26" s="9">
        <v>0.652445</v>
      </c>
      <c r="AK26" s="9" t="s">
        <v>85</v>
      </c>
      <c r="AL26" s="9" t="s">
        <v>85</v>
      </c>
      <c r="AM26" s="9">
        <v>0.634937</v>
      </c>
      <c r="AN26" s="9" t="s">
        <v>85</v>
      </c>
      <c r="AO26" s="9" t="s">
        <v>85</v>
      </c>
      <c r="AP26" s="9" t="s">
        <v>85</v>
      </c>
      <c r="AQ26" s="9" t="s">
        <v>85</v>
      </c>
      <c r="AR26" s="9" t="s">
        <v>85</v>
      </c>
      <c r="AS26" s="9" t="s">
        <v>85</v>
      </c>
      <c r="AT26" s="9" t="s">
        <v>85</v>
      </c>
      <c r="AU26" s="9" t="s">
        <v>85</v>
      </c>
      <c r="AV26" s="9">
        <v>0.626248</v>
      </c>
      <c r="AW26" s="9" t="s">
        <v>85</v>
      </c>
      <c r="AX26" s="9" t="s">
        <v>85</v>
      </c>
      <c r="AY26" s="9">
        <v>0.658151</v>
      </c>
      <c r="AZ26" s="9" t="s">
        <v>85</v>
      </c>
      <c r="BA26" s="9" t="s">
        <v>85</v>
      </c>
      <c r="BB26" s="9" t="s">
        <v>85</v>
      </c>
      <c r="BC26" s="10" t="s">
        <v>85</v>
      </c>
      <c r="BD26" s="10" t="s">
        <v>85</v>
      </c>
      <c r="BE26" s="10" t="s">
        <v>85</v>
      </c>
      <c r="BF26" s="10" t="s">
        <v>85</v>
      </c>
      <c r="BG26" s="10" t="s">
        <v>85</v>
      </c>
      <c r="BH26" s="9" t="s">
        <v>85</v>
      </c>
      <c r="BI26" s="6"/>
      <c r="BJ26" s="6" t="str">
        <f t="shared" si="1"/>
        <v>12VB_One_Acc</v>
      </c>
      <c r="BK26" s="6" t="str">
        <f t="shared" si="2"/>
        <v>10V_One_Acc</v>
      </c>
      <c r="BL26" s="6" t="str">
        <f t="shared" si="3"/>
        <v>5VB_One_Acc</v>
      </c>
      <c r="BM26" s="6"/>
      <c r="BN26" s="6">
        <f t="shared" si="4"/>
        <v>12</v>
      </c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</row>
    <row r="27" ht="15.75" customHeight="1">
      <c r="A27" s="1" t="s">
        <v>121</v>
      </c>
      <c r="B27" s="17">
        <v>1751.0</v>
      </c>
      <c r="C27" s="17">
        <v>4.0</v>
      </c>
      <c r="D27" s="9" t="s">
        <v>85</v>
      </c>
      <c r="E27" s="9" t="s">
        <v>85</v>
      </c>
      <c r="F27" s="9" t="s">
        <v>85</v>
      </c>
      <c r="G27" s="9" t="s">
        <v>85</v>
      </c>
      <c r="H27" s="9" t="s">
        <v>85</v>
      </c>
      <c r="I27" s="9" t="s">
        <v>85</v>
      </c>
      <c r="J27" s="9" t="s">
        <v>85</v>
      </c>
      <c r="K27" s="9" t="s">
        <v>85</v>
      </c>
      <c r="L27" s="9">
        <v>0.248</v>
      </c>
      <c r="M27" s="9" t="s">
        <v>85</v>
      </c>
      <c r="N27" s="9" t="s">
        <v>85</v>
      </c>
      <c r="O27" s="9">
        <v>0.276</v>
      </c>
      <c r="P27" s="9" t="s">
        <v>85</v>
      </c>
      <c r="Q27" s="9" t="s">
        <v>85</v>
      </c>
      <c r="R27" s="9" t="s">
        <v>85</v>
      </c>
      <c r="S27" s="9" t="s">
        <v>85</v>
      </c>
      <c r="T27" s="9" t="s">
        <v>85</v>
      </c>
      <c r="U27" s="9" t="s">
        <v>85</v>
      </c>
      <c r="V27" s="9" t="s">
        <v>85</v>
      </c>
      <c r="W27" s="9" t="s">
        <v>85</v>
      </c>
      <c r="X27" s="9">
        <v>0.248</v>
      </c>
      <c r="Y27" s="9" t="s">
        <v>85</v>
      </c>
      <c r="Z27" s="9" t="s">
        <v>85</v>
      </c>
      <c r="AA27" s="9">
        <v>0.248</v>
      </c>
      <c r="AB27" s="10" t="s">
        <v>85</v>
      </c>
      <c r="AC27" s="10" t="s">
        <v>85</v>
      </c>
      <c r="AD27" s="9" t="s">
        <v>85</v>
      </c>
      <c r="AE27" s="9" t="s">
        <v>85</v>
      </c>
      <c r="AF27" s="9" t="s">
        <v>85</v>
      </c>
      <c r="AG27" s="9" t="s">
        <v>85</v>
      </c>
      <c r="AH27" s="9" t="s">
        <v>85</v>
      </c>
      <c r="AI27" s="9" t="s">
        <v>85</v>
      </c>
      <c r="AJ27" s="9">
        <v>0.38</v>
      </c>
      <c r="AK27" s="9" t="s">
        <v>85</v>
      </c>
      <c r="AL27" s="9" t="s">
        <v>85</v>
      </c>
      <c r="AM27" s="9">
        <v>0.402</v>
      </c>
      <c r="AN27" s="9" t="s">
        <v>85</v>
      </c>
      <c r="AO27" s="9" t="s">
        <v>85</v>
      </c>
      <c r="AP27" s="9" t="s">
        <v>85</v>
      </c>
      <c r="AQ27" s="9" t="s">
        <v>85</v>
      </c>
      <c r="AR27" s="9" t="s">
        <v>85</v>
      </c>
      <c r="AS27" s="9" t="s">
        <v>85</v>
      </c>
      <c r="AT27" s="9" t="s">
        <v>85</v>
      </c>
      <c r="AU27" s="9" t="s">
        <v>85</v>
      </c>
      <c r="AV27" s="9">
        <v>0.288</v>
      </c>
      <c r="AW27" s="9" t="s">
        <v>85</v>
      </c>
      <c r="AX27" s="9" t="s">
        <v>85</v>
      </c>
      <c r="AY27" s="9">
        <v>0.248</v>
      </c>
      <c r="AZ27" s="9" t="s">
        <v>85</v>
      </c>
      <c r="BA27" s="9" t="s">
        <v>85</v>
      </c>
      <c r="BB27" s="9" t="s">
        <v>85</v>
      </c>
      <c r="BC27" s="10" t="s">
        <v>85</v>
      </c>
      <c r="BD27" s="10" t="s">
        <v>85</v>
      </c>
      <c r="BE27" s="10" t="s">
        <v>85</v>
      </c>
      <c r="BF27" s="10" t="s">
        <v>85</v>
      </c>
      <c r="BG27" s="10" t="s">
        <v>85</v>
      </c>
      <c r="BH27" s="9" t="s">
        <v>85</v>
      </c>
      <c r="BI27" s="6"/>
      <c r="BJ27" s="6" t="str">
        <f t="shared" si="1"/>
        <v>10VB_One_Acc</v>
      </c>
      <c r="BK27" s="6" t="str">
        <f t="shared" si="2"/>
        <v>10V_One_Acc</v>
      </c>
      <c r="BL27" s="6" t="str">
        <f t="shared" si="3"/>
        <v>12V_One_Acc</v>
      </c>
      <c r="BM27" s="6"/>
      <c r="BN27" s="6">
        <f t="shared" si="4"/>
        <v>10</v>
      </c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</row>
    <row r="28" ht="15.75" customHeight="1">
      <c r="A28" s="1" t="s">
        <v>122</v>
      </c>
      <c r="B28" s="17">
        <v>131.0</v>
      </c>
      <c r="C28" s="17">
        <v>14.0</v>
      </c>
      <c r="D28" s="9" t="s">
        <v>85</v>
      </c>
      <c r="E28" s="9" t="s">
        <v>85</v>
      </c>
      <c r="F28" s="9" t="s">
        <v>85</v>
      </c>
      <c r="G28" s="9" t="s">
        <v>85</v>
      </c>
      <c r="H28" s="9" t="s">
        <v>85</v>
      </c>
      <c r="I28" s="9" t="s">
        <v>85</v>
      </c>
      <c r="J28" s="9" t="s">
        <v>85</v>
      </c>
      <c r="K28" s="9" t="s">
        <v>85</v>
      </c>
      <c r="L28" s="9">
        <v>0.602959</v>
      </c>
      <c r="M28" s="9" t="s">
        <v>85</v>
      </c>
      <c r="N28" s="9" t="s">
        <v>85</v>
      </c>
      <c r="O28" s="9">
        <v>0.624852</v>
      </c>
      <c r="P28" s="9" t="s">
        <v>85</v>
      </c>
      <c r="Q28" s="9" t="s">
        <v>85</v>
      </c>
      <c r="R28" s="9" t="s">
        <v>85</v>
      </c>
      <c r="S28" s="9" t="s">
        <v>85</v>
      </c>
      <c r="T28" s="9" t="s">
        <v>85</v>
      </c>
      <c r="U28" s="9" t="s">
        <v>85</v>
      </c>
      <c r="V28" s="9" t="s">
        <v>85</v>
      </c>
      <c r="W28" s="9" t="s">
        <v>85</v>
      </c>
      <c r="X28" s="9">
        <v>0.704142</v>
      </c>
      <c r="Y28" s="9" t="s">
        <v>85</v>
      </c>
      <c r="Z28" s="9" t="s">
        <v>85</v>
      </c>
      <c r="AA28" s="9">
        <v>0.516568</v>
      </c>
      <c r="AB28" s="10" t="s">
        <v>85</v>
      </c>
      <c r="AC28" s="10" t="s">
        <v>85</v>
      </c>
      <c r="AD28" s="9" t="s">
        <v>85</v>
      </c>
      <c r="AE28" s="9" t="s">
        <v>85</v>
      </c>
      <c r="AF28" s="9" t="s">
        <v>85</v>
      </c>
      <c r="AG28" s="9" t="s">
        <v>85</v>
      </c>
      <c r="AH28" s="9" t="s">
        <v>85</v>
      </c>
      <c r="AI28" s="9" t="s">
        <v>85</v>
      </c>
      <c r="AJ28" s="9">
        <v>0.436686</v>
      </c>
      <c r="AK28" s="9" t="s">
        <v>85</v>
      </c>
      <c r="AL28" s="9" t="s">
        <v>85</v>
      </c>
      <c r="AM28" s="9">
        <v>0.671006</v>
      </c>
      <c r="AN28" s="9" t="s">
        <v>85</v>
      </c>
      <c r="AO28" s="9" t="s">
        <v>85</v>
      </c>
      <c r="AP28" s="9" t="s">
        <v>85</v>
      </c>
      <c r="AQ28" s="9" t="s">
        <v>85</v>
      </c>
      <c r="AR28" s="9" t="s">
        <v>85</v>
      </c>
      <c r="AS28" s="9" t="s">
        <v>85</v>
      </c>
      <c r="AT28" s="9" t="s">
        <v>85</v>
      </c>
      <c r="AU28" s="9" t="s">
        <v>85</v>
      </c>
      <c r="AV28" s="9">
        <v>0.646746</v>
      </c>
      <c r="AW28" s="9" t="s">
        <v>85</v>
      </c>
      <c r="AX28" s="9" t="s">
        <v>85</v>
      </c>
      <c r="AY28" s="9">
        <v>0.539645</v>
      </c>
      <c r="AZ28" s="9" t="s">
        <v>85</v>
      </c>
      <c r="BA28" s="9" t="s">
        <v>85</v>
      </c>
      <c r="BB28" s="9" t="s">
        <v>85</v>
      </c>
      <c r="BC28" s="10" t="s">
        <v>85</v>
      </c>
      <c r="BD28" s="10" t="s">
        <v>85</v>
      </c>
      <c r="BE28" s="10" t="s">
        <v>85</v>
      </c>
      <c r="BF28" s="10" t="s">
        <v>85</v>
      </c>
      <c r="BG28" s="10" t="s">
        <v>85</v>
      </c>
      <c r="BH28" s="9" t="s">
        <v>85</v>
      </c>
      <c r="BI28" s="6"/>
      <c r="BJ28" s="6" t="str">
        <f t="shared" si="1"/>
        <v>8V_One_Acc</v>
      </c>
      <c r="BK28" s="6" t="str">
        <f t="shared" si="2"/>
        <v>10VB_One_Acc</v>
      </c>
      <c r="BL28" s="6" t="str">
        <f t="shared" si="3"/>
        <v>12V_One_Acc</v>
      </c>
      <c r="BM28" s="6"/>
      <c r="BN28" s="6">
        <f t="shared" si="4"/>
        <v>8</v>
      </c>
      <c r="BO28" s="6"/>
      <c r="BP28" s="6"/>
      <c r="BQ28" s="6"/>
      <c r="BR28" s="6"/>
      <c r="BT28" s="6"/>
      <c r="BU28" s="6"/>
      <c r="BV28" s="6"/>
      <c r="BW28" s="6"/>
      <c r="BX28" s="6"/>
      <c r="BY28" s="6"/>
      <c r="BZ28" s="6"/>
    </row>
    <row r="29" ht="15.75" customHeight="1">
      <c r="A29" s="1" t="s">
        <v>123</v>
      </c>
      <c r="B29" s="17">
        <v>350.0</v>
      </c>
      <c r="C29" s="17">
        <v>4.0</v>
      </c>
      <c r="D29" s="9" t="s">
        <v>85</v>
      </c>
      <c r="E29" s="9" t="s">
        <v>85</v>
      </c>
      <c r="F29" s="9" t="s">
        <v>85</v>
      </c>
      <c r="G29" s="9" t="s">
        <v>85</v>
      </c>
      <c r="H29" s="9" t="s">
        <v>85</v>
      </c>
      <c r="I29" s="9" t="s">
        <v>85</v>
      </c>
      <c r="J29" s="9" t="s">
        <v>85</v>
      </c>
      <c r="K29" s="9" t="s">
        <v>85</v>
      </c>
      <c r="L29" s="9">
        <v>0.647727</v>
      </c>
      <c r="M29" s="9" t="s">
        <v>85</v>
      </c>
      <c r="N29" s="9" t="s">
        <v>85</v>
      </c>
      <c r="O29" s="9">
        <v>0.738636</v>
      </c>
      <c r="P29" s="9" t="s">
        <v>85</v>
      </c>
      <c r="Q29" s="9" t="s">
        <v>85</v>
      </c>
      <c r="R29" s="9" t="s">
        <v>85</v>
      </c>
      <c r="S29" s="9" t="s">
        <v>85</v>
      </c>
      <c r="T29" s="9" t="s">
        <v>85</v>
      </c>
      <c r="U29" s="9" t="s">
        <v>85</v>
      </c>
      <c r="V29" s="9" t="s">
        <v>85</v>
      </c>
      <c r="W29" s="9" t="s">
        <v>85</v>
      </c>
      <c r="X29" s="9">
        <v>0.579545</v>
      </c>
      <c r="Y29" s="9" t="s">
        <v>85</v>
      </c>
      <c r="Z29" s="9" t="s">
        <v>85</v>
      </c>
      <c r="AA29" s="9">
        <v>0.784091</v>
      </c>
      <c r="AB29" s="10" t="s">
        <v>85</v>
      </c>
      <c r="AC29" s="10" t="s">
        <v>85</v>
      </c>
      <c r="AD29" s="9" t="s">
        <v>85</v>
      </c>
      <c r="AE29" s="9" t="s">
        <v>85</v>
      </c>
      <c r="AF29" s="9" t="s">
        <v>85</v>
      </c>
      <c r="AG29" s="9" t="s">
        <v>85</v>
      </c>
      <c r="AH29" s="9" t="s">
        <v>85</v>
      </c>
      <c r="AI29" s="9" t="s">
        <v>85</v>
      </c>
      <c r="AJ29" s="9">
        <v>0.75</v>
      </c>
      <c r="AK29" s="9" t="s">
        <v>85</v>
      </c>
      <c r="AL29" s="9" t="s">
        <v>85</v>
      </c>
      <c r="AM29" s="9">
        <v>0.693182</v>
      </c>
      <c r="AN29" s="9" t="s">
        <v>85</v>
      </c>
      <c r="AO29" s="9" t="s">
        <v>85</v>
      </c>
      <c r="AP29" s="9" t="s">
        <v>85</v>
      </c>
      <c r="AQ29" s="9" t="s">
        <v>85</v>
      </c>
      <c r="AR29" s="9" t="s">
        <v>85</v>
      </c>
      <c r="AS29" s="9" t="s">
        <v>85</v>
      </c>
      <c r="AT29" s="9" t="s">
        <v>85</v>
      </c>
      <c r="AU29" s="9" t="s">
        <v>85</v>
      </c>
      <c r="AV29" s="9">
        <v>0.659091</v>
      </c>
      <c r="AW29" s="9" t="s">
        <v>85</v>
      </c>
      <c r="AX29" s="9" t="s">
        <v>85</v>
      </c>
      <c r="AY29" s="9">
        <v>0.818182</v>
      </c>
      <c r="AZ29" s="9" t="s">
        <v>85</v>
      </c>
      <c r="BA29" s="9" t="s">
        <v>85</v>
      </c>
      <c r="BB29" s="9" t="s">
        <v>85</v>
      </c>
      <c r="BC29" s="10" t="s">
        <v>85</v>
      </c>
      <c r="BD29" s="10" t="s">
        <v>85</v>
      </c>
      <c r="BE29" s="10" t="s">
        <v>85</v>
      </c>
      <c r="BF29" s="10" t="s">
        <v>85</v>
      </c>
      <c r="BG29" s="10" t="s">
        <v>85</v>
      </c>
      <c r="BH29" s="9" t="s">
        <v>85</v>
      </c>
      <c r="BI29" s="6"/>
      <c r="BJ29" s="6" t="str">
        <f t="shared" si="1"/>
        <v>12VB_One_Acc</v>
      </c>
      <c r="BK29" s="6" t="str">
        <f t="shared" si="2"/>
        <v>8VB_One_Acc</v>
      </c>
      <c r="BL29" s="6" t="str">
        <f t="shared" si="3"/>
        <v>10V_One_Acc</v>
      </c>
      <c r="BM29" s="6"/>
      <c r="BN29" s="6">
        <f t="shared" si="4"/>
        <v>12</v>
      </c>
      <c r="BO29" s="6"/>
      <c r="BP29" s="6"/>
      <c r="BQ29" s="6"/>
      <c r="BR29" s="6"/>
      <c r="BT29" s="6"/>
      <c r="BU29" s="6"/>
      <c r="BV29" s="6"/>
      <c r="BW29" s="6"/>
      <c r="BX29" s="6"/>
      <c r="BY29" s="6"/>
      <c r="BZ29" s="6"/>
    </row>
    <row r="30" ht="15.75" customHeight="1">
      <c r="A30" s="1" t="s">
        <v>124</v>
      </c>
      <c r="B30" s="17">
        <v>131.0</v>
      </c>
      <c r="C30" s="17">
        <v>14.0</v>
      </c>
      <c r="D30" s="9" t="s">
        <v>85</v>
      </c>
      <c r="E30" s="9" t="s">
        <v>85</v>
      </c>
      <c r="F30" s="9" t="s">
        <v>85</v>
      </c>
      <c r="G30" s="9" t="s">
        <v>85</v>
      </c>
      <c r="H30" s="9" t="s">
        <v>85</v>
      </c>
      <c r="I30" s="9" t="s">
        <v>85</v>
      </c>
      <c r="J30" s="9" t="s">
        <v>85</v>
      </c>
      <c r="K30" s="9" t="s">
        <v>85</v>
      </c>
      <c r="L30" s="9">
        <v>0.570732</v>
      </c>
      <c r="M30" s="9" t="s">
        <v>85</v>
      </c>
      <c r="N30" s="9" t="s">
        <v>85</v>
      </c>
      <c r="O30" s="9">
        <v>0.49122</v>
      </c>
      <c r="P30" s="9" t="s">
        <v>85</v>
      </c>
      <c r="Q30" s="9" t="s">
        <v>85</v>
      </c>
      <c r="R30" s="9" t="s">
        <v>85</v>
      </c>
      <c r="S30" s="9" t="s">
        <v>85</v>
      </c>
      <c r="T30" s="9" t="s">
        <v>85</v>
      </c>
      <c r="U30" s="9" t="s">
        <v>85</v>
      </c>
      <c r="V30" s="9" t="s">
        <v>85</v>
      </c>
      <c r="W30" s="9" t="s">
        <v>85</v>
      </c>
      <c r="X30" s="9">
        <v>0.686341</v>
      </c>
      <c r="Y30" s="9" t="s">
        <v>85</v>
      </c>
      <c r="Z30" s="9" t="s">
        <v>85</v>
      </c>
      <c r="AA30" s="9">
        <v>0.574146</v>
      </c>
      <c r="AB30" s="10" t="s">
        <v>85</v>
      </c>
      <c r="AC30" s="10" t="s">
        <v>85</v>
      </c>
      <c r="AD30" s="9" t="s">
        <v>85</v>
      </c>
      <c r="AE30" s="9" t="s">
        <v>85</v>
      </c>
      <c r="AF30" s="9" t="s">
        <v>85</v>
      </c>
      <c r="AG30" s="9" t="s">
        <v>85</v>
      </c>
      <c r="AH30" s="9" t="s">
        <v>85</v>
      </c>
      <c r="AI30" s="9" t="s">
        <v>85</v>
      </c>
      <c r="AJ30" s="9">
        <v>0.690244</v>
      </c>
      <c r="AK30" s="9" t="s">
        <v>85</v>
      </c>
      <c r="AL30" s="9" t="s">
        <v>85</v>
      </c>
      <c r="AM30" s="9">
        <v>0.415122</v>
      </c>
      <c r="AN30" s="9" t="s">
        <v>85</v>
      </c>
      <c r="AO30" s="9" t="s">
        <v>85</v>
      </c>
      <c r="AP30" s="9" t="s">
        <v>85</v>
      </c>
      <c r="AQ30" s="9" t="s">
        <v>85</v>
      </c>
      <c r="AR30" s="9" t="s">
        <v>85</v>
      </c>
      <c r="AS30" s="9" t="s">
        <v>85</v>
      </c>
      <c r="AT30" s="9" t="s">
        <v>85</v>
      </c>
      <c r="AU30" s="9" t="s">
        <v>85</v>
      </c>
      <c r="AV30" s="9">
        <v>0.601951</v>
      </c>
      <c r="AW30" s="9" t="s">
        <v>85</v>
      </c>
      <c r="AX30" s="9" t="s">
        <v>85</v>
      </c>
      <c r="AY30" s="9">
        <v>0.369756</v>
      </c>
      <c r="AZ30" s="9" t="s">
        <v>85</v>
      </c>
      <c r="BA30" s="9" t="s">
        <v>85</v>
      </c>
      <c r="BB30" s="9" t="s">
        <v>85</v>
      </c>
      <c r="BC30" s="10" t="s">
        <v>85</v>
      </c>
      <c r="BD30" s="10" t="s">
        <v>85</v>
      </c>
      <c r="BE30" s="10" t="s">
        <v>85</v>
      </c>
      <c r="BF30" s="10" t="s">
        <v>85</v>
      </c>
      <c r="BG30" s="10" t="s">
        <v>85</v>
      </c>
      <c r="BH30" s="9" t="s">
        <v>85</v>
      </c>
      <c r="BI30" s="6"/>
      <c r="BJ30" s="6" t="str">
        <f t="shared" si="1"/>
        <v>10V_One_Acc</v>
      </c>
      <c r="BK30" s="6" t="str">
        <f t="shared" si="2"/>
        <v>8V_One_Acc</v>
      </c>
      <c r="BL30" s="6" t="str">
        <f t="shared" si="3"/>
        <v>12V_One_Acc</v>
      </c>
      <c r="BM30" s="6"/>
      <c r="BN30" s="6">
        <f t="shared" si="4"/>
        <v>10</v>
      </c>
      <c r="BO30" s="6"/>
      <c r="BP30" s="6"/>
      <c r="BQ30" s="24"/>
      <c r="BR30" s="24"/>
      <c r="BS30" s="24"/>
      <c r="BT30" s="24"/>
      <c r="BU30" s="6"/>
      <c r="BV30" s="6"/>
      <c r="BW30" s="6"/>
      <c r="BX30" s="6"/>
      <c r="BY30" s="6"/>
      <c r="BZ30" s="6"/>
    </row>
    <row r="31" ht="15.75" customHeight="1">
      <c r="A31" s="1" t="s">
        <v>125</v>
      </c>
      <c r="B31" s="17">
        <v>270.0</v>
      </c>
      <c r="C31" s="17">
        <v>50.0</v>
      </c>
      <c r="D31" s="9" t="s">
        <v>85</v>
      </c>
      <c r="E31" s="9" t="s">
        <v>85</v>
      </c>
      <c r="F31" s="9" t="s">
        <v>85</v>
      </c>
      <c r="G31" s="9" t="s">
        <v>85</v>
      </c>
      <c r="H31" s="9" t="s">
        <v>85</v>
      </c>
      <c r="I31" s="9" t="s">
        <v>85</v>
      </c>
      <c r="J31" s="9" t="s">
        <v>85</v>
      </c>
      <c r="K31" s="9" t="s">
        <v>85</v>
      </c>
      <c r="L31" s="9">
        <v>0.353846</v>
      </c>
      <c r="M31" s="9" t="s">
        <v>85</v>
      </c>
      <c r="N31" s="9" t="s">
        <v>85</v>
      </c>
      <c r="O31" s="9">
        <v>0.272527</v>
      </c>
      <c r="P31" s="9" t="s">
        <v>85</v>
      </c>
      <c r="Q31" s="9" t="s">
        <v>85</v>
      </c>
      <c r="R31" s="9" t="s">
        <v>85</v>
      </c>
      <c r="S31" s="9" t="s">
        <v>85</v>
      </c>
      <c r="T31" s="9" t="s">
        <v>85</v>
      </c>
      <c r="U31" s="9" t="s">
        <v>85</v>
      </c>
      <c r="V31" s="9" t="s">
        <v>85</v>
      </c>
      <c r="W31" s="9" t="s">
        <v>85</v>
      </c>
      <c r="X31" s="9">
        <v>0.254945</v>
      </c>
      <c r="Y31" s="9" t="s">
        <v>85</v>
      </c>
      <c r="Z31" s="9" t="s">
        <v>85</v>
      </c>
      <c r="AA31" s="9">
        <v>0.340659</v>
      </c>
      <c r="AB31" s="10" t="s">
        <v>85</v>
      </c>
      <c r="AC31" s="10" t="s">
        <v>85</v>
      </c>
      <c r="AD31" s="9" t="s">
        <v>85</v>
      </c>
      <c r="AE31" s="9" t="s">
        <v>85</v>
      </c>
      <c r="AF31" s="9" t="s">
        <v>85</v>
      </c>
      <c r="AG31" s="9" t="s">
        <v>85</v>
      </c>
      <c r="AH31" s="9" t="s">
        <v>85</v>
      </c>
      <c r="AI31" s="9" t="s">
        <v>85</v>
      </c>
      <c r="AJ31" s="9">
        <v>0.389011</v>
      </c>
      <c r="AK31" s="9" t="s">
        <v>85</v>
      </c>
      <c r="AL31" s="9" t="s">
        <v>85</v>
      </c>
      <c r="AM31" s="9">
        <v>0.426374</v>
      </c>
      <c r="AN31" s="9" t="s">
        <v>85</v>
      </c>
      <c r="AO31" s="9" t="s">
        <v>85</v>
      </c>
      <c r="AP31" s="9" t="s">
        <v>85</v>
      </c>
      <c r="AQ31" s="9" t="s">
        <v>85</v>
      </c>
      <c r="AR31" s="9" t="s">
        <v>85</v>
      </c>
      <c r="AS31" s="9" t="s">
        <v>85</v>
      </c>
      <c r="AT31" s="9" t="s">
        <v>85</v>
      </c>
      <c r="AU31" s="9" t="s">
        <v>85</v>
      </c>
      <c r="AV31" s="9">
        <v>0.252747</v>
      </c>
      <c r="AW31" s="9" t="s">
        <v>85</v>
      </c>
      <c r="AX31" s="9" t="s">
        <v>85</v>
      </c>
      <c r="AY31" s="9">
        <v>0.364835</v>
      </c>
      <c r="AZ31" s="9" t="s">
        <v>85</v>
      </c>
      <c r="BA31" s="9" t="s">
        <v>85</v>
      </c>
      <c r="BB31" s="9" t="s">
        <v>85</v>
      </c>
      <c r="BC31" s="10" t="s">
        <v>85</v>
      </c>
      <c r="BD31" s="10" t="s">
        <v>85</v>
      </c>
      <c r="BE31" s="10" t="s">
        <v>85</v>
      </c>
      <c r="BF31" s="10" t="s">
        <v>85</v>
      </c>
      <c r="BG31" s="10" t="s">
        <v>85</v>
      </c>
      <c r="BH31" s="9" t="s">
        <v>85</v>
      </c>
      <c r="BI31" s="6"/>
      <c r="BJ31" s="6" t="str">
        <f t="shared" si="1"/>
        <v>10VB_One_Acc</v>
      </c>
      <c r="BK31" s="6" t="str">
        <f t="shared" si="2"/>
        <v>10V_One_Acc</v>
      </c>
      <c r="BL31" s="6" t="str">
        <f t="shared" si="3"/>
        <v>12VB_One_Acc</v>
      </c>
      <c r="BM31" s="6"/>
      <c r="BN31" s="6">
        <f t="shared" si="4"/>
        <v>10</v>
      </c>
      <c r="BO31" s="6"/>
      <c r="BP31" s="6"/>
      <c r="BQ31" s="24"/>
      <c r="BR31" s="24"/>
      <c r="BS31" s="24"/>
      <c r="BT31" s="24"/>
      <c r="BU31" s="6"/>
      <c r="BV31" s="6"/>
      <c r="BW31" s="6"/>
      <c r="BX31" s="6"/>
      <c r="BY31" s="6"/>
      <c r="BZ31" s="6"/>
    </row>
    <row r="32" ht="15.75" customHeight="1">
      <c r="A32" s="1" t="s">
        <v>126</v>
      </c>
      <c r="B32" s="17">
        <v>463.0</v>
      </c>
      <c r="C32" s="17">
        <v>7.0</v>
      </c>
      <c r="D32" s="9" t="s">
        <v>85</v>
      </c>
      <c r="E32" s="9" t="s">
        <v>85</v>
      </c>
      <c r="F32" s="9" t="s">
        <v>85</v>
      </c>
      <c r="G32" s="9" t="s">
        <v>85</v>
      </c>
      <c r="H32" s="9" t="s">
        <v>85</v>
      </c>
      <c r="I32" s="9" t="s">
        <v>85</v>
      </c>
      <c r="J32" s="9" t="s">
        <v>85</v>
      </c>
      <c r="K32" s="9" t="s">
        <v>85</v>
      </c>
      <c r="L32" s="9">
        <v>0.531429</v>
      </c>
      <c r="M32" s="9" t="s">
        <v>85</v>
      </c>
      <c r="N32" s="9" t="s">
        <v>85</v>
      </c>
      <c r="O32" s="9">
        <v>0.748571</v>
      </c>
      <c r="P32" s="9" t="s">
        <v>85</v>
      </c>
      <c r="Q32" s="9" t="s">
        <v>85</v>
      </c>
      <c r="R32" s="9" t="s">
        <v>85</v>
      </c>
      <c r="S32" s="9" t="s">
        <v>85</v>
      </c>
      <c r="T32" s="9" t="s">
        <v>85</v>
      </c>
      <c r="U32" s="9" t="s">
        <v>85</v>
      </c>
      <c r="V32" s="9" t="s">
        <v>85</v>
      </c>
      <c r="W32" s="9" t="s">
        <v>85</v>
      </c>
      <c r="X32" s="9">
        <v>0.594286</v>
      </c>
      <c r="Y32" s="9" t="s">
        <v>85</v>
      </c>
      <c r="Z32" s="9" t="s">
        <v>85</v>
      </c>
      <c r="AA32" s="9">
        <v>0.52</v>
      </c>
      <c r="AB32" s="10" t="s">
        <v>85</v>
      </c>
      <c r="AC32" s="10" t="s">
        <v>85</v>
      </c>
      <c r="AD32" s="9" t="s">
        <v>85</v>
      </c>
      <c r="AE32" s="9" t="s">
        <v>85</v>
      </c>
      <c r="AF32" s="9" t="s">
        <v>85</v>
      </c>
      <c r="AG32" s="9" t="s">
        <v>85</v>
      </c>
      <c r="AH32" s="9" t="s">
        <v>85</v>
      </c>
      <c r="AI32" s="9" t="s">
        <v>85</v>
      </c>
      <c r="AJ32" s="9">
        <v>0.634286</v>
      </c>
      <c r="AK32" s="9" t="s">
        <v>85</v>
      </c>
      <c r="AL32" s="9" t="s">
        <v>85</v>
      </c>
      <c r="AM32" s="9">
        <v>0.508571</v>
      </c>
      <c r="AN32" s="9" t="s">
        <v>85</v>
      </c>
      <c r="AO32" s="9" t="s">
        <v>85</v>
      </c>
      <c r="AP32" s="9" t="s">
        <v>85</v>
      </c>
      <c r="AQ32" s="9" t="s">
        <v>85</v>
      </c>
      <c r="AR32" s="9" t="s">
        <v>85</v>
      </c>
      <c r="AS32" s="9" t="s">
        <v>85</v>
      </c>
      <c r="AT32" s="9" t="s">
        <v>85</v>
      </c>
      <c r="AU32" s="9" t="s">
        <v>85</v>
      </c>
      <c r="AV32" s="9">
        <v>0.525714</v>
      </c>
      <c r="AW32" s="9" t="s">
        <v>85</v>
      </c>
      <c r="AX32" s="9" t="s">
        <v>85</v>
      </c>
      <c r="AY32" s="9">
        <v>0.605714</v>
      </c>
      <c r="AZ32" s="9" t="s">
        <v>85</v>
      </c>
      <c r="BA32" s="9" t="s">
        <v>85</v>
      </c>
      <c r="BB32" s="9" t="s">
        <v>85</v>
      </c>
      <c r="BC32" s="10" t="s">
        <v>85</v>
      </c>
      <c r="BD32" s="10" t="s">
        <v>85</v>
      </c>
      <c r="BE32" s="10" t="s">
        <v>85</v>
      </c>
      <c r="BF32" s="10" t="s">
        <v>85</v>
      </c>
      <c r="BG32" s="10" t="s">
        <v>85</v>
      </c>
      <c r="BH32" s="9" t="s">
        <v>85</v>
      </c>
      <c r="BI32" s="6"/>
      <c r="BJ32" s="6" t="str">
        <f t="shared" si="1"/>
        <v>5VB_One_Acc</v>
      </c>
      <c r="BK32" s="6" t="str">
        <f t="shared" si="2"/>
        <v>10V_One_Acc</v>
      </c>
      <c r="BL32" s="6" t="str">
        <f t="shared" si="3"/>
        <v>12VB_One_Acc</v>
      </c>
      <c r="BM32" s="6"/>
      <c r="BN32" s="6">
        <f t="shared" si="4"/>
        <v>5</v>
      </c>
      <c r="BO32" s="6"/>
      <c r="BP32" s="6"/>
      <c r="BQ32" s="24"/>
      <c r="BR32" s="24"/>
      <c r="BS32" s="24"/>
      <c r="BT32" s="24"/>
      <c r="BU32" s="6"/>
      <c r="BV32" s="6"/>
      <c r="BW32" s="6"/>
      <c r="BX32" s="6"/>
      <c r="BY32" s="6"/>
      <c r="BZ32" s="6"/>
    </row>
    <row r="33" ht="15.75" customHeight="1">
      <c r="A33" s="1" t="s">
        <v>127</v>
      </c>
      <c r="B33" s="17">
        <v>500.0</v>
      </c>
      <c r="C33" s="17">
        <v>2.0</v>
      </c>
      <c r="D33" s="9" t="s">
        <v>85</v>
      </c>
      <c r="E33" s="9" t="s">
        <v>85</v>
      </c>
      <c r="F33" s="9" t="s">
        <v>85</v>
      </c>
      <c r="G33" s="9" t="s">
        <v>85</v>
      </c>
      <c r="H33" s="9" t="s">
        <v>85</v>
      </c>
      <c r="I33" s="9" t="s">
        <v>85</v>
      </c>
      <c r="J33" s="9" t="s">
        <v>85</v>
      </c>
      <c r="K33" s="9" t="s">
        <v>85</v>
      </c>
      <c r="L33" s="9">
        <v>0.484091</v>
      </c>
      <c r="M33" s="9" t="s">
        <v>85</v>
      </c>
      <c r="N33" s="9" t="s">
        <v>85</v>
      </c>
      <c r="O33" s="9">
        <v>0.484091</v>
      </c>
      <c r="P33" s="9" t="s">
        <v>85</v>
      </c>
      <c r="Q33" s="9" t="s">
        <v>85</v>
      </c>
      <c r="R33" s="9" t="s">
        <v>85</v>
      </c>
      <c r="S33" s="9" t="s">
        <v>85</v>
      </c>
      <c r="T33" s="9" t="s">
        <v>85</v>
      </c>
      <c r="U33" s="9" t="s">
        <v>85</v>
      </c>
      <c r="V33" s="9" t="s">
        <v>85</v>
      </c>
      <c r="W33" s="9" t="s">
        <v>85</v>
      </c>
      <c r="X33" s="9">
        <v>0.484091</v>
      </c>
      <c r="Y33" s="9" t="s">
        <v>85</v>
      </c>
      <c r="Z33" s="9" t="s">
        <v>85</v>
      </c>
      <c r="AA33" s="9">
        <v>0.484091</v>
      </c>
      <c r="AB33" s="10" t="s">
        <v>85</v>
      </c>
      <c r="AC33" s="10" t="s">
        <v>85</v>
      </c>
      <c r="AD33" s="9" t="s">
        <v>85</v>
      </c>
      <c r="AE33" s="9" t="s">
        <v>85</v>
      </c>
      <c r="AF33" s="9" t="s">
        <v>85</v>
      </c>
      <c r="AG33" s="9" t="s">
        <v>85</v>
      </c>
      <c r="AH33" s="9" t="s">
        <v>85</v>
      </c>
      <c r="AI33" s="9" t="s">
        <v>85</v>
      </c>
      <c r="AJ33" s="9">
        <v>0.484091</v>
      </c>
      <c r="AK33" s="9" t="s">
        <v>85</v>
      </c>
      <c r="AL33" s="9" t="s">
        <v>85</v>
      </c>
      <c r="AM33" s="9">
        <v>0.484091</v>
      </c>
      <c r="AN33" s="9" t="s">
        <v>85</v>
      </c>
      <c r="AO33" s="9" t="s">
        <v>85</v>
      </c>
      <c r="AP33" s="9" t="s">
        <v>85</v>
      </c>
      <c r="AQ33" s="9" t="s">
        <v>85</v>
      </c>
      <c r="AR33" s="9" t="s">
        <v>85</v>
      </c>
      <c r="AS33" s="9" t="s">
        <v>85</v>
      </c>
      <c r="AT33" s="9" t="s">
        <v>85</v>
      </c>
      <c r="AU33" s="9" t="s">
        <v>85</v>
      </c>
      <c r="AV33" s="9">
        <v>0.484091</v>
      </c>
      <c r="AW33" s="9" t="s">
        <v>85</v>
      </c>
      <c r="AX33" s="9" t="s">
        <v>85</v>
      </c>
      <c r="AY33" s="9">
        <v>0.484091</v>
      </c>
      <c r="AZ33" s="9" t="s">
        <v>85</v>
      </c>
      <c r="BA33" s="9" t="s">
        <v>85</v>
      </c>
      <c r="BB33" s="9" t="s">
        <v>85</v>
      </c>
      <c r="BC33" s="10" t="s">
        <v>85</v>
      </c>
      <c r="BD33" s="10" t="s">
        <v>85</v>
      </c>
      <c r="BE33" s="10" t="s">
        <v>85</v>
      </c>
      <c r="BF33" s="10" t="s">
        <v>85</v>
      </c>
      <c r="BG33" s="10" t="s">
        <v>85</v>
      </c>
      <c r="BH33" s="9" t="s">
        <v>85</v>
      </c>
      <c r="BI33" s="6"/>
      <c r="BJ33" s="6" t="str">
        <f t="shared" si="1"/>
        <v>5V_One_Acc</v>
      </c>
      <c r="BK33" s="6" t="str">
        <f t="shared" si="2"/>
        <v>5V_One_Acc</v>
      </c>
      <c r="BL33" s="6" t="str">
        <f t="shared" si="3"/>
        <v>5V_One_Acc</v>
      </c>
      <c r="BM33" s="6"/>
      <c r="BN33" s="6">
        <f t="shared" si="4"/>
        <v>5</v>
      </c>
      <c r="BO33" s="6"/>
      <c r="BP33" s="6"/>
      <c r="BQ33" s="24"/>
      <c r="BR33" s="24"/>
      <c r="BS33" s="24"/>
      <c r="BT33" s="24"/>
      <c r="BU33" s="6"/>
      <c r="BV33" s="6"/>
      <c r="BW33" s="6"/>
      <c r="BX33" s="6"/>
      <c r="BY33" s="6"/>
      <c r="BZ33" s="6"/>
    </row>
    <row r="34" ht="15.75" customHeight="1">
      <c r="A34" s="14" t="s">
        <v>128</v>
      </c>
      <c r="B34" s="17">
        <v>500.0</v>
      </c>
      <c r="C34" s="17">
        <v>2.0</v>
      </c>
      <c r="D34" s="9" t="s">
        <v>85</v>
      </c>
      <c r="E34" s="9" t="s">
        <v>85</v>
      </c>
      <c r="F34" s="9" t="s">
        <v>85</v>
      </c>
      <c r="G34" s="9" t="s">
        <v>85</v>
      </c>
      <c r="H34" s="9" t="s">
        <v>85</v>
      </c>
      <c r="I34" s="9" t="s">
        <v>85</v>
      </c>
      <c r="J34" s="9" t="s">
        <v>85</v>
      </c>
      <c r="K34" s="9" t="s">
        <v>85</v>
      </c>
      <c r="L34" s="9">
        <v>0.504938</v>
      </c>
      <c r="M34" s="9" t="s">
        <v>85</v>
      </c>
      <c r="N34" s="9" t="s">
        <v>85</v>
      </c>
      <c r="O34" s="9">
        <v>0.504938</v>
      </c>
      <c r="P34" s="9" t="s">
        <v>85</v>
      </c>
      <c r="Q34" s="9" t="s">
        <v>85</v>
      </c>
      <c r="R34" s="9" t="s">
        <v>85</v>
      </c>
      <c r="S34" s="9" t="s">
        <v>85</v>
      </c>
      <c r="T34" s="9" t="s">
        <v>85</v>
      </c>
      <c r="U34" s="9" t="s">
        <v>85</v>
      </c>
      <c r="V34" s="9" t="s">
        <v>85</v>
      </c>
      <c r="W34" s="9" t="s">
        <v>85</v>
      </c>
      <c r="X34" s="9">
        <v>0.504938</v>
      </c>
      <c r="Y34" s="9" t="s">
        <v>85</v>
      </c>
      <c r="Z34" s="9" t="s">
        <v>85</v>
      </c>
      <c r="AA34" s="9">
        <v>0.504938</v>
      </c>
      <c r="AB34" s="10" t="s">
        <v>85</v>
      </c>
      <c r="AC34" s="10" t="s">
        <v>85</v>
      </c>
      <c r="AD34" s="9" t="s">
        <v>85</v>
      </c>
      <c r="AE34" s="9" t="s">
        <v>85</v>
      </c>
      <c r="AF34" s="9" t="s">
        <v>85</v>
      </c>
      <c r="AG34" s="9" t="s">
        <v>85</v>
      </c>
      <c r="AH34" s="9" t="s">
        <v>85</v>
      </c>
      <c r="AI34" s="9" t="s">
        <v>85</v>
      </c>
      <c r="AJ34" s="9">
        <v>0.504938</v>
      </c>
      <c r="AK34" s="9" t="s">
        <v>85</v>
      </c>
      <c r="AL34" s="9" t="s">
        <v>85</v>
      </c>
      <c r="AM34" s="9">
        <v>0.504938</v>
      </c>
      <c r="AN34" s="9" t="s">
        <v>85</v>
      </c>
      <c r="AO34" s="9" t="s">
        <v>85</v>
      </c>
      <c r="AP34" s="9" t="s">
        <v>85</v>
      </c>
      <c r="AQ34" s="9" t="s">
        <v>85</v>
      </c>
      <c r="AR34" s="9" t="s">
        <v>85</v>
      </c>
      <c r="AS34" s="9" t="s">
        <v>85</v>
      </c>
      <c r="AT34" s="9" t="s">
        <v>85</v>
      </c>
      <c r="AU34" s="9" t="s">
        <v>85</v>
      </c>
      <c r="AV34" s="9">
        <v>0.504938</v>
      </c>
      <c r="AW34" s="9" t="s">
        <v>85</v>
      </c>
      <c r="AX34" s="9" t="s">
        <v>85</v>
      </c>
      <c r="AY34" s="9">
        <v>0.504938</v>
      </c>
      <c r="AZ34" s="9" t="s">
        <v>85</v>
      </c>
      <c r="BA34" s="9" t="s">
        <v>85</v>
      </c>
      <c r="BB34" s="9" t="s">
        <v>85</v>
      </c>
      <c r="BC34" s="10" t="s">
        <v>85</v>
      </c>
      <c r="BD34" s="10" t="s">
        <v>85</v>
      </c>
      <c r="BE34" s="10" t="s">
        <v>85</v>
      </c>
      <c r="BF34" s="10" t="s">
        <v>85</v>
      </c>
      <c r="BG34" s="10" t="s">
        <v>85</v>
      </c>
      <c r="BH34" s="9" t="s">
        <v>85</v>
      </c>
      <c r="BI34" s="6"/>
      <c r="BJ34" s="6" t="str">
        <f t="shared" si="1"/>
        <v>5V_One_Acc</v>
      </c>
      <c r="BK34" s="6" t="str">
        <f t="shared" si="2"/>
        <v>5V_One_Acc</v>
      </c>
      <c r="BL34" s="6" t="str">
        <f t="shared" si="3"/>
        <v>5V_One_Acc</v>
      </c>
      <c r="BM34" s="6"/>
      <c r="BN34" s="6">
        <f t="shared" si="4"/>
        <v>5</v>
      </c>
      <c r="BO34" s="6"/>
      <c r="BP34" s="6"/>
      <c r="BQ34" s="24"/>
      <c r="BR34" s="24"/>
      <c r="BS34" s="24"/>
      <c r="BT34" s="24"/>
      <c r="BU34" s="6"/>
      <c r="BV34" s="6"/>
      <c r="BW34" s="6"/>
      <c r="BX34" s="6"/>
      <c r="BY34" s="6"/>
      <c r="BZ34" s="6"/>
    </row>
    <row r="35" ht="15.75" customHeight="1">
      <c r="A35" s="1" t="s">
        <v>129</v>
      </c>
      <c r="B35" s="17">
        <v>301.0</v>
      </c>
      <c r="C35" s="17">
        <v>2.0</v>
      </c>
      <c r="D35" s="9" t="s">
        <v>85</v>
      </c>
      <c r="E35" s="9" t="s">
        <v>85</v>
      </c>
      <c r="F35" s="9" t="s">
        <v>85</v>
      </c>
      <c r="G35" s="9" t="s">
        <v>85</v>
      </c>
      <c r="H35" s="9" t="s">
        <v>85</v>
      </c>
      <c r="I35" s="9" t="s">
        <v>85</v>
      </c>
      <c r="J35" s="9" t="s">
        <v>85</v>
      </c>
      <c r="K35" s="9" t="s">
        <v>85</v>
      </c>
      <c r="L35" s="9">
        <v>0.947719</v>
      </c>
      <c r="M35" s="9" t="s">
        <v>85</v>
      </c>
      <c r="N35" s="9" t="s">
        <v>85</v>
      </c>
      <c r="O35" s="9">
        <v>0.95193</v>
      </c>
      <c r="P35" s="9" t="s">
        <v>85</v>
      </c>
      <c r="Q35" s="9" t="s">
        <v>85</v>
      </c>
      <c r="R35" s="9" t="s">
        <v>85</v>
      </c>
      <c r="S35" s="9" t="s">
        <v>85</v>
      </c>
      <c r="T35" s="9" t="s">
        <v>85</v>
      </c>
      <c r="U35" s="9" t="s">
        <v>85</v>
      </c>
      <c r="V35" s="9" t="s">
        <v>85</v>
      </c>
      <c r="W35" s="9" t="s">
        <v>85</v>
      </c>
      <c r="X35" s="9">
        <v>0.981754</v>
      </c>
      <c r="Y35" s="9" t="s">
        <v>85</v>
      </c>
      <c r="Z35" s="9" t="s">
        <v>85</v>
      </c>
      <c r="AA35" s="9">
        <v>0.980351</v>
      </c>
      <c r="AB35" s="10" t="s">
        <v>85</v>
      </c>
      <c r="AC35" s="10" t="s">
        <v>85</v>
      </c>
      <c r="AD35" s="9" t="s">
        <v>85</v>
      </c>
      <c r="AE35" s="9" t="s">
        <v>85</v>
      </c>
      <c r="AF35" s="9" t="s">
        <v>85</v>
      </c>
      <c r="AG35" s="9" t="s">
        <v>85</v>
      </c>
      <c r="AH35" s="9" t="s">
        <v>85</v>
      </c>
      <c r="AI35" s="9" t="s">
        <v>85</v>
      </c>
      <c r="AJ35" s="9">
        <v>0.960351</v>
      </c>
      <c r="AK35" s="9" t="s">
        <v>85</v>
      </c>
      <c r="AL35" s="9" t="s">
        <v>85</v>
      </c>
      <c r="AM35" s="9">
        <v>0.964561</v>
      </c>
      <c r="AN35" s="9" t="s">
        <v>85</v>
      </c>
      <c r="AO35" s="9" t="s">
        <v>85</v>
      </c>
      <c r="AP35" s="9" t="s">
        <v>85</v>
      </c>
      <c r="AQ35" s="9" t="s">
        <v>85</v>
      </c>
      <c r="AR35" s="9" t="s">
        <v>85</v>
      </c>
      <c r="AS35" s="9" t="s">
        <v>85</v>
      </c>
      <c r="AT35" s="9" t="s">
        <v>85</v>
      </c>
      <c r="AU35" s="9" t="s">
        <v>85</v>
      </c>
      <c r="AV35" s="9">
        <v>0.963158</v>
      </c>
      <c r="AW35" s="9" t="s">
        <v>85</v>
      </c>
      <c r="AX35" s="9" t="s">
        <v>85</v>
      </c>
      <c r="AY35" s="9">
        <v>0.961754</v>
      </c>
      <c r="AZ35" s="9" t="s">
        <v>85</v>
      </c>
      <c r="BA35" s="9" t="s">
        <v>85</v>
      </c>
      <c r="BB35" s="9" t="s">
        <v>85</v>
      </c>
      <c r="BC35" s="10" t="s">
        <v>85</v>
      </c>
      <c r="BD35" s="10" t="s">
        <v>85</v>
      </c>
      <c r="BE35" s="10" t="s">
        <v>85</v>
      </c>
      <c r="BF35" s="10" t="s">
        <v>85</v>
      </c>
      <c r="BG35" s="10" t="s">
        <v>85</v>
      </c>
      <c r="BH35" s="9" t="s">
        <v>85</v>
      </c>
      <c r="BI35" s="6"/>
      <c r="BJ35" s="6" t="str">
        <f t="shared" si="1"/>
        <v>8V_One_Acc</v>
      </c>
      <c r="BK35" s="6" t="str">
        <f t="shared" si="2"/>
        <v>8VB_One_Acc</v>
      </c>
      <c r="BL35" s="6" t="str">
        <f t="shared" si="3"/>
        <v>10VB_One_Acc</v>
      </c>
      <c r="BM35" s="6"/>
      <c r="BN35" s="6">
        <f t="shared" si="4"/>
        <v>8</v>
      </c>
      <c r="BO35" s="6"/>
      <c r="BP35" s="6"/>
      <c r="BQ35" s="24"/>
      <c r="BR35" s="24"/>
      <c r="BS35" s="24"/>
      <c r="BT35" s="24"/>
      <c r="BU35" s="6"/>
      <c r="BV35" s="6"/>
      <c r="BW35" s="6"/>
      <c r="BX35" s="6"/>
      <c r="BY35" s="6"/>
      <c r="BZ35" s="6"/>
    </row>
    <row r="36" ht="15.75" customHeight="1">
      <c r="A36" s="1" t="s">
        <v>130</v>
      </c>
      <c r="B36" s="17">
        <v>301.0</v>
      </c>
      <c r="C36" s="17">
        <v>2.0</v>
      </c>
      <c r="D36" s="9" t="s">
        <v>85</v>
      </c>
      <c r="E36" s="9" t="s">
        <v>85</v>
      </c>
      <c r="F36" s="9" t="s">
        <v>85</v>
      </c>
      <c r="G36" s="9" t="s">
        <v>85</v>
      </c>
      <c r="H36" s="9" t="s">
        <v>85</v>
      </c>
      <c r="I36" s="9" t="s">
        <v>85</v>
      </c>
      <c r="J36" s="9" t="s">
        <v>85</v>
      </c>
      <c r="K36" s="9" t="s">
        <v>85</v>
      </c>
      <c r="L36" s="9">
        <v>0.807719</v>
      </c>
      <c r="M36" s="9" t="s">
        <v>85</v>
      </c>
      <c r="N36" s="9" t="s">
        <v>85</v>
      </c>
      <c r="O36" s="9">
        <v>0.801053</v>
      </c>
      <c r="P36" s="9" t="s">
        <v>85</v>
      </c>
      <c r="Q36" s="9" t="s">
        <v>85</v>
      </c>
      <c r="R36" s="9" t="s">
        <v>85</v>
      </c>
      <c r="S36" s="9" t="s">
        <v>85</v>
      </c>
      <c r="T36" s="9" t="s">
        <v>85</v>
      </c>
      <c r="U36" s="9" t="s">
        <v>85</v>
      </c>
      <c r="V36" s="9" t="s">
        <v>85</v>
      </c>
      <c r="W36" s="9" t="s">
        <v>85</v>
      </c>
      <c r="X36" s="9">
        <v>0.906316</v>
      </c>
      <c r="Y36" s="9" t="s">
        <v>85</v>
      </c>
      <c r="Z36" s="9" t="s">
        <v>85</v>
      </c>
      <c r="AA36" s="9">
        <v>0.92386</v>
      </c>
      <c r="AB36" s="10" t="s">
        <v>85</v>
      </c>
      <c r="AC36" s="10" t="s">
        <v>85</v>
      </c>
      <c r="AD36" s="9" t="s">
        <v>85</v>
      </c>
      <c r="AE36" s="9" t="s">
        <v>85</v>
      </c>
      <c r="AF36" s="9" t="s">
        <v>85</v>
      </c>
      <c r="AG36" s="9" t="s">
        <v>85</v>
      </c>
      <c r="AH36" s="9" t="s">
        <v>85</v>
      </c>
      <c r="AI36" s="9" t="s">
        <v>85</v>
      </c>
      <c r="AJ36" s="9">
        <v>0.889123</v>
      </c>
      <c r="AK36" s="9" t="s">
        <v>85</v>
      </c>
      <c r="AL36" s="9" t="s">
        <v>85</v>
      </c>
      <c r="AM36" s="9">
        <v>0.893333</v>
      </c>
      <c r="AN36" s="9" t="s">
        <v>85</v>
      </c>
      <c r="AO36" s="9" t="s">
        <v>85</v>
      </c>
      <c r="AP36" s="9" t="s">
        <v>85</v>
      </c>
      <c r="AQ36" s="9" t="s">
        <v>85</v>
      </c>
      <c r="AR36" s="9" t="s">
        <v>85</v>
      </c>
      <c r="AS36" s="9" t="s">
        <v>85</v>
      </c>
      <c r="AT36" s="9" t="s">
        <v>85</v>
      </c>
      <c r="AU36" s="9" t="s">
        <v>85</v>
      </c>
      <c r="AV36" s="9">
        <v>0.767719</v>
      </c>
      <c r="AW36" s="9" t="s">
        <v>85</v>
      </c>
      <c r="AX36" s="9" t="s">
        <v>85</v>
      </c>
      <c r="AY36" s="9">
        <v>0.823509</v>
      </c>
      <c r="AZ36" s="9" t="s">
        <v>85</v>
      </c>
      <c r="BA36" s="9" t="s">
        <v>85</v>
      </c>
      <c r="BB36" s="9" t="s">
        <v>85</v>
      </c>
      <c r="BC36" s="10" t="s">
        <v>85</v>
      </c>
      <c r="BD36" s="10" t="s">
        <v>85</v>
      </c>
      <c r="BE36" s="10" t="s">
        <v>85</v>
      </c>
      <c r="BF36" s="10" t="s">
        <v>85</v>
      </c>
      <c r="BG36" s="10" t="s">
        <v>85</v>
      </c>
      <c r="BH36" s="9" t="s">
        <v>85</v>
      </c>
      <c r="BI36" s="6"/>
      <c r="BJ36" s="6" t="str">
        <f t="shared" si="1"/>
        <v>8VB_One_Acc</v>
      </c>
      <c r="BK36" s="6" t="str">
        <f t="shared" si="2"/>
        <v>8V_One_Acc</v>
      </c>
      <c r="BL36" s="6" t="str">
        <f t="shared" si="3"/>
        <v>10VB_One_Acc</v>
      </c>
      <c r="BM36" s="6"/>
      <c r="BN36" s="6">
        <f t="shared" si="4"/>
        <v>8</v>
      </c>
      <c r="BO36" s="6"/>
      <c r="BP36" s="6"/>
      <c r="BQ36" s="24"/>
      <c r="BR36" s="24"/>
      <c r="BS36" s="24"/>
      <c r="BT36" s="24"/>
      <c r="BU36" s="6"/>
      <c r="BV36" s="6"/>
      <c r="BW36" s="6"/>
      <c r="BX36" s="6"/>
      <c r="BY36" s="6"/>
      <c r="BZ36" s="6"/>
    </row>
    <row r="37" ht="15.75" customHeight="1">
      <c r="A37" s="1" t="s">
        <v>131</v>
      </c>
      <c r="B37" s="17">
        <v>150.0</v>
      </c>
      <c r="C37" s="17">
        <v>2.0</v>
      </c>
      <c r="D37" s="9" t="s">
        <v>85</v>
      </c>
      <c r="E37" s="9" t="s">
        <v>85</v>
      </c>
      <c r="F37" s="9" t="s">
        <v>85</v>
      </c>
      <c r="G37" s="9" t="s">
        <v>85</v>
      </c>
      <c r="H37" s="9" t="s">
        <v>85</v>
      </c>
      <c r="I37" s="9" t="s">
        <v>85</v>
      </c>
      <c r="J37" s="9" t="s">
        <v>85</v>
      </c>
      <c r="K37" s="9" t="s">
        <v>85</v>
      </c>
      <c r="L37" s="9">
        <v>0.906667</v>
      </c>
      <c r="M37" s="9" t="s">
        <v>85</v>
      </c>
      <c r="N37" s="9" t="s">
        <v>85</v>
      </c>
      <c r="O37" s="9">
        <v>0.92</v>
      </c>
      <c r="P37" s="9" t="s">
        <v>85</v>
      </c>
      <c r="Q37" s="9" t="s">
        <v>85</v>
      </c>
      <c r="R37" s="9" t="s">
        <v>85</v>
      </c>
      <c r="S37" s="9" t="s">
        <v>85</v>
      </c>
      <c r="T37" s="9" t="s">
        <v>85</v>
      </c>
      <c r="U37" s="9" t="s">
        <v>85</v>
      </c>
      <c r="V37" s="9" t="s">
        <v>85</v>
      </c>
      <c r="W37" s="9" t="s">
        <v>85</v>
      </c>
      <c r="X37" s="9">
        <v>0.893333</v>
      </c>
      <c r="Y37" s="9" t="s">
        <v>85</v>
      </c>
      <c r="Z37" s="9" t="s">
        <v>85</v>
      </c>
      <c r="AA37" s="9">
        <v>0.873333</v>
      </c>
      <c r="AB37" s="10" t="s">
        <v>85</v>
      </c>
      <c r="AC37" s="10" t="s">
        <v>85</v>
      </c>
      <c r="AD37" s="9" t="s">
        <v>85</v>
      </c>
      <c r="AE37" s="9" t="s">
        <v>85</v>
      </c>
      <c r="AF37" s="9" t="s">
        <v>85</v>
      </c>
      <c r="AG37" s="9" t="s">
        <v>85</v>
      </c>
      <c r="AH37" s="9" t="s">
        <v>85</v>
      </c>
      <c r="AI37" s="9" t="s">
        <v>85</v>
      </c>
      <c r="AJ37" s="9">
        <v>0.84</v>
      </c>
      <c r="AK37" s="9" t="s">
        <v>85</v>
      </c>
      <c r="AL37" s="9" t="s">
        <v>85</v>
      </c>
      <c r="AM37" s="9">
        <v>0.846667</v>
      </c>
      <c r="AN37" s="9" t="s">
        <v>85</v>
      </c>
      <c r="AO37" s="9" t="s">
        <v>85</v>
      </c>
      <c r="AP37" s="9" t="s">
        <v>85</v>
      </c>
      <c r="AQ37" s="9" t="s">
        <v>85</v>
      </c>
      <c r="AR37" s="9" t="s">
        <v>85</v>
      </c>
      <c r="AS37" s="9" t="s">
        <v>85</v>
      </c>
      <c r="AT37" s="9" t="s">
        <v>85</v>
      </c>
      <c r="AU37" s="9" t="s">
        <v>85</v>
      </c>
      <c r="AV37" s="9">
        <v>0.9</v>
      </c>
      <c r="AW37" s="9" t="s">
        <v>85</v>
      </c>
      <c r="AX37" s="9" t="s">
        <v>85</v>
      </c>
      <c r="AY37" s="9">
        <v>0.873333</v>
      </c>
      <c r="AZ37" s="9" t="s">
        <v>85</v>
      </c>
      <c r="BA37" s="9" t="s">
        <v>85</v>
      </c>
      <c r="BB37" s="9" t="s">
        <v>85</v>
      </c>
      <c r="BC37" s="10" t="s">
        <v>85</v>
      </c>
      <c r="BD37" s="10" t="s">
        <v>85</v>
      </c>
      <c r="BE37" s="10" t="s">
        <v>85</v>
      </c>
      <c r="BF37" s="10" t="s">
        <v>85</v>
      </c>
      <c r="BG37" s="10" t="s">
        <v>85</v>
      </c>
      <c r="BH37" s="9" t="s">
        <v>85</v>
      </c>
      <c r="BI37" s="6"/>
      <c r="BJ37" s="6" t="str">
        <f t="shared" si="1"/>
        <v>5VB_One_Acc</v>
      </c>
      <c r="BK37" s="6" t="str">
        <f t="shared" si="2"/>
        <v>5V_One_Acc</v>
      </c>
      <c r="BL37" s="6" t="str">
        <f t="shared" si="3"/>
        <v>12V_One_Acc</v>
      </c>
      <c r="BM37" s="6"/>
      <c r="BN37" s="6">
        <f t="shared" si="4"/>
        <v>5</v>
      </c>
      <c r="BO37" s="6"/>
      <c r="BP37" s="6"/>
      <c r="BQ37" s="24"/>
      <c r="BR37" s="24"/>
      <c r="BS37" s="24"/>
      <c r="BT37" s="24"/>
      <c r="BU37" s="6"/>
      <c r="BV37" s="6"/>
      <c r="BW37" s="6"/>
      <c r="BX37" s="6"/>
      <c r="BY37" s="6"/>
      <c r="BZ37" s="6"/>
    </row>
    <row r="38" ht="15.75" customHeight="1">
      <c r="A38" s="1" t="s">
        <v>132</v>
      </c>
      <c r="B38" s="17">
        <v>150.0</v>
      </c>
      <c r="C38" s="17">
        <v>2.0</v>
      </c>
      <c r="D38" s="9" t="s">
        <v>85</v>
      </c>
      <c r="E38" s="9" t="s">
        <v>85</v>
      </c>
      <c r="F38" s="9" t="s">
        <v>85</v>
      </c>
      <c r="G38" s="9" t="s">
        <v>85</v>
      </c>
      <c r="H38" s="9" t="s">
        <v>85</v>
      </c>
      <c r="I38" s="9" t="s">
        <v>85</v>
      </c>
      <c r="J38" s="9" t="s">
        <v>85</v>
      </c>
      <c r="K38" s="9" t="s">
        <v>85</v>
      </c>
      <c r="L38" s="9">
        <v>0.936709</v>
      </c>
      <c r="M38" s="9" t="s">
        <v>85</v>
      </c>
      <c r="N38" s="9" t="s">
        <v>85</v>
      </c>
      <c r="O38" s="9">
        <v>0.955696</v>
      </c>
      <c r="P38" s="9" t="s">
        <v>85</v>
      </c>
      <c r="Q38" s="9" t="s">
        <v>85</v>
      </c>
      <c r="R38" s="9" t="s">
        <v>85</v>
      </c>
      <c r="S38" s="9" t="s">
        <v>85</v>
      </c>
      <c r="T38" s="9" t="s">
        <v>85</v>
      </c>
      <c r="U38" s="9" t="s">
        <v>85</v>
      </c>
      <c r="V38" s="9" t="s">
        <v>85</v>
      </c>
      <c r="W38" s="9" t="s">
        <v>85</v>
      </c>
      <c r="X38" s="9">
        <v>0.901899</v>
      </c>
      <c r="Y38" s="9" t="s">
        <v>85</v>
      </c>
      <c r="Z38" s="9" t="s">
        <v>85</v>
      </c>
      <c r="AA38" s="9">
        <v>0.917722</v>
      </c>
      <c r="AB38" s="10" t="s">
        <v>85</v>
      </c>
      <c r="AC38" s="10" t="s">
        <v>85</v>
      </c>
      <c r="AD38" s="9" t="s">
        <v>85</v>
      </c>
      <c r="AE38" s="9" t="s">
        <v>85</v>
      </c>
      <c r="AF38" s="9" t="s">
        <v>85</v>
      </c>
      <c r="AG38" s="9" t="s">
        <v>85</v>
      </c>
      <c r="AH38" s="9" t="s">
        <v>85</v>
      </c>
      <c r="AI38" s="9" t="s">
        <v>85</v>
      </c>
      <c r="AJ38" s="9">
        <v>0.924051</v>
      </c>
      <c r="AK38" s="9" t="s">
        <v>85</v>
      </c>
      <c r="AL38" s="9" t="s">
        <v>85</v>
      </c>
      <c r="AM38" s="9">
        <v>0.924051</v>
      </c>
      <c r="AN38" s="9" t="s">
        <v>85</v>
      </c>
      <c r="AO38" s="9" t="s">
        <v>85</v>
      </c>
      <c r="AP38" s="9" t="s">
        <v>85</v>
      </c>
      <c r="AQ38" s="9" t="s">
        <v>85</v>
      </c>
      <c r="AR38" s="9" t="s">
        <v>85</v>
      </c>
      <c r="AS38" s="9" t="s">
        <v>85</v>
      </c>
      <c r="AT38" s="9" t="s">
        <v>85</v>
      </c>
      <c r="AU38" s="9" t="s">
        <v>85</v>
      </c>
      <c r="AV38" s="9">
        <v>0.914557</v>
      </c>
      <c r="AW38" s="9" t="s">
        <v>85</v>
      </c>
      <c r="AX38" s="9" t="s">
        <v>85</v>
      </c>
      <c r="AY38" s="9">
        <v>0.93038</v>
      </c>
      <c r="AZ38" s="9" t="s">
        <v>85</v>
      </c>
      <c r="BA38" s="9" t="s">
        <v>85</v>
      </c>
      <c r="BB38" s="9" t="s">
        <v>85</v>
      </c>
      <c r="BC38" s="10" t="s">
        <v>85</v>
      </c>
      <c r="BD38" s="10" t="s">
        <v>85</v>
      </c>
      <c r="BE38" s="10" t="s">
        <v>85</v>
      </c>
      <c r="BF38" s="10" t="s">
        <v>85</v>
      </c>
      <c r="BG38" s="10" t="s">
        <v>85</v>
      </c>
      <c r="BH38" s="9" t="s">
        <v>85</v>
      </c>
      <c r="BI38" s="6"/>
      <c r="BJ38" s="6" t="str">
        <f t="shared" si="1"/>
        <v>5VB_One_Acc</v>
      </c>
      <c r="BK38" s="6" t="str">
        <f t="shared" si="2"/>
        <v>5V_One_Acc</v>
      </c>
      <c r="BL38" s="6" t="str">
        <f t="shared" si="3"/>
        <v>12VB_One_Acc</v>
      </c>
      <c r="BM38" s="6"/>
      <c r="BN38" s="6">
        <f t="shared" si="4"/>
        <v>5</v>
      </c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</row>
    <row r="39" ht="15.75" customHeight="1">
      <c r="A39" s="1" t="s">
        <v>133</v>
      </c>
      <c r="B39" s="17">
        <v>150.0</v>
      </c>
      <c r="C39" s="17">
        <v>2.0</v>
      </c>
      <c r="D39" s="9" t="s">
        <v>85</v>
      </c>
      <c r="E39" s="9" t="s">
        <v>85</v>
      </c>
      <c r="F39" s="9" t="s">
        <v>85</v>
      </c>
      <c r="G39" s="9" t="s">
        <v>85</v>
      </c>
      <c r="H39" s="9" t="s">
        <v>85</v>
      </c>
      <c r="I39" s="9" t="s">
        <v>85</v>
      </c>
      <c r="J39" s="9" t="s">
        <v>85</v>
      </c>
      <c r="K39" s="9" t="s">
        <v>85</v>
      </c>
      <c r="L39" s="9">
        <v>0.962025</v>
      </c>
      <c r="M39" s="9" t="s">
        <v>85</v>
      </c>
      <c r="N39" s="9" t="s">
        <v>85</v>
      </c>
      <c r="O39" s="9">
        <v>0.977848</v>
      </c>
      <c r="P39" s="9" t="s">
        <v>85</v>
      </c>
      <c r="Q39" s="9" t="s">
        <v>85</v>
      </c>
      <c r="R39" s="9" t="s">
        <v>85</v>
      </c>
      <c r="S39" s="9" t="s">
        <v>85</v>
      </c>
      <c r="T39" s="9" t="s">
        <v>85</v>
      </c>
      <c r="U39" s="9" t="s">
        <v>85</v>
      </c>
      <c r="V39" s="9" t="s">
        <v>85</v>
      </c>
      <c r="W39" s="9" t="s">
        <v>85</v>
      </c>
      <c r="X39" s="9">
        <v>0.968354</v>
      </c>
      <c r="Y39" s="9" t="s">
        <v>85</v>
      </c>
      <c r="Z39" s="9" t="s">
        <v>85</v>
      </c>
      <c r="AA39" s="9">
        <v>0.962025</v>
      </c>
      <c r="AB39" s="10" t="s">
        <v>85</v>
      </c>
      <c r="AC39" s="10" t="s">
        <v>85</v>
      </c>
      <c r="AD39" s="9" t="s">
        <v>85</v>
      </c>
      <c r="AE39" s="9" t="s">
        <v>85</v>
      </c>
      <c r="AF39" s="9" t="s">
        <v>85</v>
      </c>
      <c r="AG39" s="9" t="s">
        <v>85</v>
      </c>
      <c r="AH39" s="9" t="s">
        <v>85</v>
      </c>
      <c r="AI39" s="9" t="s">
        <v>85</v>
      </c>
      <c r="AJ39" s="9">
        <v>0.987342</v>
      </c>
      <c r="AK39" s="9" t="s">
        <v>85</v>
      </c>
      <c r="AL39" s="9" t="s">
        <v>85</v>
      </c>
      <c r="AM39" s="9">
        <v>0.984177</v>
      </c>
      <c r="AN39" s="9" t="s">
        <v>85</v>
      </c>
      <c r="AO39" s="9" t="s">
        <v>85</v>
      </c>
      <c r="AP39" s="9" t="s">
        <v>85</v>
      </c>
      <c r="AQ39" s="9" t="s">
        <v>85</v>
      </c>
      <c r="AR39" s="9" t="s">
        <v>85</v>
      </c>
      <c r="AS39" s="9" t="s">
        <v>85</v>
      </c>
      <c r="AT39" s="9" t="s">
        <v>85</v>
      </c>
      <c r="AU39" s="9" t="s">
        <v>85</v>
      </c>
      <c r="AV39" s="9">
        <v>0.996835</v>
      </c>
      <c r="AW39" s="9" t="s">
        <v>85</v>
      </c>
      <c r="AX39" s="9" t="s">
        <v>85</v>
      </c>
      <c r="AY39" s="9">
        <v>0.993671</v>
      </c>
      <c r="AZ39" s="9" t="s">
        <v>85</v>
      </c>
      <c r="BA39" s="9" t="s">
        <v>85</v>
      </c>
      <c r="BB39" s="9" t="s">
        <v>85</v>
      </c>
      <c r="BC39" s="10" t="s">
        <v>85</v>
      </c>
      <c r="BD39" s="10" t="s">
        <v>85</v>
      </c>
      <c r="BE39" s="10" t="s">
        <v>85</v>
      </c>
      <c r="BF39" s="10" t="s">
        <v>85</v>
      </c>
      <c r="BG39" s="10" t="s">
        <v>85</v>
      </c>
      <c r="BH39" s="9" t="s">
        <v>85</v>
      </c>
      <c r="BI39" s="6"/>
      <c r="BJ39" s="6" t="str">
        <f t="shared" si="1"/>
        <v>12V_One_Acc</v>
      </c>
      <c r="BK39" s="6" t="str">
        <f t="shared" si="2"/>
        <v>12VB_One_Acc</v>
      </c>
      <c r="BL39" s="6" t="str">
        <f t="shared" si="3"/>
        <v>10V_One_Acc</v>
      </c>
      <c r="BM39" s="6"/>
      <c r="BN39" s="6">
        <f t="shared" si="4"/>
        <v>12</v>
      </c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</row>
    <row r="40" ht="15.75" customHeight="1">
      <c r="A40" s="1" t="s">
        <v>134</v>
      </c>
      <c r="B40" s="17">
        <v>150.0</v>
      </c>
      <c r="C40" s="17">
        <v>2.0</v>
      </c>
      <c r="D40" s="9" t="s">
        <v>85</v>
      </c>
      <c r="E40" s="9" t="s">
        <v>85</v>
      </c>
      <c r="F40" s="9" t="s">
        <v>85</v>
      </c>
      <c r="G40" s="9" t="s">
        <v>85</v>
      </c>
      <c r="H40" s="9" t="s">
        <v>85</v>
      </c>
      <c r="I40" s="9" t="s">
        <v>85</v>
      </c>
      <c r="J40" s="9" t="s">
        <v>85</v>
      </c>
      <c r="K40" s="9" t="s">
        <v>85</v>
      </c>
      <c r="L40" s="9">
        <v>0.942857</v>
      </c>
      <c r="M40" s="9" t="s">
        <v>85</v>
      </c>
      <c r="N40" s="9" t="s">
        <v>85</v>
      </c>
      <c r="O40" s="9">
        <v>0.942857</v>
      </c>
      <c r="P40" s="9" t="s">
        <v>85</v>
      </c>
      <c r="Q40" s="9" t="s">
        <v>85</v>
      </c>
      <c r="R40" s="9" t="s">
        <v>85</v>
      </c>
      <c r="S40" s="9" t="s">
        <v>85</v>
      </c>
      <c r="T40" s="9" t="s">
        <v>85</v>
      </c>
      <c r="U40" s="9" t="s">
        <v>85</v>
      </c>
      <c r="V40" s="9" t="s">
        <v>85</v>
      </c>
      <c r="W40" s="9" t="s">
        <v>85</v>
      </c>
      <c r="X40" s="9">
        <v>0.95873</v>
      </c>
      <c r="Y40" s="9" t="s">
        <v>85</v>
      </c>
      <c r="Z40" s="9" t="s">
        <v>85</v>
      </c>
      <c r="AA40" s="9">
        <v>0.942857</v>
      </c>
      <c r="AB40" s="10" t="s">
        <v>85</v>
      </c>
      <c r="AC40" s="10" t="s">
        <v>85</v>
      </c>
      <c r="AD40" s="9" t="s">
        <v>85</v>
      </c>
      <c r="AE40" s="9" t="s">
        <v>85</v>
      </c>
      <c r="AF40" s="9" t="s">
        <v>85</v>
      </c>
      <c r="AG40" s="9" t="s">
        <v>85</v>
      </c>
      <c r="AH40" s="9" t="s">
        <v>85</v>
      </c>
      <c r="AI40" s="9" t="s">
        <v>85</v>
      </c>
      <c r="AJ40" s="9">
        <v>0.911111</v>
      </c>
      <c r="AK40" s="9" t="s">
        <v>85</v>
      </c>
      <c r="AL40" s="9" t="s">
        <v>85</v>
      </c>
      <c r="AM40" s="9">
        <v>0.914286</v>
      </c>
      <c r="AN40" s="9" t="s">
        <v>85</v>
      </c>
      <c r="AO40" s="9" t="s">
        <v>85</v>
      </c>
      <c r="AP40" s="9" t="s">
        <v>85</v>
      </c>
      <c r="AQ40" s="9" t="s">
        <v>85</v>
      </c>
      <c r="AR40" s="9" t="s">
        <v>85</v>
      </c>
      <c r="AS40" s="9" t="s">
        <v>85</v>
      </c>
      <c r="AT40" s="9" t="s">
        <v>85</v>
      </c>
      <c r="AU40" s="9" t="s">
        <v>85</v>
      </c>
      <c r="AV40" s="9">
        <v>0.91746</v>
      </c>
      <c r="AW40" s="9" t="s">
        <v>85</v>
      </c>
      <c r="AX40" s="9" t="s">
        <v>85</v>
      </c>
      <c r="AY40" s="9">
        <v>0.920635</v>
      </c>
      <c r="AZ40" s="9" t="s">
        <v>85</v>
      </c>
      <c r="BA40" s="9" t="s">
        <v>85</v>
      </c>
      <c r="BB40" s="9" t="s">
        <v>85</v>
      </c>
      <c r="BC40" s="10" t="s">
        <v>85</v>
      </c>
      <c r="BD40" s="10" t="s">
        <v>85</v>
      </c>
      <c r="BE40" s="10" t="s">
        <v>85</v>
      </c>
      <c r="BF40" s="10" t="s">
        <v>85</v>
      </c>
      <c r="BG40" s="10" t="s">
        <v>85</v>
      </c>
      <c r="BH40" s="9" t="s">
        <v>85</v>
      </c>
      <c r="BI40" s="6"/>
      <c r="BJ40" s="6" t="str">
        <f t="shared" si="1"/>
        <v>8V_One_Acc</v>
      </c>
      <c r="BK40" s="6" t="str">
        <f t="shared" si="2"/>
        <v>5V_One_Acc</v>
      </c>
      <c r="BL40" s="6" t="str">
        <f t="shared" si="3"/>
        <v>5V_One_Acc</v>
      </c>
      <c r="BM40" s="6"/>
      <c r="BN40" s="6">
        <f t="shared" si="4"/>
        <v>8</v>
      </c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</row>
    <row r="41" ht="15.75" customHeight="1">
      <c r="A41" s="1" t="s">
        <v>135</v>
      </c>
      <c r="B41" s="17">
        <v>431.0</v>
      </c>
      <c r="C41" s="17">
        <v>2.0</v>
      </c>
      <c r="D41" s="9" t="s">
        <v>85</v>
      </c>
      <c r="E41" s="9" t="s">
        <v>85</v>
      </c>
      <c r="F41" s="9" t="s">
        <v>85</v>
      </c>
      <c r="G41" s="9" t="s">
        <v>85</v>
      </c>
      <c r="H41" s="9" t="s">
        <v>85</v>
      </c>
      <c r="I41" s="9" t="s">
        <v>85</v>
      </c>
      <c r="J41" s="9" t="s">
        <v>85</v>
      </c>
      <c r="K41" s="9" t="s">
        <v>85</v>
      </c>
      <c r="L41" s="9">
        <v>0.52381</v>
      </c>
      <c r="M41" s="9" t="s">
        <v>85</v>
      </c>
      <c r="N41" s="9" t="s">
        <v>85</v>
      </c>
      <c r="O41" s="9">
        <v>0.495238</v>
      </c>
      <c r="P41" s="9" t="s">
        <v>85</v>
      </c>
      <c r="Q41" s="9" t="s">
        <v>85</v>
      </c>
      <c r="R41" s="9" t="s">
        <v>85</v>
      </c>
      <c r="S41" s="9" t="s">
        <v>85</v>
      </c>
      <c r="T41" s="9" t="s">
        <v>85</v>
      </c>
      <c r="U41" s="9" t="s">
        <v>85</v>
      </c>
      <c r="V41" s="9" t="s">
        <v>85</v>
      </c>
      <c r="W41" s="9" t="s">
        <v>85</v>
      </c>
      <c r="X41" s="9">
        <v>0.561905</v>
      </c>
      <c r="Y41" s="9" t="s">
        <v>85</v>
      </c>
      <c r="Z41" s="9" t="s">
        <v>85</v>
      </c>
      <c r="AA41" s="9">
        <v>0.52381</v>
      </c>
      <c r="AB41" s="10" t="s">
        <v>85</v>
      </c>
      <c r="AC41" s="10" t="s">
        <v>85</v>
      </c>
      <c r="AD41" s="9" t="s">
        <v>85</v>
      </c>
      <c r="AE41" s="9" t="s">
        <v>85</v>
      </c>
      <c r="AF41" s="9" t="s">
        <v>85</v>
      </c>
      <c r="AG41" s="9" t="s">
        <v>85</v>
      </c>
      <c r="AH41" s="9" t="s">
        <v>85</v>
      </c>
      <c r="AI41" s="9" t="s">
        <v>85</v>
      </c>
      <c r="AJ41" s="9">
        <v>0.6</v>
      </c>
      <c r="AK41" s="9" t="s">
        <v>85</v>
      </c>
      <c r="AL41" s="9" t="s">
        <v>85</v>
      </c>
      <c r="AM41" s="9">
        <v>0.628571</v>
      </c>
      <c r="AN41" s="9" t="s">
        <v>85</v>
      </c>
      <c r="AO41" s="9" t="s">
        <v>85</v>
      </c>
      <c r="AP41" s="9" t="s">
        <v>85</v>
      </c>
      <c r="AQ41" s="9" t="s">
        <v>85</v>
      </c>
      <c r="AR41" s="9" t="s">
        <v>85</v>
      </c>
      <c r="AS41" s="9" t="s">
        <v>85</v>
      </c>
      <c r="AT41" s="9" t="s">
        <v>85</v>
      </c>
      <c r="AU41" s="9" t="s">
        <v>85</v>
      </c>
      <c r="AV41" s="9">
        <v>0.638095</v>
      </c>
      <c r="AW41" s="9" t="s">
        <v>85</v>
      </c>
      <c r="AX41" s="9" t="s">
        <v>85</v>
      </c>
      <c r="AY41" s="9">
        <v>0.619048</v>
      </c>
      <c r="AZ41" s="9" t="s">
        <v>85</v>
      </c>
      <c r="BA41" s="9" t="s">
        <v>85</v>
      </c>
      <c r="BB41" s="9" t="s">
        <v>85</v>
      </c>
      <c r="BC41" s="10" t="s">
        <v>85</v>
      </c>
      <c r="BD41" s="10" t="s">
        <v>85</v>
      </c>
      <c r="BE41" s="10" t="s">
        <v>85</v>
      </c>
      <c r="BF41" s="10" t="s">
        <v>85</v>
      </c>
      <c r="BG41" s="10" t="s">
        <v>85</v>
      </c>
      <c r="BH41" s="9" t="s">
        <v>85</v>
      </c>
      <c r="BI41" s="6"/>
      <c r="BJ41" s="6" t="str">
        <f t="shared" si="1"/>
        <v>12V_One_Acc</v>
      </c>
      <c r="BK41" s="6" t="str">
        <f t="shared" si="2"/>
        <v>10VB_One_Acc</v>
      </c>
      <c r="BL41" s="6" t="str">
        <f t="shared" si="3"/>
        <v>12VB_One_Acc</v>
      </c>
      <c r="BM41" s="6"/>
      <c r="BN41" s="6">
        <f t="shared" si="4"/>
        <v>12</v>
      </c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</row>
    <row r="42" ht="15.75" customHeight="1">
      <c r="A42" s="1" t="s">
        <v>136</v>
      </c>
      <c r="B42" s="17">
        <v>1092.0</v>
      </c>
      <c r="C42" s="17">
        <v>5.0</v>
      </c>
      <c r="D42" s="9" t="s">
        <v>85</v>
      </c>
      <c r="E42" s="9" t="s">
        <v>85</v>
      </c>
      <c r="F42" s="9" t="s">
        <v>85</v>
      </c>
      <c r="G42" s="9" t="s">
        <v>85</v>
      </c>
      <c r="H42" s="9" t="s">
        <v>85</v>
      </c>
      <c r="I42" s="9" t="s">
        <v>85</v>
      </c>
      <c r="J42" s="9" t="s">
        <v>85</v>
      </c>
      <c r="K42" s="9" t="s">
        <v>85</v>
      </c>
      <c r="L42" s="9">
        <v>0.409091</v>
      </c>
      <c r="M42" s="9" t="s">
        <v>85</v>
      </c>
      <c r="N42" s="9" t="s">
        <v>85</v>
      </c>
      <c r="O42" s="9">
        <v>0.246753</v>
      </c>
      <c r="P42" s="9" t="s">
        <v>85</v>
      </c>
      <c r="Q42" s="9" t="s">
        <v>85</v>
      </c>
      <c r="R42" s="9" t="s">
        <v>85</v>
      </c>
      <c r="S42" s="9" t="s">
        <v>85</v>
      </c>
      <c r="T42" s="9" t="s">
        <v>85</v>
      </c>
      <c r="U42" s="9" t="s">
        <v>85</v>
      </c>
      <c r="V42" s="9" t="s">
        <v>85</v>
      </c>
      <c r="W42" s="9" t="s">
        <v>85</v>
      </c>
      <c r="X42" s="9">
        <v>0.435065</v>
      </c>
      <c r="Y42" s="9" t="s">
        <v>85</v>
      </c>
      <c r="Z42" s="9" t="s">
        <v>85</v>
      </c>
      <c r="AA42" s="9">
        <v>0.425325</v>
      </c>
      <c r="AB42" s="10" t="s">
        <v>85</v>
      </c>
      <c r="AC42" s="10" t="s">
        <v>85</v>
      </c>
      <c r="AD42" s="9" t="s">
        <v>85</v>
      </c>
      <c r="AE42" s="9" t="s">
        <v>85</v>
      </c>
      <c r="AF42" s="9" t="s">
        <v>85</v>
      </c>
      <c r="AG42" s="9" t="s">
        <v>85</v>
      </c>
      <c r="AH42" s="9" t="s">
        <v>85</v>
      </c>
      <c r="AI42" s="9" t="s">
        <v>85</v>
      </c>
      <c r="AJ42" s="9">
        <v>0.461039</v>
      </c>
      <c r="AK42" s="9" t="s">
        <v>85</v>
      </c>
      <c r="AL42" s="9" t="s">
        <v>85</v>
      </c>
      <c r="AM42" s="9">
        <v>0.399351</v>
      </c>
      <c r="AN42" s="9" t="s">
        <v>85</v>
      </c>
      <c r="AO42" s="9" t="s">
        <v>85</v>
      </c>
      <c r="AP42" s="9" t="s">
        <v>85</v>
      </c>
      <c r="AQ42" s="9" t="s">
        <v>85</v>
      </c>
      <c r="AR42" s="9" t="s">
        <v>85</v>
      </c>
      <c r="AS42" s="9" t="s">
        <v>85</v>
      </c>
      <c r="AT42" s="9" t="s">
        <v>85</v>
      </c>
      <c r="AU42" s="9" t="s">
        <v>85</v>
      </c>
      <c r="AV42" s="9">
        <v>0.467532</v>
      </c>
      <c r="AW42" s="9" t="s">
        <v>85</v>
      </c>
      <c r="AX42" s="9" t="s">
        <v>85</v>
      </c>
      <c r="AY42" s="9">
        <v>0.337662</v>
      </c>
      <c r="AZ42" s="9" t="s">
        <v>85</v>
      </c>
      <c r="BA42" s="9" t="s">
        <v>85</v>
      </c>
      <c r="BB42" s="9" t="s">
        <v>85</v>
      </c>
      <c r="BC42" s="10" t="s">
        <v>85</v>
      </c>
      <c r="BD42" s="10" t="s">
        <v>85</v>
      </c>
      <c r="BE42" s="10" t="s">
        <v>85</v>
      </c>
      <c r="BF42" s="10" t="s">
        <v>85</v>
      </c>
      <c r="BG42" s="10" t="s">
        <v>85</v>
      </c>
      <c r="BH42" s="9" t="s">
        <v>85</v>
      </c>
      <c r="BI42" s="6"/>
      <c r="BJ42" s="6" t="str">
        <f t="shared" si="1"/>
        <v>12V_One_Acc</v>
      </c>
      <c r="BK42" s="6" t="str">
        <f t="shared" si="2"/>
        <v>10V_One_Acc</v>
      </c>
      <c r="BL42" s="6" t="str">
        <f t="shared" si="3"/>
        <v>8V_One_Acc</v>
      </c>
      <c r="BM42" s="6"/>
      <c r="BN42" s="6">
        <f t="shared" si="4"/>
        <v>12</v>
      </c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</row>
    <row r="43" ht="15.75" customHeight="1">
      <c r="A43" s="1" t="s">
        <v>137</v>
      </c>
      <c r="B43" s="17">
        <v>512.0</v>
      </c>
      <c r="C43" s="17">
        <v>2.0</v>
      </c>
      <c r="D43" s="9" t="s">
        <v>85</v>
      </c>
      <c r="E43" s="9" t="s">
        <v>85</v>
      </c>
      <c r="F43" s="9" t="s">
        <v>85</v>
      </c>
      <c r="G43" s="9" t="s">
        <v>85</v>
      </c>
      <c r="H43" s="9" t="s">
        <v>85</v>
      </c>
      <c r="I43" s="9" t="s">
        <v>85</v>
      </c>
      <c r="J43" s="9" t="s">
        <v>85</v>
      </c>
      <c r="K43" s="9" t="s">
        <v>85</v>
      </c>
      <c r="L43" s="9">
        <v>0.484375</v>
      </c>
      <c r="M43" s="9" t="s">
        <v>85</v>
      </c>
      <c r="N43" s="9" t="s">
        <v>85</v>
      </c>
      <c r="O43" s="9">
        <v>0.578125</v>
      </c>
      <c r="P43" s="9" t="s">
        <v>85</v>
      </c>
      <c r="Q43" s="9" t="s">
        <v>85</v>
      </c>
      <c r="R43" s="9" t="s">
        <v>85</v>
      </c>
      <c r="S43" s="9" t="s">
        <v>85</v>
      </c>
      <c r="T43" s="9" t="s">
        <v>85</v>
      </c>
      <c r="U43" s="9" t="s">
        <v>85</v>
      </c>
      <c r="V43" s="9" t="s">
        <v>85</v>
      </c>
      <c r="W43" s="9" t="s">
        <v>85</v>
      </c>
      <c r="X43" s="9">
        <v>0.5625</v>
      </c>
      <c r="Y43" s="9" t="s">
        <v>85</v>
      </c>
      <c r="Z43" s="9" t="s">
        <v>85</v>
      </c>
      <c r="AA43" s="9">
        <v>0.484375</v>
      </c>
      <c r="AB43" s="10" t="s">
        <v>85</v>
      </c>
      <c r="AC43" s="10" t="s">
        <v>85</v>
      </c>
      <c r="AD43" s="9" t="s">
        <v>85</v>
      </c>
      <c r="AE43" s="9" t="s">
        <v>85</v>
      </c>
      <c r="AF43" s="9" t="s">
        <v>85</v>
      </c>
      <c r="AG43" s="9" t="s">
        <v>85</v>
      </c>
      <c r="AH43" s="9" t="s">
        <v>85</v>
      </c>
      <c r="AI43" s="9" t="s">
        <v>85</v>
      </c>
      <c r="AJ43" s="9">
        <v>0.5625</v>
      </c>
      <c r="AK43" s="9" t="s">
        <v>85</v>
      </c>
      <c r="AL43" s="9" t="s">
        <v>85</v>
      </c>
      <c r="AM43" s="9">
        <v>0.609375</v>
      </c>
      <c r="AN43" s="9" t="s">
        <v>85</v>
      </c>
      <c r="AO43" s="9" t="s">
        <v>85</v>
      </c>
      <c r="AP43" s="9" t="s">
        <v>85</v>
      </c>
      <c r="AQ43" s="9" t="s">
        <v>85</v>
      </c>
      <c r="AR43" s="9" t="s">
        <v>85</v>
      </c>
      <c r="AS43" s="9" t="s">
        <v>85</v>
      </c>
      <c r="AT43" s="9" t="s">
        <v>85</v>
      </c>
      <c r="AU43" s="9" t="s">
        <v>85</v>
      </c>
      <c r="AV43" s="9">
        <v>0.59375</v>
      </c>
      <c r="AW43" s="9" t="s">
        <v>85</v>
      </c>
      <c r="AX43" s="9" t="s">
        <v>85</v>
      </c>
      <c r="AY43" s="9">
        <v>0.625</v>
      </c>
      <c r="AZ43" s="9" t="s">
        <v>85</v>
      </c>
      <c r="BA43" s="9" t="s">
        <v>85</v>
      </c>
      <c r="BB43" s="9" t="s">
        <v>85</v>
      </c>
      <c r="BC43" s="10" t="s">
        <v>85</v>
      </c>
      <c r="BD43" s="10" t="s">
        <v>85</v>
      </c>
      <c r="BE43" s="10" t="s">
        <v>85</v>
      </c>
      <c r="BF43" s="10" t="s">
        <v>85</v>
      </c>
      <c r="BG43" s="10" t="s">
        <v>85</v>
      </c>
      <c r="BH43" s="9" t="s">
        <v>85</v>
      </c>
      <c r="BI43" s="6"/>
      <c r="BJ43" s="6" t="str">
        <f t="shared" si="1"/>
        <v>12VB_One_Acc</v>
      </c>
      <c r="BK43" s="6" t="str">
        <f t="shared" si="2"/>
        <v>10VB_One_Acc</v>
      </c>
      <c r="BL43" s="6" t="str">
        <f t="shared" si="3"/>
        <v>12V_One_Acc</v>
      </c>
      <c r="BM43" s="6"/>
      <c r="BN43" s="6">
        <f t="shared" si="4"/>
        <v>12</v>
      </c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</row>
    <row r="44" ht="15.75" customHeight="1">
      <c r="A44" s="1" t="s">
        <v>138</v>
      </c>
      <c r="B44" s="17">
        <v>3000.0</v>
      </c>
      <c r="C44" s="17">
        <v>2.0</v>
      </c>
      <c r="D44" s="9" t="s">
        <v>85</v>
      </c>
      <c r="E44" s="9" t="s">
        <v>85</v>
      </c>
      <c r="F44" s="9" t="s">
        <v>85</v>
      </c>
      <c r="G44" s="9" t="s">
        <v>85</v>
      </c>
      <c r="H44" s="9" t="s">
        <v>85</v>
      </c>
      <c r="I44" s="9" t="s">
        <v>85</v>
      </c>
      <c r="J44" s="9" t="s">
        <v>85</v>
      </c>
      <c r="K44" s="9" t="s">
        <v>85</v>
      </c>
      <c r="L44" s="9">
        <v>0.731092</v>
      </c>
      <c r="M44" s="9" t="s">
        <v>85</v>
      </c>
      <c r="N44" s="9" t="s">
        <v>85</v>
      </c>
      <c r="O44" s="9">
        <v>0.773109</v>
      </c>
      <c r="P44" s="9" t="s">
        <v>85</v>
      </c>
      <c r="Q44" s="9" t="s">
        <v>85</v>
      </c>
      <c r="R44" s="9" t="s">
        <v>85</v>
      </c>
      <c r="S44" s="9" t="s">
        <v>85</v>
      </c>
      <c r="T44" s="9" t="s">
        <v>85</v>
      </c>
      <c r="U44" s="9" t="s">
        <v>85</v>
      </c>
      <c r="V44" s="9" t="s">
        <v>85</v>
      </c>
      <c r="W44" s="9" t="s">
        <v>85</v>
      </c>
      <c r="X44" s="9">
        <v>0.747899</v>
      </c>
      <c r="Y44" s="9" t="s">
        <v>85</v>
      </c>
      <c r="Z44" s="9" t="s">
        <v>85</v>
      </c>
      <c r="AA44" s="9">
        <v>0.756303</v>
      </c>
      <c r="AB44" s="10" t="s">
        <v>85</v>
      </c>
      <c r="AC44" s="10" t="s">
        <v>85</v>
      </c>
      <c r="AD44" s="9" t="s">
        <v>85</v>
      </c>
      <c r="AE44" s="9" t="s">
        <v>85</v>
      </c>
      <c r="AF44" s="9" t="s">
        <v>85</v>
      </c>
      <c r="AG44" s="9" t="s">
        <v>85</v>
      </c>
      <c r="AH44" s="9" t="s">
        <v>85</v>
      </c>
      <c r="AI44" s="9" t="s">
        <v>85</v>
      </c>
      <c r="AJ44" s="9">
        <v>0.697479</v>
      </c>
      <c r="AK44" s="9" t="s">
        <v>85</v>
      </c>
      <c r="AL44" s="9" t="s">
        <v>85</v>
      </c>
      <c r="AM44" s="9">
        <v>0.731092</v>
      </c>
      <c r="AN44" s="9" t="s">
        <v>85</v>
      </c>
      <c r="AO44" s="9" t="s">
        <v>85</v>
      </c>
      <c r="AP44" s="9" t="s">
        <v>85</v>
      </c>
      <c r="AQ44" s="9" t="s">
        <v>85</v>
      </c>
      <c r="AR44" s="9" t="s">
        <v>85</v>
      </c>
      <c r="AS44" s="9" t="s">
        <v>85</v>
      </c>
      <c r="AT44" s="9" t="s">
        <v>85</v>
      </c>
      <c r="AU44" s="9" t="s">
        <v>85</v>
      </c>
      <c r="AV44" s="9">
        <v>0.705882</v>
      </c>
      <c r="AW44" s="9" t="s">
        <v>85</v>
      </c>
      <c r="AX44" s="9" t="s">
        <v>85</v>
      </c>
      <c r="AY44" s="9">
        <v>0.781513</v>
      </c>
      <c r="AZ44" s="9" t="s">
        <v>85</v>
      </c>
      <c r="BA44" s="9" t="s">
        <v>85</v>
      </c>
      <c r="BB44" s="9" t="s">
        <v>85</v>
      </c>
      <c r="BC44" s="10" t="s">
        <v>85</v>
      </c>
      <c r="BD44" s="10" t="s">
        <v>85</v>
      </c>
      <c r="BE44" s="10" t="s">
        <v>85</v>
      </c>
      <c r="BF44" s="10" t="s">
        <v>85</v>
      </c>
      <c r="BG44" s="10" t="s">
        <v>85</v>
      </c>
      <c r="BH44" s="9" t="s">
        <v>85</v>
      </c>
      <c r="BI44" s="6"/>
      <c r="BJ44" s="6" t="str">
        <f t="shared" si="1"/>
        <v>12VB_One_Acc</v>
      </c>
      <c r="BK44" s="6" t="str">
        <f t="shared" si="2"/>
        <v>5VB_One_Acc</v>
      </c>
      <c r="BL44" s="6" t="str">
        <f t="shared" si="3"/>
        <v>8VB_One_Acc</v>
      </c>
      <c r="BM44" s="6"/>
      <c r="BN44" s="6">
        <f t="shared" si="4"/>
        <v>12</v>
      </c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</row>
    <row r="45" ht="15.75" customHeight="1">
      <c r="A45" s="1" t="s">
        <v>139</v>
      </c>
      <c r="B45" s="17">
        <v>1882.0</v>
      </c>
      <c r="C45" s="17">
        <v>7.0</v>
      </c>
      <c r="D45" s="9" t="s">
        <v>85</v>
      </c>
      <c r="E45" s="9" t="s">
        <v>85</v>
      </c>
      <c r="F45" s="9" t="s">
        <v>85</v>
      </c>
      <c r="G45" s="9" t="s">
        <v>85</v>
      </c>
      <c r="H45" s="9" t="s">
        <v>85</v>
      </c>
      <c r="I45" s="9" t="s">
        <v>85</v>
      </c>
      <c r="J45" s="9" t="s">
        <v>85</v>
      </c>
      <c r="K45" s="9" t="s">
        <v>85</v>
      </c>
      <c r="L45" s="9">
        <v>0.261818</v>
      </c>
      <c r="M45" s="9" t="s">
        <v>85</v>
      </c>
      <c r="N45" s="9" t="s">
        <v>85</v>
      </c>
      <c r="O45" s="9">
        <v>0.321818</v>
      </c>
      <c r="P45" s="9" t="s">
        <v>85</v>
      </c>
      <c r="Q45" s="9" t="s">
        <v>85</v>
      </c>
      <c r="R45" s="9" t="s">
        <v>85</v>
      </c>
      <c r="S45" s="9" t="s">
        <v>85</v>
      </c>
      <c r="T45" s="9" t="s">
        <v>85</v>
      </c>
      <c r="U45" s="9" t="s">
        <v>85</v>
      </c>
      <c r="V45" s="9" t="s">
        <v>85</v>
      </c>
      <c r="W45" s="9" t="s">
        <v>85</v>
      </c>
      <c r="X45" s="9">
        <v>0.24</v>
      </c>
      <c r="Y45" s="9" t="s">
        <v>85</v>
      </c>
      <c r="Z45" s="9" t="s">
        <v>85</v>
      </c>
      <c r="AA45" s="9">
        <v>0.3</v>
      </c>
      <c r="AB45" s="10" t="s">
        <v>85</v>
      </c>
      <c r="AC45" s="10" t="s">
        <v>85</v>
      </c>
      <c r="AD45" s="9" t="s">
        <v>85</v>
      </c>
      <c r="AE45" s="9" t="s">
        <v>85</v>
      </c>
      <c r="AF45" s="9" t="s">
        <v>85</v>
      </c>
      <c r="AG45" s="9" t="s">
        <v>85</v>
      </c>
      <c r="AH45" s="9" t="s">
        <v>85</v>
      </c>
      <c r="AI45" s="9" t="s">
        <v>85</v>
      </c>
      <c r="AJ45" s="9">
        <v>0.258182</v>
      </c>
      <c r="AK45" s="9" t="s">
        <v>85</v>
      </c>
      <c r="AL45" s="9" t="s">
        <v>85</v>
      </c>
      <c r="AM45" s="9">
        <v>0.232727</v>
      </c>
      <c r="AN45" s="9" t="s">
        <v>85</v>
      </c>
      <c r="AO45" s="9" t="s">
        <v>85</v>
      </c>
      <c r="AP45" s="9" t="s">
        <v>85</v>
      </c>
      <c r="AQ45" s="9" t="s">
        <v>85</v>
      </c>
      <c r="AR45" s="9" t="s">
        <v>85</v>
      </c>
      <c r="AS45" s="9" t="s">
        <v>85</v>
      </c>
      <c r="AT45" s="9" t="s">
        <v>85</v>
      </c>
      <c r="AU45" s="9" t="s">
        <v>85</v>
      </c>
      <c r="AV45" s="9">
        <v>0.249091</v>
      </c>
      <c r="AW45" s="9" t="s">
        <v>85</v>
      </c>
      <c r="AX45" s="9" t="s">
        <v>85</v>
      </c>
      <c r="AY45" s="9">
        <v>0.263636</v>
      </c>
      <c r="AZ45" s="9" t="s">
        <v>85</v>
      </c>
      <c r="BA45" s="9" t="s">
        <v>85</v>
      </c>
      <c r="BB45" s="9" t="s">
        <v>85</v>
      </c>
      <c r="BC45" s="10" t="s">
        <v>85</v>
      </c>
      <c r="BD45" s="10" t="s">
        <v>85</v>
      </c>
      <c r="BE45" s="10" t="s">
        <v>85</v>
      </c>
      <c r="BF45" s="10" t="s">
        <v>85</v>
      </c>
      <c r="BG45" s="10" t="s">
        <v>85</v>
      </c>
      <c r="BH45" s="9" t="s">
        <v>85</v>
      </c>
      <c r="BI45" s="6"/>
      <c r="BJ45" s="6" t="str">
        <f t="shared" si="1"/>
        <v>5VB_One_Acc</v>
      </c>
      <c r="BK45" s="6" t="str">
        <f t="shared" si="2"/>
        <v>8VB_One_Acc</v>
      </c>
      <c r="BL45" s="6" t="str">
        <f t="shared" si="3"/>
        <v>12VB_One_Acc</v>
      </c>
      <c r="BM45" s="6"/>
      <c r="BN45" s="6">
        <f t="shared" si="4"/>
        <v>5</v>
      </c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</row>
    <row r="46" ht="15.75" customHeight="1">
      <c r="A46" s="1" t="s">
        <v>140</v>
      </c>
      <c r="B46" s="17">
        <v>601.0</v>
      </c>
      <c r="C46" s="17">
        <v>3.0</v>
      </c>
      <c r="D46" s="9" t="s">
        <v>85</v>
      </c>
      <c r="E46" s="9" t="s">
        <v>85</v>
      </c>
      <c r="F46" s="9" t="s">
        <v>85</v>
      </c>
      <c r="G46" s="9" t="s">
        <v>85</v>
      </c>
      <c r="H46" s="9" t="s">
        <v>85</v>
      </c>
      <c r="I46" s="9" t="s">
        <v>85</v>
      </c>
      <c r="J46" s="9" t="s">
        <v>85</v>
      </c>
      <c r="K46" s="9" t="s">
        <v>85</v>
      </c>
      <c r="L46" s="9">
        <v>0.807229</v>
      </c>
      <c r="M46" s="9" t="s">
        <v>85</v>
      </c>
      <c r="N46" s="9" t="s">
        <v>85</v>
      </c>
      <c r="O46" s="9">
        <v>0.791165</v>
      </c>
      <c r="P46" s="9" t="s">
        <v>85</v>
      </c>
      <c r="Q46" s="9" t="s">
        <v>85</v>
      </c>
      <c r="R46" s="9" t="s">
        <v>85</v>
      </c>
      <c r="S46" s="9" t="s">
        <v>85</v>
      </c>
      <c r="T46" s="9" t="s">
        <v>85</v>
      </c>
      <c r="U46" s="9" t="s">
        <v>85</v>
      </c>
      <c r="V46" s="9" t="s">
        <v>85</v>
      </c>
      <c r="W46" s="9" t="s">
        <v>85</v>
      </c>
      <c r="X46" s="9">
        <v>0.823293</v>
      </c>
      <c r="Y46" s="9" t="s">
        <v>85</v>
      </c>
      <c r="Z46" s="9" t="s">
        <v>85</v>
      </c>
      <c r="AA46" s="9">
        <v>0.823293</v>
      </c>
      <c r="AB46" s="10" t="s">
        <v>85</v>
      </c>
      <c r="AC46" s="10" t="s">
        <v>85</v>
      </c>
      <c r="AD46" s="9" t="s">
        <v>85</v>
      </c>
      <c r="AE46" s="9" t="s">
        <v>85</v>
      </c>
      <c r="AF46" s="9" t="s">
        <v>85</v>
      </c>
      <c r="AG46" s="9" t="s">
        <v>85</v>
      </c>
      <c r="AH46" s="9" t="s">
        <v>85</v>
      </c>
      <c r="AI46" s="9" t="s">
        <v>85</v>
      </c>
      <c r="AJ46" s="9">
        <v>0.807229</v>
      </c>
      <c r="AK46" s="9" t="s">
        <v>85</v>
      </c>
      <c r="AL46" s="9" t="s">
        <v>85</v>
      </c>
      <c r="AM46" s="9">
        <v>0.819277</v>
      </c>
      <c r="AN46" s="9" t="s">
        <v>85</v>
      </c>
      <c r="AO46" s="9" t="s">
        <v>85</v>
      </c>
      <c r="AP46" s="9" t="s">
        <v>85</v>
      </c>
      <c r="AQ46" s="9" t="s">
        <v>85</v>
      </c>
      <c r="AR46" s="9" t="s">
        <v>85</v>
      </c>
      <c r="AS46" s="9" t="s">
        <v>85</v>
      </c>
      <c r="AT46" s="9" t="s">
        <v>85</v>
      </c>
      <c r="AU46" s="9" t="s">
        <v>85</v>
      </c>
      <c r="AV46" s="9">
        <v>0.815261</v>
      </c>
      <c r="AW46" s="9" t="s">
        <v>85</v>
      </c>
      <c r="AX46" s="9" t="s">
        <v>85</v>
      </c>
      <c r="AY46" s="9">
        <v>0.811245</v>
      </c>
      <c r="AZ46" s="9" t="s">
        <v>85</v>
      </c>
      <c r="BA46" s="9" t="s">
        <v>85</v>
      </c>
      <c r="BB46" s="9" t="s">
        <v>85</v>
      </c>
      <c r="BC46" s="10" t="s">
        <v>85</v>
      </c>
      <c r="BD46" s="10" t="s">
        <v>85</v>
      </c>
      <c r="BE46" s="10" t="s">
        <v>85</v>
      </c>
      <c r="BF46" s="10" t="s">
        <v>85</v>
      </c>
      <c r="BG46" s="10" t="s">
        <v>85</v>
      </c>
      <c r="BH46" s="9" t="s">
        <v>85</v>
      </c>
      <c r="BI46" s="6"/>
      <c r="BJ46" s="6" t="str">
        <f t="shared" si="1"/>
        <v>8V_One_Acc</v>
      </c>
      <c r="BK46" s="6" t="str">
        <f t="shared" si="2"/>
        <v>8V_One_Acc</v>
      </c>
      <c r="BL46" s="6" t="str">
        <f t="shared" si="3"/>
        <v>10VB_One_Acc</v>
      </c>
      <c r="BM46" s="6"/>
      <c r="BN46" s="6">
        <f t="shared" si="4"/>
        <v>8</v>
      </c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</row>
    <row r="47" ht="15.75" customHeight="1">
      <c r="A47" s="1" t="s">
        <v>141</v>
      </c>
      <c r="B47" s="17">
        <v>601.0</v>
      </c>
      <c r="C47" s="17">
        <v>3.0</v>
      </c>
      <c r="D47" s="9" t="s">
        <v>85</v>
      </c>
      <c r="E47" s="9" t="s">
        <v>85</v>
      </c>
      <c r="F47" s="9" t="s">
        <v>85</v>
      </c>
      <c r="G47" s="9" t="s">
        <v>85</v>
      </c>
      <c r="H47" s="9" t="s">
        <v>85</v>
      </c>
      <c r="I47" s="9" t="s">
        <v>85</v>
      </c>
      <c r="J47" s="9" t="s">
        <v>85</v>
      </c>
      <c r="K47" s="9" t="s">
        <v>85</v>
      </c>
      <c r="L47" s="9">
        <v>0.767068</v>
      </c>
      <c r="M47" s="9" t="s">
        <v>85</v>
      </c>
      <c r="N47" s="9" t="s">
        <v>85</v>
      </c>
      <c r="O47" s="9">
        <v>0.779116</v>
      </c>
      <c r="P47" s="9" t="s">
        <v>85</v>
      </c>
      <c r="Q47" s="9" t="s">
        <v>85</v>
      </c>
      <c r="R47" s="9" t="s">
        <v>85</v>
      </c>
      <c r="S47" s="9" t="s">
        <v>85</v>
      </c>
      <c r="T47" s="9" t="s">
        <v>85</v>
      </c>
      <c r="U47" s="9" t="s">
        <v>85</v>
      </c>
      <c r="V47" s="9" t="s">
        <v>85</v>
      </c>
      <c r="W47" s="9" t="s">
        <v>85</v>
      </c>
      <c r="X47" s="9">
        <v>0.787149</v>
      </c>
      <c r="Y47" s="9" t="s">
        <v>85</v>
      </c>
      <c r="Z47" s="9" t="s">
        <v>85</v>
      </c>
      <c r="AA47" s="9">
        <v>0.783133</v>
      </c>
      <c r="AB47" s="10" t="s">
        <v>85</v>
      </c>
      <c r="AC47" s="10" t="s">
        <v>85</v>
      </c>
      <c r="AD47" s="9" t="s">
        <v>85</v>
      </c>
      <c r="AE47" s="9" t="s">
        <v>85</v>
      </c>
      <c r="AF47" s="9" t="s">
        <v>85</v>
      </c>
      <c r="AG47" s="9" t="s">
        <v>85</v>
      </c>
      <c r="AH47" s="9" t="s">
        <v>85</v>
      </c>
      <c r="AI47" s="9" t="s">
        <v>85</v>
      </c>
      <c r="AJ47" s="9">
        <v>0.783133</v>
      </c>
      <c r="AK47" s="9" t="s">
        <v>85</v>
      </c>
      <c r="AL47" s="9" t="s">
        <v>85</v>
      </c>
      <c r="AM47" s="9">
        <v>0.783133</v>
      </c>
      <c r="AN47" s="9" t="s">
        <v>85</v>
      </c>
      <c r="AO47" s="9" t="s">
        <v>85</v>
      </c>
      <c r="AP47" s="9" t="s">
        <v>85</v>
      </c>
      <c r="AQ47" s="9" t="s">
        <v>85</v>
      </c>
      <c r="AR47" s="9" t="s">
        <v>85</v>
      </c>
      <c r="AS47" s="9" t="s">
        <v>85</v>
      </c>
      <c r="AT47" s="9" t="s">
        <v>85</v>
      </c>
      <c r="AU47" s="9" t="s">
        <v>85</v>
      </c>
      <c r="AV47" s="9">
        <v>0.759036</v>
      </c>
      <c r="AW47" s="9" t="s">
        <v>85</v>
      </c>
      <c r="AX47" s="9" t="s">
        <v>85</v>
      </c>
      <c r="AY47" s="9">
        <v>0.7751</v>
      </c>
      <c r="AZ47" s="9" t="s">
        <v>85</v>
      </c>
      <c r="BA47" s="9" t="s">
        <v>85</v>
      </c>
      <c r="BB47" s="9" t="s">
        <v>85</v>
      </c>
      <c r="BC47" s="10" t="s">
        <v>85</v>
      </c>
      <c r="BD47" s="10" t="s">
        <v>85</v>
      </c>
      <c r="BE47" s="10" t="s">
        <v>85</v>
      </c>
      <c r="BF47" s="10" t="s">
        <v>85</v>
      </c>
      <c r="BG47" s="10" t="s">
        <v>85</v>
      </c>
      <c r="BH47" s="9" t="s">
        <v>85</v>
      </c>
      <c r="BI47" s="6"/>
      <c r="BJ47" s="6" t="str">
        <f t="shared" si="1"/>
        <v>8V_One_Acc</v>
      </c>
      <c r="BK47" s="6" t="str">
        <f t="shared" si="2"/>
        <v>8VB_One_Acc</v>
      </c>
      <c r="BL47" s="6" t="str">
        <f t="shared" si="3"/>
        <v>8VB_One_Acc</v>
      </c>
      <c r="BM47" s="6"/>
      <c r="BN47" s="6">
        <f t="shared" si="4"/>
        <v>8</v>
      </c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</row>
    <row r="48" ht="15.75" customHeight="1">
      <c r="A48" s="1" t="s">
        <v>142</v>
      </c>
      <c r="B48" s="17">
        <v>24.0</v>
      </c>
      <c r="C48" s="17">
        <v>2.0</v>
      </c>
      <c r="D48" s="9" t="s">
        <v>85</v>
      </c>
      <c r="E48" s="9" t="s">
        <v>85</v>
      </c>
      <c r="F48" s="9" t="s">
        <v>85</v>
      </c>
      <c r="G48" s="9" t="s">
        <v>85</v>
      </c>
      <c r="H48" s="9" t="s">
        <v>85</v>
      </c>
      <c r="I48" s="9" t="s">
        <v>85</v>
      </c>
      <c r="J48" s="9" t="s">
        <v>85</v>
      </c>
      <c r="K48" s="9" t="s">
        <v>85</v>
      </c>
      <c r="L48" s="9">
        <v>0.849368</v>
      </c>
      <c r="M48" s="9" t="s">
        <v>85</v>
      </c>
      <c r="N48" s="9" t="s">
        <v>85</v>
      </c>
      <c r="O48" s="9">
        <v>0.852284</v>
      </c>
      <c r="P48" s="9" t="s">
        <v>85</v>
      </c>
      <c r="Q48" s="9" t="s">
        <v>85</v>
      </c>
      <c r="R48" s="9" t="s">
        <v>85</v>
      </c>
      <c r="S48" s="9" t="s">
        <v>85</v>
      </c>
      <c r="T48" s="9" t="s">
        <v>85</v>
      </c>
      <c r="U48" s="9" t="s">
        <v>85</v>
      </c>
      <c r="V48" s="9" t="s">
        <v>85</v>
      </c>
      <c r="W48" s="9" t="s">
        <v>85</v>
      </c>
      <c r="X48" s="9">
        <v>0.940719</v>
      </c>
      <c r="Y48" s="9" t="s">
        <v>85</v>
      </c>
      <c r="Z48" s="9" t="s">
        <v>85</v>
      </c>
      <c r="AA48" s="9">
        <v>0.949466</v>
      </c>
      <c r="AB48" s="10" t="s">
        <v>85</v>
      </c>
      <c r="AC48" s="10" t="s">
        <v>85</v>
      </c>
      <c r="AD48" s="9" t="s">
        <v>85</v>
      </c>
      <c r="AE48" s="9" t="s">
        <v>85</v>
      </c>
      <c r="AF48" s="9" t="s">
        <v>85</v>
      </c>
      <c r="AG48" s="9" t="s">
        <v>85</v>
      </c>
      <c r="AH48" s="9" t="s">
        <v>85</v>
      </c>
      <c r="AI48" s="9" t="s">
        <v>85</v>
      </c>
      <c r="AJ48" s="9">
        <v>0.891156</v>
      </c>
      <c r="AK48" s="9" t="s">
        <v>85</v>
      </c>
      <c r="AL48" s="9" t="s">
        <v>85</v>
      </c>
      <c r="AM48" s="9">
        <v>0.909621</v>
      </c>
      <c r="AN48" s="9" t="s">
        <v>85</v>
      </c>
      <c r="AO48" s="9" t="s">
        <v>85</v>
      </c>
      <c r="AP48" s="9" t="s">
        <v>85</v>
      </c>
      <c r="AQ48" s="9" t="s">
        <v>85</v>
      </c>
      <c r="AR48" s="9" t="s">
        <v>85</v>
      </c>
      <c r="AS48" s="9" t="s">
        <v>85</v>
      </c>
      <c r="AT48" s="9" t="s">
        <v>85</v>
      </c>
      <c r="AU48" s="9" t="s">
        <v>85</v>
      </c>
      <c r="AV48" s="9">
        <v>0.8931</v>
      </c>
      <c r="AW48" s="9" t="s">
        <v>85</v>
      </c>
      <c r="AX48" s="9" t="s">
        <v>85</v>
      </c>
      <c r="AY48" s="9">
        <v>0.90379</v>
      </c>
      <c r="AZ48" s="9" t="s">
        <v>85</v>
      </c>
      <c r="BA48" s="9" t="s">
        <v>85</v>
      </c>
      <c r="BB48" s="9" t="s">
        <v>85</v>
      </c>
      <c r="BC48" s="10" t="s">
        <v>85</v>
      </c>
      <c r="BD48" s="10" t="s">
        <v>85</v>
      </c>
      <c r="BE48" s="10" t="s">
        <v>85</v>
      </c>
      <c r="BF48" s="10" t="s">
        <v>85</v>
      </c>
      <c r="BG48" s="10" t="s">
        <v>85</v>
      </c>
      <c r="BH48" s="9" t="s">
        <v>85</v>
      </c>
      <c r="BI48" s="6"/>
      <c r="BJ48" s="6" t="str">
        <f t="shared" si="1"/>
        <v>8VB_One_Acc</v>
      </c>
      <c r="BK48" s="6" t="str">
        <f t="shared" si="2"/>
        <v>8V_One_Acc</v>
      </c>
      <c r="BL48" s="6" t="str">
        <f t="shared" si="3"/>
        <v>10VB_One_Acc</v>
      </c>
      <c r="BM48" s="6"/>
      <c r="BN48" s="6">
        <f t="shared" si="4"/>
        <v>8</v>
      </c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</row>
    <row r="49" ht="15.75" customHeight="1">
      <c r="A49" s="1" t="s">
        <v>143</v>
      </c>
      <c r="B49" s="17">
        <v>720.0</v>
      </c>
      <c r="C49" s="17">
        <v>3.0</v>
      </c>
      <c r="D49" s="9" t="s">
        <v>85</v>
      </c>
      <c r="E49" s="9" t="s">
        <v>85</v>
      </c>
      <c r="F49" s="9" t="s">
        <v>85</v>
      </c>
      <c r="G49" s="9" t="s">
        <v>85</v>
      </c>
      <c r="H49" s="9" t="s">
        <v>85</v>
      </c>
      <c r="I49" s="9" t="s">
        <v>85</v>
      </c>
      <c r="J49" s="9" t="s">
        <v>85</v>
      </c>
      <c r="K49" s="9" t="s">
        <v>85</v>
      </c>
      <c r="L49" s="9">
        <v>0.592</v>
      </c>
      <c r="M49" s="9" t="s">
        <v>85</v>
      </c>
      <c r="N49" s="9" t="s">
        <v>85</v>
      </c>
      <c r="O49" s="9">
        <v>0.6</v>
      </c>
      <c r="P49" s="9" t="s">
        <v>85</v>
      </c>
      <c r="Q49" s="9" t="s">
        <v>85</v>
      </c>
      <c r="R49" s="9" t="s">
        <v>85</v>
      </c>
      <c r="S49" s="9" t="s">
        <v>85</v>
      </c>
      <c r="T49" s="9" t="s">
        <v>85</v>
      </c>
      <c r="U49" s="9" t="s">
        <v>85</v>
      </c>
      <c r="V49" s="9" t="s">
        <v>85</v>
      </c>
      <c r="W49" s="9" t="s">
        <v>85</v>
      </c>
      <c r="X49" s="9">
        <v>0.592</v>
      </c>
      <c r="Y49" s="9" t="s">
        <v>85</v>
      </c>
      <c r="Z49" s="9" t="s">
        <v>85</v>
      </c>
      <c r="AA49" s="9">
        <v>0.613333</v>
      </c>
      <c r="AB49" s="10" t="s">
        <v>85</v>
      </c>
      <c r="AC49" s="10" t="s">
        <v>85</v>
      </c>
      <c r="AD49" s="9" t="s">
        <v>85</v>
      </c>
      <c r="AE49" s="9" t="s">
        <v>85</v>
      </c>
      <c r="AF49" s="9" t="s">
        <v>85</v>
      </c>
      <c r="AG49" s="9" t="s">
        <v>85</v>
      </c>
      <c r="AH49" s="9" t="s">
        <v>85</v>
      </c>
      <c r="AI49" s="9" t="s">
        <v>85</v>
      </c>
      <c r="AJ49" s="9">
        <v>0.616</v>
      </c>
      <c r="AK49" s="9" t="s">
        <v>85</v>
      </c>
      <c r="AL49" s="9" t="s">
        <v>85</v>
      </c>
      <c r="AM49" s="9">
        <v>0.616</v>
      </c>
      <c r="AN49" s="9" t="s">
        <v>85</v>
      </c>
      <c r="AO49" s="9" t="s">
        <v>85</v>
      </c>
      <c r="AP49" s="9" t="s">
        <v>85</v>
      </c>
      <c r="AQ49" s="9" t="s">
        <v>85</v>
      </c>
      <c r="AR49" s="9" t="s">
        <v>85</v>
      </c>
      <c r="AS49" s="9" t="s">
        <v>85</v>
      </c>
      <c r="AT49" s="9" t="s">
        <v>85</v>
      </c>
      <c r="AU49" s="9" t="s">
        <v>85</v>
      </c>
      <c r="AV49" s="9">
        <v>0.6</v>
      </c>
      <c r="AW49" s="9" t="s">
        <v>85</v>
      </c>
      <c r="AX49" s="9" t="s">
        <v>85</v>
      </c>
      <c r="AY49" s="9">
        <v>0.637333</v>
      </c>
      <c r="AZ49" s="9" t="s">
        <v>85</v>
      </c>
      <c r="BA49" s="9" t="s">
        <v>85</v>
      </c>
      <c r="BB49" s="9" t="s">
        <v>85</v>
      </c>
      <c r="BC49" s="10" t="s">
        <v>85</v>
      </c>
      <c r="BD49" s="10" t="s">
        <v>85</v>
      </c>
      <c r="BE49" s="10" t="s">
        <v>85</v>
      </c>
      <c r="BF49" s="10" t="s">
        <v>85</v>
      </c>
      <c r="BG49" s="10" t="s">
        <v>85</v>
      </c>
      <c r="BH49" s="9" t="s">
        <v>85</v>
      </c>
      <c r="BI49" s="6"/>
      <c r="BJ49" s="6" t="str">
        <f t="shared" si="1"/>
        <v>12VB_One_Acc</v>
      </c>
      <c r="BK49" s="6" t="str">
        <f t="shared" si="2"/>
        <v>10V_One_Acc</v>
      </c>
      <c r="BL49" s="6" t="str">
        <f t="shared" si="3"/>
        <v>10V_One_Acc</v>
      </c>
      <c r="BM49" s="6"/>
      <c r="BN49" s="6">
        <f t="shared" si="4"/>
        <v>12</v>
      </c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</row>
    <row r="50" ht="15.75" customHeight="1">
      <c r="A50" s="1" t="s">
        <v>144</v>
      </c>
      <c r="B50" s="17">
        <v>637.0</v>
      </c>
      <c r="C50" s="17">
        <v>2.0</v>
      </c>
      <c r="D50" s="9" t="s">
        <v>85</v>
      </c>
      <c r="E50" s="9" t="s">
        <v>85</v>
      </c>
      <c r="F50" s="9" t="s">
        <v>85</v>
      </c>
      <c r="G50" s="9" t="s">
        <v>85</v>
      </c>
      <c r="H50" s="9" t="s">
        <v>85</v>
      </c>
      <c r="I50" s="9" t="s">
        <v>85</v>
      </c>
      <c r="J50" s="9" t="s">
        <v>85</v>
      </c>
      <c r="K50" s="9" t="s">
        <v>85</v>
      </c>
      <c r="L50" s="9">
        <v>0.540984</v>
      </c>
      <c r="M50" s="9" t="s">
        <v>85</v>
      </c>
      <c r="N50" s="9" t="s">
        <v>85</v>
      </c>
      <c r="O50" s="9">
        <v>0.540984</v>
      </c>
      <c r="P50" s="9" t="s">
        <v>85</v>
      </c>
      <c r="Q50" s="9" t="s">
        <v>85</v>
      </c>
      <c r="R50" s="9" t="s">
        <v>85</v>
      </c>
      <c r="S50" s="9" t="s">
        <v>85</v>
      </c>
      <c r="T50" s="9" t="s">
        <v>85</v>
      </c>
      <c r="U50" s="9" t="s">
        <v>85</v>
      </c>
      <c r="V50" s="9" t="s">
        <v>85</v>
      </c>
      <c r="W50" s="9" t="s">
        <v>85</v>
      </c>
      <c r="X50" s="9">
        <v>0.540984</v>
      </c>
      <c r="Y50" s="9" t="s">
        <v>85</v>
      </c>
      <c r="Z50" s="9" t="s">
        <v>85</v>
      </c>
      <c r="AA50" s="9">
        <v>0.540984</v>
      </c>
      <c r="AB50" s="10" t="s">
        <v>85</v>
      </c>
      <c r="AC50" s="10" t="s">
        <v>85</v>
      </c>
      <c r="AD50" s="9" t="s">
        <v>85</v>
      </c>
      <c r="AE50" s="9" t="s">
        <v>85</v>
      </c>
      <c r="AF50" s="9" t="s">
        <v>85</v>
      </c>
      <c r="AG50" s="9" t="s">
        <v>85</v>
      </c>
      <c r="AH50" s="9" t="s">
        <v>85</v>
      </c>
      <c r="AI50" s="9" t="s">
        <v>85</v>
      </c>
      <c r="AJ50" s="9">
        <v>0.540984</v>
      </c>
      <c r="AK50" s="9" t="s">
        <v>85</v>
      </c>
      <c r="AL50" s="9" t="s">
        <v>85</v>
      </c>
      <c r="AM50" s="9">
        <v>0.540984</v>
      </c>
      <c r="AN50" s="9" t="s">
        <v>85</v>
      </c>
      <c r="AO50" s="9" t="s">
        <v>85</v>
      </c>
      <c r="AP50" s="9" t="s">
        <v>85</v>
      </c>
      <c r="AQ50" s="9" t="s">
        <v>85</v>
      </c>
      <c r="AR50" s="9" t="s">
        <v>85</v>
      </c>
      <c r="AS50" s="9" t="s">
        <v>85</v>
      </c>
      <c r="AT50" s="9" t="s">
        <v>85</v>
      </c>
      <c r="AU50" s="9" t="s">
        <v>85</v>
      </c>
      <c r="AV50" s="9">
        <v>0.540984</v>
      </c>
      <c r="AW50" s="9" t="s">
        <v>85</v>
      </c>
      <c r="AX50" s="9" t="s">
        <v>85</v>
      </c>
      <c r="AY50" s="9">
        <v>0.540984</v>
      </c>
      <c r="AZ50" s="9" t="s">
        <v>85</v>
      </c>
      <c r="BA50" s="9" t="s">
        <v>85</v>
      </c>
      <c r="BB50" s="9" t="s">
        <v>85</v>
      </c>
      <c r="BC50" s="10" t="s">
        <v>85</v>
      </c>
      <c r="BD50" s="10" t="s">
        <v>85</v>
      </c>
      <c r="BE50" s="10" t="s">
        <v>85</v>
      </c>
      <c r="BF50" s="10" t="s">
        <v>85</v>
      </c>
      <c r="BG50" s="10" t="s">
        <v>85</v>
      </c>
      <c r="BH50" s="9" t="s">
        <v>85</v>
      </c>
      <c r="BI50" s="6"/>
      <c r="BJ50" s="6" t="str">
        <f t="shared" si="1"/>
        <v>5V_One_Acc</v>
      </c>
      <c r="BK50" s="6" t="str">
        <f t="shared" si="2"/>
        <v>5V_One_Acc</v>
      </c>
      <c r="BL50" s="6" t="str">
        <f t="shared" si="3"/>
        <v>5V_One_Acc</v>
      </c>
      <c r="BM50" s="6"/>
      <c r="BN50" s="6">
        <f t="shared" si="4"/>
        <v>5</v>
      </c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</row>
    <row r="51" ht="15.75" customHeight="1">
      <c r="A51" s="1" t="s">
        <v>145</v>
      </c>
      <c r="B51" s="17">
        <v>319.0</v>
      </c>
      <c r="C51" s="17">
        <v>7.0</v>
      </c>
      <c r="D51" s="9" t="s">
        <v>85</v>
      </c>
      <c r="E51" s="9" t="s">
        <v>85</v>
      </c>
      <c r="F51" s="9" t="s">
        <v>85</v>
      </c>
      <c r="G51" s="9" t="s">
        <v>85</v>
      </c>
      <c r="H51" s="9" t="s">
        <v>85</v>
      </c>
      <c r="I51" s="9" t="s">
        <v>85</v>
      </c>
      <c r="J51" s="9" t="s">
        <v>85</v>
      </c>
      <c r="K51" s="9" t="s">
        <v>85</v>
      </c>
      <c r="L51" s="9">
        <v>0.589041</v>
      </c>
      <c r="M51" s="9" t="s">
        <v>85</v>
      </c>
      <c r="N51" s="9" t="s">
        <v>85</v>
      </c>
      <c r="O51" s="9">
        <v>0.630137</v>
      </c>
      <c r="P51" s="9" t="s">
        <v>85</v>
      </c>
      <c r="Q51" s="9" t="s">
        <v>85</v>
      </c>
      <c r="R51" s="9" t="s">
        <v>85</v>
      </c>
      <c r="S51" s="9" t="s">
        <v>85</v>
      </c>
      <c r="T51" s="9" t="s">
        <v>85</v>
      </c>
      <c r="U51" s="9" t="s">
        <v>85</v>
      </c>
      <c r="V51" s="9" t="s">
        <v>85</v>
      </c>
      <c r="W51" s="9" t="s">
        <v>85</v>
      </c>
      <c r="X51" s="9">
        <v>0.69863</v>
      </c>
      <c r="Y51" s="9" t="s">
        <v>85</v>
      </c>
      <c r="Z51" s="9" t="s">
        <v>85</v>
      </c>
      <c r="AA51" s="9">
        <v>0.589041</v>
      </c>
      <c r="AB51" s="10" t="s">
        <v>85</v>
      </c>
      <c r="AC51" s="10" t="s">
        <v>85</v>
      </c>
      <c r="AD51" s="9" t="s">
        <v>85</v>
      </c>
      <c r="AE51" s="9" t="s">
        <v>85</v>
      </c>
      <c r="AF51" s="9" t="s">
        <v>85</v>
      </c>
      <c r="AG51" s="9" t="s">
        <v>85</v>
      </c>
      <c r="AH51" s="9" t="s">
        <v>85</v>
      </c>
      <c r="AI51" s="9" t="s">
        <v>85</v>
      </c>
      <c r="AJ51" s="9">
        <v>0.643836</v>
      </c>
      <c r="AK51" s="9" t="s">
        <v>85</v>
      </c>
      <c r="AL51" s="9" t="s">
        <v>85</v>
      </c>
      <c r="AM51" s="9">
        <v>0.630137</v>
      </c>
      <c r="AN51" s="9" t="s">
        <v>85</v>
      </c>
      <c r="AO51" s="9" t="s">
        <v>85</v>
      </c>
      <c r="AP51" s="9" t="s">
        <v>85</v>
      </c>
      <c r="AQ51" s="9" t="s">
        <v>85</v>
      </c>
      <c r="AR51" s="9" t="s">
        <v>85</v>
      </c>
      <c r="AS51" s="9" t="s">
        <v>85</v>
      </c>
      <c r="AT51" s="9" t="s">
        <v>85</v>
      </c>
      <c r="AU51" s="9" t="s">
        <v>85</v>
      </c>
      <c r="AV51" s="9">
        <v>0.657534</v>
      </c>
      <c r="AW51" s="9" t="s">
        <v>85</v>
      </c>
      <c r="AX51" s="9" t="s">
        <v>85</v>
      </c>
      <c r="AY51" s="9">
        <v>0.616438</v>
      </c>
      <c r="AZ51" s="9" t="s">
        <v>85</v>
      </c>
      <c r="BA51" s="9" t="s">
        <v>85</v>
      </c>
      <c r="BB51" s="9" t="s">
        <v>85</v>
      </c>
      <c r="BC51" s="10" t="s">
        <v>85</v>
      </c>
      <c r="BD51" s="10" t="s">
        <v>85</v>
      </c>
      <c r="BE51" s="10" t="s">
        <v>85</v>
      </c>
      <c r="BF51" s="10" t="s">
        <v>85</v>
      </c>
      <c r="BG51" s="10" t="s">
        <v>85</v>
      </c>
      <c r="BH51" s="9" t="s">
        <v>85</v>
      </c>
      <c r="BI51" s="6"/>
      <c r="BJ51" s="6" t="str">
        <f t="shared" si="1"/>
        <v>8V_One_Acc</v>
      </c>
      <c r="BK51" s="6" t="str">
        <f t="shared" si="2"/>
        <v>12V_One_Acc</v>
      </c>
      <c r="BL51" s="6" t="str">
        <f t="shared" si="3"/>
        <v>10V_One_Acc</v>
      </c>
      <c r="BM51" s="6"/>
      <c r="BN51" s="6">
        <f t="shared" si="4"/>
        <v>8</v>
      </c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</row>
    <row r="52" ht="15.75" customHeight="1">
      <c r="A52" s="1" t="s">
        <v>146</v>
      </c>
      <c r="B52" s="17">
        <v>1024.0</v>
      </c>
      <c r="C52" s="17">
        <v>8.0</v>
      </c>
      <c r="D52" s="9" t="s">
        <v>85</v>
      </c>
      <c r="E52" s="9" t="s">
        <v>85</v>
      </c>
      <c r="F52" s="9" t="s">
        <v>85</v>
      </c>
      <c r="G52" s="9" t="s">
        <v>85</v>
      </c>
      <c r="H52" s="9" t="s">
        <v>85</v>
      </c>
      <c r="I52" s="9" t="s">
        <v>85</v>
      </c>
      <c r="J52" s="9" t="s">
        <v>85</v>
      </c>
      <c r="K52" s="9" t="s">
        <v>85</v>
      </c>
      <c r="L52" s="9">
        <v>0.742004</v>
      </c>
      <c r="M52" s="9" t="s">
        <v>85</v>
      </c>
      <c r="N52" s="9" t="s">
        <v>85</v>
      </c>
      <c r="O52" s="9">
        <v>0.673774</v>
      </c>
      <c r="P52" s="9" t="s">
        <v>85</v>
      </c>
      <c r="Q52" s="9" t="s">
        <v>85</v>
      </c>
      <c r="R52" s="9" t="s">
        <v>85</v>
      </c>
      <c r="S52" s="9" t="s">
        <v>85</v>
      </c>
      <c r="T52" s="9" t="s">
        <v>85</v>
      </c>
      <c r="U52" s="9" t="s">
        <v>85</v>
      </c>
      <c r="V52" s="9" t="s">
        <v>85</v>
      </c>
      <c r="W52" s="9" t="s">
        <v>85</v>
      </c>
      <c r="X52" s="9">
        <v>0.502772</v>
      </c>
      <c r="Y52" s="9" t="s">
        <v>85</v>
      </c>
      <c r="Z52" s="9" t="s">
        <v>85</v>
      </c>
      <c r="AA52" s="9">
        <v>0.438806</v>
      </c>
      <c r="AB52" s="10" t="s">
        <v>85</v>
      </c>
      <c r="AC52" s="10" t="s">
        <v>85</v>
      </c>
      <c r="AD52" s="9" t="s">
        <v>85</v>
      </c>
      <c r="AE52" s="9" t="s">
        <v>85</v>
      </c>
      <c r="AF52" s="9" t="s">
        <v>85</v>
      </c>
      <c r="AG52" s="9" t="s">
        <v>85</v>
      </c>
      <c r="AH52" s="9" t="s">
        <v>85</v>
      </c>
      <c r="AI52" s="9" t="s">
        <v>85</v>
      </c>
      <c r="AJ52" s="9">
        <v>0.580384</v>
      </c>
      <c r="AK52" s="9" t="s">
        <v>85</v>
      </c>
      <c r="AL52" s="9" t="s">
        <v>85</v>
      </c>
      <c r="AM52" s="9">
        <v>0.486567</v>
      </c>
      <c r="AN52" s="9" t="s">
        <v>85</v>
      </c>
      <c r="AO52" s="9" t="s">
        <v>85</v>
      </c>
      <c r="AP52" s="9" t="s">
        <v>85</v>
      </c>
      <c r="AQ52" s="9" t="s">
        <v>85</v>
      </c>
      <c r="AR52" s="9" t="s">
        <v>85</v>
      </c>
      <c r="AS52" s="9" t="s">
        <v>85</v>
      </c>
      <c r="AT52" s="9" t="s">
        <v>85</v>
      </c>
      <c r="AU52" s="9" t="s">
        <v>85</v>
      </c>
      <c r="AV52" s="9">
        <v>0.55565</v>
      </c>
      <c r="AW52" s="9" t="s">
        <v>85</v>
      </c>
      <c r="AX52" s="9" t="s">
        <v>85</v>
      </c>
      <c r="AY52" s="9">
        <v>0.373987</v>
      </c>
      <c r="AZ52" s="9" t="s">
        <v>85</v>
      </c>
      <c r="BA52" s="9" t="s">
        <v>85</v>
      </c>
      <c r="BB52" s="9" t="s">
        <v>85</v>
      </c>
      <c r="BC52" s="10" t="s">
        <v>85</v>
      </c>
      <c r="BD52" s="10" t="s">
        <v>85</v>
      </c>
      <c r="BE52" s="10" t="s">
        <v>85</v>
      </c>
      <c r="BF52" s="10" t="s">
        <v>85</v>
      </c>
      <c r="BG52" s="10" t="s">
        <v>85</v>
      </c>
      <c r="BH52" s="9" t="s">
        <v>85</v>
      </c>
      <c r="BI52" s="6"/>
      <c r="BJ52" s="6" t="str">
        <f t="shared" si="1"/>
        <v>5V_One_Acc</v>
      </c>
      <c r="BK52" s="6" t="str">
        <f t="shared" si="2"/>
        <v>5VB_One_Acc</v>
      </c>
      <c r="BL52" s="6" t="str">
        <f t="shared" si="3"/>
        <v>10V_One_Acc</v>
      </c>
      <c r="BM52" s="6"/>
      <c r="BN52" s="6">
        <f t="shared" si="4"/>
        <v>5</v>
      </c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</row>
    <row r="53" ht="15.75" customHeight="1">
      <c r="A53" s="1" t="s">
        <v>147</v>
      </c>
      <c r="B53" s="17">
        <v>448.0</v>
      </c>
      <c r="C53" s="17">
        <v>3.0</v>
      </c>
      <c r="D53" s="9" t="s">
        <v>85</v>
      </c>
      <c r="E53" s="9" t="s">
        <v>85</v>
      </c>
      <c r="F53" s="9" t="s">
        <v>85</v>
      </c>
      <c r="G53" s="9" t="s">
        <v>85</v>
      </c>
      <c r="H53" s="9" t="s">
        <v>85</v>
      </c>
      <c r="I53" s="9" t="s">
        <v>85</v>
      </c>
      <c r="J53" s="9" t="s">
        <v>85</v>
      </c>
      <c r="K53" s="9" t="s">
        <v>85</v>
      </c>
      <c r="L53" s="9">
        <v>0.566667</v>
      </c>
      <c r="M53" s="9" t="s">
        <v>85</v>
      </c>
      <c r="N53" s="9" t="s">
        <v>85</v>
      </c>
      <c r="O53" s="9">
        <v>0.633333</v>
      </c>
      <c r="P53" s="9" t="s">
        <v>85</v>
      </c>
      <c r="Q53" s="9" t="s">
        <v>85</v>
      </c>
      <c r="R53" s="9" t="s">
        <v>85</v>
      </c>
      <c r="S53" s="9" t="s">
        <v>85</v>
      </c>
      <c r="T53" s="9" t="s">
        <v>85</v>
      </c>
      <c r="U53" s="9" t="s">
        <v>85</v>
      </c>
      <c r="V53" s="9" t="s">
        <v>85</v>
      </c>
      <c r="W53" s="9" t="s">
        <v>85</v>
      </c>
      <c r="X53" s="9">
        <v>0.6</v>
      </c>
      <c r="Y53" s="9" t="s">
        <v>85</v>
      </c>
      <c r="Z53" s="9" t="s">
        <v>85</v>
      </c>
      <c r="AA53" s="9">
        <v>0.566667</v>
      </c>
      <c r="AB53" s="10" t="s">
        <v>85</v>
      </c>
      <c r="AC53" s="10" t="s">
        <v>85</v>
      </c>
      <c r="AD53" s="9" t="s">
        <v>85</v>
      </c>
      <c r="AE53" s="9" t="s">
        <v>85</v>
      </c>
      <c r="AF53" s="9" t="s">
        <v>85</v>
      </c>
      <c r="AG53" s="9" t="s">
        <v>85</v>
      </c>
      <c r="AH53" s="9" t="s">
        <v>85</v>
      </c>
      <c r="AI53" s="9" t="s">
        <v>85</v>
      </c>
      <c r="AJ53" s="9">
        <v>0.75</v>
      </c>
      <c r="AK53" s="9" t="s">
        <v>85</v>
      </c>
      <c r="AL53" s="9" t="s">
        <v>85</v>
      </c>
      <c r="AM53" s="9">
        <v>0.883333</v>
      </c>
      <c r="AN53" s="9" t="s">
        <v>85</v>
      </c>
      <c r="AO53" s="9" t="s">
        <v>85</v>
      </c>
      <c r="AP53" s="9" t="s">
        <v>85</v>
      </c>
      <c r="AQ53" s="9" t="s">
        <v>85</v>
      </c>
      <c r="AR53" s="9" t="s">
        <v>85</v>
      </c>
      <c r="AS53" s="9" t="s">
        <v>85</v>
      </c>
      <c r="AT53" s="9" t="s">
        <v>85</v>
      </c>
      <c r="AU53" s="9" t="s">
        <v>85</v>
      </c>
      <c r="AV53" s="9">
        <v>0.55</v>
      </c>
      <c r="AW53" s="9" t="s">
        <v>85</v>
      </c>
      <c r="AX53" s="9" t="s">
        <v>85</v>
      </c>
      <c r="AY53" s="9">
        <v>0.416667</v>
      </c>
      <c r="AZ53" s="9" t="s">
        <v>85</v>
      </c>
      <c r="BA53" s="9" t="s">
        <v>85</v>
      </c>
      <c r="BB53" s="9" t="s">
        <v>85</v>
      </c>
      <c r="BC53" s="10" t="s">
        <v>85</v>
      </c>
      <c r="BD53" s="10" t="s">
        <v>85</v>
      </c>
      <c r="BE53" s="10" t="s">
        <v>85</v>
      </c>
      <c r="BF53" s="10" t="s">
        <v>85</v>
      </c>
      <c r="BG53" s="10" t="s">
        <v>85</v>
      </c>
      <c r="BH53" s="9" t="s">
        <v>85</v>
      </c>
      <c r="BI53" s="6"/>
      <c r="BJ53" s="6" t="str">
        <f t="shared" si="1"/>
        <v>10VB_One_Acc</v>
      </c>
      <c r="BK53" s="6" t="str">
        <f t="shared" si="2"/>
        <v>10V_One_Acc</v>
      </c>
      <c r="BL53" s="6" t="str">
        <f t="shared" si="3"/>
        <v>5VB_One_Acc</v>
      </c>
      <c r="BM53" s="6"/>
      <c r="BN53" s="6">
        <f t="shared" si="4"/>
        <v>10</v>
      </c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</row>
    <row r="54" ht="15.75" customHeight="1">
      <c r="A54" s="1" t="s">
        <v>148</v>
      </c>
      <c r="B54" s="17">
        <v>99.0</v>
      </c>
      <c r="C54" s="17">
        <v>10.0</v>
      </c>
      <c r="D54" s="9" t="s">
        <v>85</v>
      </c>
      <c r="E54" s="9" t="s">
        <v>85</v>
      </c>
      <c r="F54" s="9" t="s">
        <v>85</v>
      </c>
      <c r="G54" s="9" t="s">
        <v>85</v>
      </c>
      <c r="H54" s="9" t="s">
        <v>85</v>
      </c>
      <c r="I54" s="9" t="s">
        <v>85</v>
      </c>
      <c r="J54" s="9" t="s">
        <v>85</v>
      </c>
      <c r="K54" s="9" t="s">
        <v>85</v>
      </c>
      <c r="L54" s="9">
        <v>0.572368</v>
      </c>
      <c r="M54" s="9" t="s">
        <v>85</v>
      </c>
      <c r="N54" s="9" t="s">
        <v>85</v>
      </c>
      <c r="O54" s="9">
        <v>0.610526</v>
      </c>
      <c r="P54" s="9" t="s">
        <v>85</v>
      </c>
      <c r="Q54" s="9" t="s">
        <v>85</v>
      </c>
      <c r="R54" s="9" t="s">
        <v>85</v>
      </c>
      <c r="S54" s="9" t="s">
        <v>85</v>
      </c>
      <c r="T54" s="9" t="s">
        <v>85</v>
      </c>
      <c r="U54" s="9" t="s">
        <v>85</v>
      </c>
      <c r="V54" s="9" t="s">
        <v>85</v>
      </c>
      <c r="W54" s="9" t="s">
        <v>85</v>
      </c>
      <c r="X54" s="9">
        <v>0.586842</v>
      </c>
      <c r="Y54" s="9" t="s">
        <v>85</v>
      </c>
      <c r="Z54" s="9" t="s">
        <v>85</v>
      </c>
      <c r="AA54" s="9">
        <v>0.586842</v>
      </c>
      <c r="AB54" s="10" t="s">
        <v>85</v>
      </c>
      <c r="AC54" s="10" t="s">
        <v>85</v>
      </c>
      <c r="AD54" s="9" t="s">
        <v>85</v>
      </c>
      <c r="AE54" s="9" t="s">
        <v>85</v>
      </c>
      <c r="AF54" s="9" t="s">
        <v>85</v>
      </c>
      <c r="AG54" s="9" t="s">
        <v>85</v>
      </c>
      <c r="AH54" s="9" t="s">
        <v>85</v>
      </c>
      <c r="AI54" s="9" t="s">
        <v>85</v>
      </c>
      <c r="AJ54" s="9">
        <v>0.564474</v>
      </c>
      <c r="AK54" s="9" t="s">
        <v>85</v>
      </c>
      <c r="AL54" s="9" t="s">
        <v>85</v>
      </c>
      <c r="AM54" s="9">
        <v>0.555263</v>
      </c>
      <c r="AN54" s="9" t="s">
        <v>85</v>
      </c>
      <c r="AO54" s="9" t="s">
        <v>85</v>
      </c>
      <c r="AP54" s="9" t="s">
        <v>85</v>
      </c>
      <c r="AQ54" s="9" t="s">
        <v>85</v>
      </c>
      <c r="AR54" s="9" t="s">
        <v>85</v>
      </c>
      <c r="AS54" s="9" t="s">
        <v>85</v>
      </c>
      <c r="AT54" s="9" t="s">
        <v>85</v>
      </c>
      <c r="AU54" s="9" t="s">
        <v>85</v>
      </c>
      <c r="AV54" s="9">
        <v>0.607895</v>
      </c>
      <c r="AW54" s="9" t="s">
        <v>85</v>
      </c>
      <c r="AX54" s="9" t="s">
        <v>85</v>
      </c>
      <c r="AY54" s="9">
        <v>0.617105</v>
      </c>
      <c r="AZ54" s="9" t="s">
        <v>85</v>
      </c>
      <c r="BA54" s="9" t="s">
        <v>85</v>
      </c>
      <c r="BB54" s="9" t="s">
        <v>85</v>
      </c>
      <c r="BC54" s="10" t="s">
        <v>85</v>
      </c>
      <c r="BD54" s="10" t="s">
        <v>85</v>
      </c>
      <c r="BE54" s="10" t="s">
        <v>85</v>
      </c>
      <c r="BF54" s="10" t="s">
        <v>85</v>
      </c>
      <c r="BG54" s="10" t="s">
        <v>85</v>
      </c>
      <c r="BH54" s="9" t="s">
        <v>85</v>
      </c>
      <c r="BI54" s="6"/>
      <c r="BJ54" s="6" t="str">
        <f t="shared" si="1"/>
        <v>12VB_One_Acc</v>
      </c>
      <c r="BK54" s="6" t="str">
        <f t="shared" si="2"/>
        <v>5VB_One_Acc</v>
      </c>
      <c r="BL54" s="6" t="str">
        <f t="shared" si="3"/>
        <v>12V_One_Acc</v>
      </c>
      <c r="BM54" s="6"/>
      <c r="BN54" s="6">
        <f t="shared" si="4"/>
        <v>12</v>
      </c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</row>
    <row r="55" ht="15.75" customHeight="1">
      <c r="A55" s="1" t="s">
        <v>149</v>
      </c>
      <c r="B55" s="17">
        <v>80.0</v>
      </c>
      <c r="C55" s="17">
        <v>3.0</v>
      </c>
      <c r="D55" s="9" t="s">
        <v>85</v>
      </c>
      <c r="E55" s="9" t="s">
        <v>85</v>
      </c>
      <c r="F55" s="9" t="s">
        <v>85</v>
      </c>
      <c r="G55" s="9" t="s">
        <v>85</v>
      </c>
      <c r="H55" s="9" t="s">
        <v>85</v>
      </c>
      <c r="I55" s="9" t="s">
        <v>85</v>
      </c>
      <c r="J55" s="9" t="s">
        <v>85</v>
      </c>
      <c r="K55" s="9" t="s">
        <v>85</v>
      </c>
      <c r="L55" s="9">
        <v>0.506494</v>
      </c>
      <c r="M55" s="9" t="s">
        <v>85</v>
      </c>
      <c r="N55" s="9" t="s">
        <v>85</v>
      </c>
      <c r="O55" s="9">
        <v>0.506494</v>
      </c>
      <c r="P55" s="9" t="s">
        <v>85</v>
      </c>
      <c r="Q55" s="9" t="s">
        <v>85</v>
      </c>
      <c r="R55" s="9" t="s">
        <v>85</v>
      </c>
      <c r="S55" s="9" t="s">
        <v>85</v>
      </c>
      <c r="T55" s="9" t="s">
        <v>85</v>
      </c>
      <c r="U55" s="9" t="s">
        <v>85</v>
      </c>
      <c r="V55" s="9" t="s">
        <v>85</v>
      </c>
      <c r="W55" s="9" t="s">
        <v>85</v>
      </c>
      <c r="X55" s="9">
        <v>0.564935</v>
      </c>
      <c r="Y55" s="9" t="s">
        <v>85</v>
      </c>
      <c r="Z55" s="9" t="s">
        <v>85</v>
      </c>
      <c r="AA55" s="9">
        <v>0.577922</v>
      </c>
      <c r="AB55" s="10" t="s">
        <v>85</v>
      </c>
      <c r="AC55" s="10" t="s">
        <v>85</v>
      </c>
      <c r="AD55" s="9" t="s">
        <v>85</v>
      </c>
      <c r="AE55" s="9" t="s">
        <v>85</v>
      </c>
      <c r="AF55" s="9" t="s">
        <v>85</v>
      </c>
      <c r="AG55" s="9" t="s">
        <v>85</v>
      </c>
      <c r="AH55" s="9" t="s">
        <v>85</v>
      </c>
      <c r="AI55" s="9" t="s">
        <v>85</v>
      </c>
      <c r="AJ55" s="9">
        <v>0.564935</v>
      </c>
      <c r="AK55" s="9" t="s">
        <v>85</v>
      </c>
      <c r="AL55" s="9" t="s">
        <v>85</v>
      </c>
      <c r="AM55" s="9">
        <v>0.558442</v>
      </c>
      <c r="AN55" s="9" t="s">
        <v>85</v>
      </c>
      <c r="AO55" s="9" t="s">
        <v>85</v>
      </c>
      <c r="AP55" s="9" t="s">
        <v>85</v>
      </c>
      <c r="AQ55" s="9" t="s">
        <v>85</v>
      </c>
      <c r="AR55" s="9" t="s">
        <v>85</v>
      </c>
      <c r="AS55" s="9" t="s">
        <v>85</v>
      </c>
      <c r="AT55" s="9" t="s">
        <v>85</v>
      </c>
      <c r="AU55" s="9" t="s">
        <v>85</v>
      </c>
      <c r="AV55" s="9">
        <v>0.577922</v>
      </c>
      <c r="AW55" s="9" t="s">
        <v>85</v>
      </c>
      <c r="AX55" s="9" t="s">
        <v>85</v>
      </c>
      <c r="AY55" s="9">
        <v>0.577922</v>
      </c>
      <c r="AZ55" s="9" t="s">
        <v>85</v>
      </c>
      <c r="BA55" s="9" t="s">
        <v>85</v>
      </c>
      <c r="BB55" s="9" t="s">
        <v>85</v>
      </c>
      <c r="BC55" s="10" t="s">
        <v>85</v>
      </c>
      <c r="BD55" s="10" t="s">
        <v>85</v>
      </c>
      <c r="BE55" s="10" t="s">
        <v>85</v>
      </c>
      <c r="BF55" s="10" t="s">
        <v>85</v>
      </c>
      <c r="BG55" s="10" t="s">
        <v>85</v>
      </c>
      <c r="BH55" s="9" t="s">
        <v>85</v>
      </c>
      <c r="BI55" s="6"/>
      <c r="BJ55" s="6" t="str">
        <f t="shared" si="1"/>
        <v>8VB_One_Acc</v>
      </c>
      <c r="BK55" s="6" t="str">
        <f t="shared" si="2"/>
        <v>8VB_One_Acc</v>
      </c>
      <c r="BL55" s="6" t="str">
        <f t="shared" si="3"/>
        <v>8VB_One_Acc</v>
      </c>
      <c r="BM55" s="6"/>
      <c r="BN55" s="6">
        <f t="shared" si="4"/>
        <v>8</v>
      </c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</row>
    <row r="56" ht="15.75" customHeight="1">
      <c r="A56" s="1" t="s">
        <v>150</v>
      </c>
      <c r="B56" s="17">
        <v>80.0</v>
      </c>
      <c r="C56" s="17">
        <v>2.0</v>
      </c>
      <c r="D56" s="9" t="s">
        <v>85</v>
      </c>
      <c r="E56" s="9" t="s">
        <v>85</v>
      </c>
      <c r="F56" s="9" t="s">
        <v>85</v>
      </c>
      <c r="G56" s="9" t="s">
        <v>85</v>
      </c>
      <c r="H56" s="9" t="s">
        <v>85</v>
      </c>
      <c r="I56" s="9" t="s">
        <v>85</v>
      </c>
      <c r="J56" s="9" t="s">
        <v>85</v>
      </c>
      <c r="K56" s="9" t="s">
        <v>85</v>
      </c>
      <c r="L56" s="9">
        <v>0.790378</v>
      </c>
      <c r="M56" s="9" t="s">
        <v>85</v>
      </c>
      <c r="N56" s="9" t="s">
        <v>85</v>
      </c>
      <c r="O56" s="9">
        <v>0.75945</v>
      </c>
      <c r="P56" s="9" t="s">
        <v>85</v>
      </c>
      <c r="Q56" s="9" t="s">
        <v>85</v>
      </c>
      <c r="R56" s="9" t="s">
        <v>85</v>
      </c>
      <c r="S56" s="9" t="s">
        <v>85</v>
      </c>
      <c r="T56" s="9" t="s">
        <v>85</v>
      </c>
      <c r="U56" s="9" t="s">
        <v>85</v>
      </c>
      <c r="V56" s="9" t="s">
        <v>85</v>
      </c>
      <c r="W56" s="9" t="s">
        <v>85</v>
      </c>
      <c r="X56" s="9">
        <v>0.766323</v>
      </c>
      <c r="Y56" s="9" t="s">
        <v>85</v>
      </c>
      <c r="Z56" s="9" t="s">
        <v>85</v>
      </c>
      <c r="AA56" s="9">
        <v>0.766323</v>
      </c>
      <c r="AB56" s="10" t="s">
        <v>85</v>
      </c>
      <c r="AC56" s="10" t="s">
        <v>85</v>
      </c>
      <c r="AD56" s="9" t="s">
        <v>85</v>
      </c>
      <c r="AE56" s="9" t="s">
        <v>85</v>
      </c>
      <c r="AF56" s="9" t="s">
        <v>85</v>
      </c>
      <c r="AG56" s="9" t="s">
        <v>85</v>
      </c>
      <c r="AH56" s="9" t="s">
        <v>85</v>
      </c>
      <c r="AI56" s="9" t="s">
        <v>85</v>
      </c>
      <c r="AJ56" s="9">
        <v>0.800687</v>
      </c>
      <c r="AK56" s="9" t="s">
        <v>85</v>
      </c>
      <c r="AL56" s="9" t="s">
        <v>85</v>
      </c>
      <c r="AM56" s="9">
        <v>0.570447</v>
      </c>
      <c r="AN56" s="9" t="s">
        <v>85</v>
      </c>
      <c r="AO56" s="9" t="s">
        <v>85</v>
      </c>
      <c r="AP56" s="9" t="s">
        <v>85</v>
      </c>
      <c r="AQ56" s="9" t="s">
        <v>85</v>
      </c>
      <c r="AR56" s="9" t="s">
        <v>85</v>
      </c>
      <c r="AS56" s="9" t="s">
        <v>85</v>
      </c>
      <c r="AT56" s="9" t="s">
        <v>85</v>
      </c>
      <c r="AU56" s="9" t="s">
        <v>85</v>
      </c>
      <c r="AV56" s="9">
        <v>0.800687</v>
      </c>
      <c r="AW56" s="9" t="s">
        <v>85</v>
      </c>
      <c r="AX56" s="9" t="s">
        <v>85</v>
      </c>
      <c r="AY56" s="9">
        <v>0.790378</v>
      </c>
      <c r="AZ56" s="9" t="s">
        <v>85</v>
      </c>
      <c r="BA56" s="9" t="s">
        <v>85</v>
      </c>
      <c r="BB56" s="9" t="s">
        <v>85</v>
      </c>
      <c r="BC56" s="10" t="s">
        <v>85</v>
      </c>
      <c r="BD56" s="10" t="s">
        <v>85</v>
      </c>
      <c r="BE56" s="10" t="s">
        <v>85</v>
      </c>
      <c r="BF56" s="10" t="s">
        <v>85</v>
      </c>
      <c r="BG56" s="10" t="s">
        <v>85</v>
      </c>
      <c r="BH56" s="9" t="s">
        <v>85</v>
      </c>
      <c r="BI56" s="6"/>
      <c r="BJ56" s="6" t="str">
        <f t="shared" si="1"/>
        <v>10V_One_Acc</v>
      </c>
      <c r="BK56" s="6" t="str">
        <f t="shared" si="2"/>
        <v>10V_One_Acc</v>
      </c>
      <c r="BL56" s="6" t="str">
        <f t="shared" si="3"/>
        <v>5V_One_Acc</v>
      </c>
      <c r="BM56" s="6"/>
      <c r="BN56" s="6">
        <f t="shared" si="4"/>
        <v>10</v>
      </c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</row>
    <row r="57" ht="15.75" customHeight="1">
      <c r="A57" s="1" t="s">
        <v>151</v>
      </c>
      <c r="B57" s="17">
        <v>80.0</v>
      </c>
      <c r="C57" s="17">
        <v>6.0</v>
      </c>
      <c r="D57" s="9" t="s">
        <v>85</v>
      </c>
      <c r="E57" s="9" t="s">
        <v>85</v>
      </c>
      <c r="F57" s="9" t="s">
        <v>85</v>
      </c>
      <c r="G57" s="9" t="s">
        <v>85</v>
      </c>
      <c r="H57" s="9" t="s">
        <v>85</v>
      </c>
      <c r="I57" s="9" t="s">
        <v>85</v>
      </c>
      <c r="J57" s="9" t="s">
        <v>85</v>
      </c>
      <c r="K57" s="9" t="s">
        <v>85</v>
      </c>
      <c r="L57" s="9">
        <v>0.590909</v>
      </c>
      <c r="M57" s="9" t="s">
        <v>85</v>
      </c>
      <c r="N57" s="9" t="s">
        <v>85</v>
      </c>
      <c r="O57" s="9">
        <v>0.558442</v>
      </c>
      <c r="P57" s="9" t="s">
        <v>85</v>
      </c>
      <c r="Q57" s="9" t="s">
        <v>85</v>
      </c>
      <c r="R57" s="9" t="s">
        <v>85</v>
      </c>
      <c r="S57" s="9" t="s">
        <v>85</v>
      </c>
      <c r="T57" s="9" t="s">
        <v>85</v>
      </c>
      <c r="U57" s="9" t="s">
        <v>85</v>
      </c>
      <c r="V57" s="9" t="s">
        <v>85</v>
      </c>
      <c r="W57" s="9" t="s">
        <v>85</v>
      </c>
      <c r="X57" s="9">
        <v>0.558442</v>
      </c>
      <c r="Y57" s="9" t="s">
        <v>85</v>
      </c>
      <c r="Z57" s="9" t="s">
        <v>85</v>
      </c>
      <c r="AA57" s="9">
        <v>0.558442</v>
      </c>
      <c r="AB57" s="10" t="s">
        <v>85</v>
      </c>
      <c r="AC57" s="10" t="s">
        <v>85</v>
      </c>
      <c r="AD57" s="9" t="s">
        <v>85</v>
      </c>
      <c r="AE57" s="9" t="s">
        <v>85</v>
      </c>
      <c r="AF57" s="9" t="s">
        <v>85</v>
      </c>
      <c r="AG57" s="9" t="s">
        <v>85</v>
      </c>
      <c r="AH57" s="9" t="s">
        <v>85</v>
      </c>
      <c r="AI57" s="9" t="s">
        <v>85</v>
      </c>
      <c r="AJ57" s="9">
        <v>0.571429</v>
      </c>
      <c r="AK57" s="9" t="s">
        <v>85</v>
      </c>
      <c r="AL57" s="9" t="s">
        <v>85</v>
      </c>
      <c r="AM57" s="9">
        <v>0.558442</v>
      </c>
      <c r="AN57" s="9" t="s">
        <v>85</v>
      </c>
      <c r="AO57" s="9" t="s">
        <v>85</v>
      </c>
      <c r="AP57" s="9" t="s">
        <v>85</v>
      </c>
      <c r="AQ57" s="9" t="s">
        <v>85</v>
      </c>
      <c r="AR57" s="9" t="s">
        <v>85</v>
      </c>
      <c r="AS57" s="9" t="s">
        <v>85</v>
      </c>
      <c r="AT57" s="9" t="s">
        <v>85</v>
      </c>
      <c r="AU57" s="9" t="s">
        <v>85</v>
      </c>
      <c r="AV57" s="9">
        <v>0.558442</v>
      </c>
      <c r="AW57" s="9" t="s">
        <v>85</v>
      </c>
      <c r="AX57" s="9" t="s">
        <v>85</v>
      </c>
      <c r="AY57" s="9">
        <v>0.558442</v>
      </c>
      <c r="AZ57" s="9" t="s">
        <v>85</v>
      </c>
      <c r="BA57" s="9" t="s">
        <v>85</v>
      </c>
      <c r="BB57" s="9" t="s">
        <v>85</v>
      </c>
      <c r="BC57" s="10" t="s">
        <v>85</v>
      </c>
      <c r="BD57" s="10" t="s">
        <v>85</v>
      </c>
      <c r="BE57" s="10" t="s">
        <v>85</v>
      </c>
      <c r="BF57" s="10" t="s">
        <v>85</v>
      </c>
      <c r="BG57" s="10" t="s">
        <v>85</v>
      </c>
      <c r="BH57" s="9" t="s">
        <v>85</v>
      </c>
      <c r="BI57" s="6"/>
      <c r="BJ57" s="6" t="str">
        <f t="shared" si="1"/>
        <v>5V_One_Acc</v>
      </c>
      <c r="BK57" s="6" t="str">
        <f t="shared" si="2"/>
        <v>10V_One_Acc</v>
      </c>
      <c r="BL57" s="6" t="str">
        <f t="shared" si="3"/>
        <v>5VB_One_Acc</v>
      </c>
      <c r="BM57" s="6"/>
      <c r="BN57" s="6">
        <f t="shared" si="4"/>
        <v>5</v>
      </c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</row>
    <row r="58" ht="15.75" customHeight="1">
      <c r="A58" s="1" t="s">
        <v>152</v>
      </c>
      <c r="B58" s="17">
        <v>1024.0</v>
      </c>
      <c r="C58" s="17">
        <v>5.0</v>
      </c>
      <c r="D58" s="9" t="s">
        <v>85</v>
      </c>
      <c r="E58" s="9" t="s">
        <v>85</v>
      </c>
      <c r="F58" s="9" t="s">
        <v>85</v>
      </c>
      <c r="G58" s="9" t="s">
        <v>85</v>
      </c>
      <c r="H58" s="9" t="s">
        <v>85</v>
      </c>
      <c r="I58" s="9" t="s">
        <v>85</v>
      </c>
      <c r="J58" s="9" t="s">
        <v>85</v>
      </c>
      <c r="K58" s="9" t="s">
        <v>85</v>
      </c>
      <c r="L58" s="9">
        <v>0.858969</v>
      </c>
      <c r="M58" s="9" t="s">
        <v>85</v>
      </c>
      <c r="N58" s="9" t="s">
        <v>85</v>
      </c>
      <c r="O58" s="9">
        <v>0.854021</v>
      </c>
      <c r="P58" s="9" t="s">
        <v>85</v>
      </c>
      <c r="Q58" s="9" t="s">
        <v>85</v>
      </c>
      <c r="R58" s="9" t="s">
        <v>85</v>
      </c>
      <c r="S58" s="9" t="s">
        <v>85</v>
      </c>
      <c r="T58" s="9" t="s">
        <v>85</v>
      </c>
      <c r="U58" s="9" t="s">
        <v>85</v>
      </c>
      <c r="V58" s="9" t="s">
        <v>85</v>
      </c>
      <c r="W58" s="9" t="s">
        <v>85</v>
      </c>
      <c r="X58" s="9">
        <v>0.875052</v>
      </c>
      <c r="Y58" s="9" t="s">
        <v>85</v>
      </c>
      <c r="Z58" s="9" t="s">
        <v>85</v>
      </c>
      <c r="AA58" s="9">
        <v>0.86268</v>
      </c>
      <c r="AB58" s="10" t="s">
        <v>85</v>
      </c>
      <c r="AC58" s="10" t="s">
        <v>85</v>
      </c>
      <c r="AD58" s="9" t="s">
        <v>85</v>
      </c>
      <c r="AE58" s="9" t="s">
        <v>85</v>
      </c>
      <c r="AF58" s="9" t="s">
        <v>85</v>
      </c>
      <c r="AG58" s="9" t="s">
        <v>85</v>
      </c>
      <c r="AH58" s="9" t="s">
        <v>85</v>
      </c>
      <c r="AI58" s="9" t="s">
        <v>85</v>
      </c>
      <c r="AJ58" s="9">
        <v>0.852371</v>
      </c>
      <c r="AK58" s="9" t="s">
        <v>85</v>
      </c>
      <c r="AL58" s="9" t="s">
        <v>85</v>
      </c>
      <c r="AM58" s="9">
        <v>0.870103</v>
      </c>
      <c r="AN58" s="9" t="s">
        <v>85</v>
      </c>
      <c r="AO58" s="9" t="s">
        <v>85</v>
      </c>
      <c r="AP58" s="9" t="s">
        <v>85</v>
      </c>
      <c r="AQ58" s="9" t="s">
        <v>85</v>
      </c>
      <c r="AR58" s="9" t="s">
        <v>85</v>
      </c>
      <c r="AS58" s="9" t="s">
        <v>85</v>
      </c>
      <c r="AT58" s="9" t="s">
        <v>85</v>
      </c>
      <c r="AU58" s="9" t="s">
        <v>85</v>
      </c>
      <c r="AV58" s="9">
        <v>0.863918</v>
      </c>
      <c r="AW58" s="9" t="s">
        <v>85</v>
      </c>
      <c r="AX58" s="9" t="s">
        <v>85</v>
      </c>
      <c r="AY58" s="9">
        <v>0.872577</v>
      </c>
      <c r="AZ58" s="9" t="s">
        <v>85</v>
      </c>
      <c r="BA58" s="9" t="s">
        <v>85</v>
      </c>
      <c r="BB58" s="9" t="s">
        <v>85</v>
      </c>
      <c r="BC58" s="10" t="s">
        <v>85</v>
      </c>
      <c r="BD58" s="10" t="s">
        <v>85</v>
      </c>
      <c r="BE58" s="10" t="s">
        <v>85</v>
      </c>
      <c r="BF58" s="10" t="s">
        <v>85</v>
      </c>
      <c r="BG58" s="10" t="s">
        <v>85</v>
      </c>
      <c r="BH58" s="9" t="s">
        <v>85</v>
      </c>
      <c r="BI58" s="6"/>
      <c r="BJ58" s="6" t="str">
        <f t="shared" si="1"/>
        <v>8V_One_Acc</v>
      </c>
      <c r="BK58" s="6" t="str">
        <f t="shared" si="2"/>
        <v>12VB_One_Acc</v>
      </c>
      <c r="BL58" s="6" t="str">
        <f t="shared" si="3"/>
        <v>10VB_One_Acc</v>
      </c>
      <c r="BM58" s="6"/>
      <c r="BN58" s="6">
        <f t="shared" si="4"/>
        <v>8</v>
      </c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</row>
    <row r="59" ht="15.75" customHeight="1">
      <c r="A59" s="1" t="s">
        <v>153</v>
      </c>
      <c r="B59" s="17">
        <v>1024.0</v>
      </c>
      <c r="C59" s="17">
        <v>5.0</v>
      </c>
      <c r="D59" s="9" t="s">
        <v>85</v>
      </c>
      <c r="E59" s="9" t="s">
        <v>85</v>
      </c>
      <c r="F59" s="9" t="s">
        <v>85</v>
      </c>
      <c r="G59" s="9" t="s">
        <v>85</v>
      </c>
      <c r="H59" s="9" t="s">
        <v>85</v>
      </c>
      <c r="I59" s="9" t="s">
        <v>85</v>
      </c>
      <c r="J59" s="9" t="s">
        <v>85</v>
      </c>
      <c r="K59" s="9" t="s">
        <v>85</v>
      </c>
      <c r="L59" s="9">
        <v>0.794227</v>
      </c>
      <c r="M59" s="9" t="s">
        <v>85</v>
      </c>
      <c r="N59" s="9" t="s">
        <v>85</v>
      </c>
      <c r="O59" s="9">
        <v>0.797938</v>
      </c>
      <c r="P59" s="9" t="s">
        <v>85</v>
      </c>
      <c r="Q59" s="9" t="s">
        <v>85</v>
      </c>
      <c r="R59" s="9" t="s">
        <v>85</v>
      </c>
      <c r="S59" s="9" t="s">
        <v>85</v>
      </c>
      <c r="T59" s="9" t="s">
        <v>85</v>
      </c>
      <c r="U59" s="9" t="s">
        <v>85</v>
      </c>
      <c r="V59" s="9" t="s">
        <v>85</v>
      </c>
      <c r="W59" s="9" t="s">
        <v>85</v>
      </c>
      <c r="X59" s="9">
        <v>0.814845</v>
      </c>
      <c r="Y59" s="9" t="s">
        <v>85</v>
      </c>
      <c r="Z59" s="9" t="s">
        <v>85</v>
      </c>
      <c r="AA59" s="9">
        <v>0.795876</v>
      </c>
      <c r="AB59" s="10" t="s">
        <v>85</v>
      </c>
      <c r="AC59" s="10" t="s">
        <v>85</v>
      </c>
      <c r="AD59" s="9" t="s">
        <v>85</v>
      </c>
      <c r="AE59" s="9" t="s">
        <v>85</v>
      </c>
      <c r="AF59" s="9" t="s">
        <v>85</v>
      </c>
      <c r="AG59" s="9" t="s">
        <v>85</v>
      </c>
      <c r="AH59" s="9" t="s">
        <v>85</v>
      </c>
      <c r="AI59" s="9" t="s">
        <v>85</v>
      </c>
      <c r="AJ59" s="9">
        <v>0.732371</v>
      </c>
      <c r="AK59" s="9" t="s">
        <v>85</v>
      </c>
      <c r="AL59" s="9" t="s">
        <v>85</v>
      </c>
      <c r="AM59" s="9">
        <v>0.849897</v>
      </c>
      <c r="AN59" s="9" t="s">
        <v>85</v>
      </c>
      <c r="AO59" s="9" t="s">
        <v>85</v>
      </c>
      <c r="AP59" s="9" t="s">
        <v>85</v>
      </c>
      <c r="AQ59" s="9" t="s">
        <v>85</v>
      </c>
      <c r="AR59" s="9" t="s">
        <v>85</v>
      </c>
      <c r="AS59" s="9" t="s">
        <v>85</v>
      </c>
      <c r="AT59" s="9" t="s">
        <v>85</v>
      </c>
      <c r="AU59" s="9" t="s">
        <v>85</v>
      </c>
      <c r="AV59" s="9">
        <v>0.798351</v>
      </c>
      <c r="AW59" s="9" t="s">
        <v>85</v>
      </c>
      <c r="AX59" s="9" t="s">
        <v>85</v>
      </c>
      <c r="AY59" s="9">
        <v>0.835052</v>
      </c>
      <c r="AZ59" s="9" t="s">
        <v>85</v>
      </c>
      <c r="BA59" s="9" t="s">
        <v>85</v>
      </c>
      <c r="BB59" s="9" t="s">
        <v>85</v>
      </c>
      <c r="BC59" s="10" t="s">
        <v>85</v>
      </c>
      <c r="BD59" s="10" t="s">
        <v>85</v>
      </c>
      <c r="BE59" s="10" t="s">
        <v>85</v>
      </c>
      <c r="BF59" s="10" t="s">
        <v>85</v>
      </c>
      <c r="BG59" s="10" t="s">
        <v>85</v>
      </c>
      <c r="BH59" s="9" t="s">
        <v>85</v>
      </c>
      <c r="BI59" s="6"/>
      <c r="BJ59" s="6" t="str">
        <f t="shared" si="1"/>
        <v>10VB_One_Acc</v>
      </c>
      <c r="BK59" s="6" t="str">
        <f t="shared" si="2"/>
        <v>12VB_One_Acc</v>
      </c>
      <c r="BL59" s="6" t="str">
        <f t="shared" si="3"/>
        <v>8V_One_Acc</v>
      </c>
      <c r="BM59" s="6"/>
      <c r="BN59" s="6">
        <f t="shared" si="4"/>
        <v>10</v>
      </c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</row>
    <row r="60" ht="15.75" customHeight="1">
      <c r="A60" s="1" t="s">
        <v>154</v>
      </c>
      <c r="B60" s="17">
        <v>84.0</v>
      </c>
      <c r="C60" s="17">
        <v>2.0</v>
      </c>
      <c r="D60" s="9" t="s">
        <v>85</v>
      </c>
      <c r="E60" s="9" t="s">
        <v>85</v>
      </c>
      <c r="F60" s="9" t="s">
        <v>85</v>
      </c>
      <c r="G60" s="9" t="s">
        <v>85</v>
      </c>
      <c r="H60" s="9" t="s">
        <v>85</v>
      </c>
      <c r="I60" s="9" t="s">
        <v>85</v>
      </c>
      <c r="J60" s="9" t="s">
        <v>85</v>
      </c>
      <c r="K60" s="9" t="s">
        <v>85</v>
      </c>
      <c r="L60" s="9">
        <v>0.841054</v>
      </c>
      <c r="M60" s="9" t="s">
        <v>85</v>
      </c>
      <c r="N60" s="9" t="s">
        <v>85</v>
      </c>
      <c r="O60" s="9">
        <v>0.828275</v>
      </c>
      <c r="P60" s="9" t="s">
        <v>85</v>
      </c>
      <c r="Q60" s="9" t="s">
        <v>85</v>
      </c>
      <c r="R60" s="9" t="s">
        <v>85</v>
      </c>
      <c r="S60" s="9" t="s">
        <v>85</v>
      </c>
      <c r="T60" s="9" t="s">
        <v>85</v>
      </c>
      <c r="U60" s="9" t="s">
        <v>85</v>
      </c>
      <c r="V60" s="9" t="s">
        <v>85</v>
      </c>
      <c r="W60" s="9" t="s">
        <v>85</v>
      </c>
      <c r="X60" s="9">
        <v>0.833067</v>
      </c>
      <c r="Y60" s="9" t="s">
        <v>85</v>
      </c>
      <c r="Z60" s="9" t="s">
        <v>85</v>
      </c>
      <c r="AA60" s="9">
        <v>0.802716</v>
      </c>
      <c r="AB60" s="10" t="s">
        <v>85</v>
      </c>
      <c r="AC60" s="10" t="s">
        <v>85</v>
      </c>
      <c r="AD60" s="9" t="s">
        <v>85</v>
      </c>
      <c r="AE60" s="9" t="s">
        <v>85</v>
      </c>
      <c r="AF60" s="9" t="s">
        <v>85</v>
      </c>
      <c r="AG60" s="9" t="s">
        <v>85</v>
      </c>
      <c r="AH60" s="9" t="s">
        <v>85</v>
      </c>
      <c r="AI60" s="9" t="s">
        <v>85</v>
      </c>
      <c r="AJ60" s="9">
        <v>0.829872</v>
      </c>
      <c r="AK60" s="9" t="s">
        <v>85</v>
      </c>
      <c r="AL60" s="9" t="s">
        <v>85</v>
      </c>
      <c r="AM60" s="9">
        <v>0.83147</v>
      </c>
      <c r="AN60" s="9" t="s">
        <v>85</v>
      </c>
      <c r="AO60" s="9" t="s">
        <v>85</v>
      </c>
      <c r="AP60" s="9" t="s">
        <v>85</v>
      </c>
      <c r="AQ60" s="9" t="s">
        <v>85</v>
      </c>
      <c r="AR60" s="9" t="s">
        <v>85</v>
      </c>
      <c r="AS60" s="9" t="s">
        <v>85</v>
      </c>
      <c r="AT60" s="9" t="s">
        <v>85</v>
      </c>
      <c r="AU60" s="9" t="s">
        <v>85</v>
      </c>
      <c r="AV60" s="9">
        <v>0.826677</v>
      </c>
      <c r="AW60" s="9" t="s">
        <v>85</v>
      </c>
      <c r="AX60" s="9" t="s">
        <v>85</v>
      </c>
      <c r="AY60" s="9">
        <v>0.826677</v>
      </c>
      <c r="AZ60" s="9" t="s">
        <v>85</v>
      </c>
      <c r="BA60" s="9" t="s">
        <v>85</v>
      </c>
      <c r="BB60" s="9" t="s">
        <v>85</v>
      </c>
      <c r="BC60" s="10" t="s">
        <v>85</v>
      </c>
      <c r="BD60" s="10" t="s">
        <v>85</v>
      </c>
      <c r="BE60" s="10" t="s">
        <v>85</v>
      </c>
      <c r="BF60" s="10" t="s">
        <v>85</v>
      </c>
      <c r="BG60" s="10" t="s">
        <v>85</v>
      </c>
      <c r="BH60" s="9" t="s">
        <v>85</v>
      </c>
      <c r="BI60" s="6"/>
      <c r="BJ60" s="6" t="str">
        <f t="shared" si="1"/>
        <v>5V_One_Acc</v>
      </c>
      <c r="BK60" s="6" t="str">
        <f t="shared" si="2"/>
        <v>8V_One_Acc</v>
      </c>
      <c r="BL60" s="6" t="str">
        <f t="shared" si="3"/>
        <v>10VB_One_Acc</v>
      </c>
      <c r="BM60" s="6"/>
      <c r="BN60" s="6">
        <f t="shared" si="4"/>
        <v>5</v>
      </c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</row>
    <row r="61" ht="15.75" customHeight="1">
      <c r="A61" s="1" t="s">
        <v>155</v>
      </c>
      <c r="B61" s="17">
        <v>570.0</v>
      </c>
      <c r="C61" s="17">
        <v>4.0</v>
      </c>
      <c r="D61" s="9" t="s">
        <v>85</v>
      </c>
      <c r="E61" s="9" t="s">
        <v>85</v>
      </c>
      <c r="F61" s="9" t="s">
        <v>85</v>
      </c>
      <c r="G61" s="9" t="s">
        <v>85</v>
      </c>
      <c r="H61" s="9" t="s">
        <v>85</v>
      </c>
      <c r="I61" s="9" t="s">
        <v>85</v>
      </c>
      <c r="J61" s="9" t="s">
        <v>85</v>
      </c>
      <c r="K61" s="9" t="s">
        <v>85</v>
      </c>
      <c r="L61" s="9">
        <v>0.4</v>
      </c>
      <c r="M61" s="9" t="s">
        <v>85</v>
      </c>
      <c r="N61" s="9" t="s">
        <v>85</v>
      </c>
      <c r="O61" s="9">
        <v>0.4</v>
      </c>
      <c r="P61" s="9" t="s">
        <v>85</v>
      </c>
      <c r="Q61" s="9" t="s">
        <v>85</v>
      </c>
      <c r="R61" s="9" t="s">
        <v>85</v>
      </c>
      <c r="S61" s="9" t="s">
        <v>85</v>
      </c>
      <c r="T61" s="9" t="s">
        <v>85</v>
      </c>
      <c r="U61" s="9" t="s">
        <v>85</v>
      </c>
      <c r="V61" s="9" t="s">
        <v>85</v>
      </c>
      <c r="W61" s="9" t="s">
        <v>85</v>
      </c>
      <c r="X61" s="9">
        <v>0.4</v>
      </c>
      <c r="Y61" s="9" t="s">
        <v>85</v>
      </c>
      <c r="Z61" s="9" t="s">
        <v>85</v>
      </c>
      <c r="AA61" s="9">
        <v>0.4</v>
      </c>
      <c r="AB61" s="10" t="s">
        <v>85</v>
      </c>
      <c r="AC61" s="10" t="s">
        <v>85</v>
      </c>
      <c r="AD61" s="9" t="s">
        <v>85</v>
      </c>
      <c r="AE61" s="9" t="s">
        <v>85</v>
      </c>
      <c r="AF61" s="9" t="s">
        <v>85</v>
      </c>
      <c r="AG61" s="9" t="s">
        <v>85</v>
      </c>
      <c r="AH61" s="9" t="s">
        <v>85</v>
      </c>
      <c r="AI61" s="9" t="s">
        <v>85</v>
      </c>
      <c r="AJ61" s="9">
        <v>0.4</v>
      </c>
      <c r="AK61" s="9" t="s">
        <v>85</v>
      </c>
      <c r="AL61" s="9" t="s">
        <v>85</v>
      </c>
      <c r="AM61" s="9">
        <v>0.4</v>
      </c>
      <c r="AN61" s="9" t="s">
        <v>85</v>
      </c>
      <c r="AO61" s="9" t="s">
        <v>85</v>
      </c>
      <c r="AP61" s="9" t="s">
        <v>85</v>
      </c>
      <c r="AQ61" s="9" t="s">
        <v>85</v>
      </c>
      <c r="AR61" s="9" t="s">
        <v>85</v>
      </c>
      <c r="AS61" s="9" t="s">
        <v>85</v>
      </c>
      <c r="AT61" s="9" t="s">
        <v>85</v>
      </c>
      <c r="AU61" s="9" t="s">
        <v>85</v>
      </c>
      <c r="AV61" s="9">
        <v>0.3</v>
      </c>
      <c r="AW61" s="9" t="s">
        <v>85</v>
      </c>
      <c r="AX61" s="9" t="s">
        <v>85</v>
      </c>
      <c r="AY61" s="9">
        <v>0.4</v>
      </c>
      <c r="AZ61" s="9" t="s">
        <v>85</v>
      </c>
      <c r="BA61" s="9" t="s">
        <v>85</v>
      </c>
      <c r="BB61" s="9" t="s">
        <v>85</v>
      </c>
      <c r="BC61" s="10" t="s">
        <v>85</v>
      </c>
      <c r="BD61" s="10" t="s">
        <v>85</v>
      </c>
      <c r="BE61" s="10" t="s">
        <v>85</v>
      </c>
      <c r="BF61" s="10" t="s">
        <v>85</v>
      </c>
      <c r="BG61" s="10" t="s">
        <v>85</v>
      </c>
      <c r="BH61" s="9" t="s">
        <v>85</v>
      </c>
      <c r="BI61" s="6"/>
      <c r="BJ61" s="6" t="str">
        <f t="shared" si="1"/>
        <v>5V_One_Acc</v>
      </c>
      <c r="BK61" s="6" t="str">
        <f t="shared" si="2"/>
        <v>5V_One_Acc</v>
      </c>
      <c r="BL61" s="6" t="str">
        <f t="shared" si="3"/>
        <v>5V_One_Acc</v>
      </c>
      <c r="BM61" s="6"/>
      <c r="BN61" s="6">
        <f t="shared" si="4"/>
        <v>5</v>
      </c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</row>
    <row r="62" ht="15.75" customHeight="1">
      <c r="A62" s="1" t="s">
        <v>156</v>
      </c>
      <c r="B62" s="17">
        <v>427.0</v>
      </c>
      <c r="C62" s="17">
        <v>6.0</v>
      </c>
      <c r="D62" s="9" t="s">
        <v>85</v>
      </c>
      <c r="E62" s="9" t="s">
        <v>85</v>
      </c>
      <c r="F62" s="9" t="s">
        <v>85</v>
      </c>
      <c r="G62" s="9" t="s">
        <v>85</v>
      </c>
      <c r="H62" s="9" t="s">
        <v>85</v>
      </c>
      <c r="I62" s="9" t="s">
        <v>85</v>
      </c>
      <c r="J62" s="9" t="s">
        <v>85</v>
      </c>
      <c r="K62" s="9" t="s">
        <v>85</v>
      </c>
      <c r="L62" s="9">
        <v>0.450413</v>
      </c>
      <c r="M62" s="9" t="s">
        <v>85</v>
      </c>
      <c r="N62" s="9" t="s">
        <v>85</v>
      </c>
      <c r="O62" s="9">
        <v>0.409091</v>
      </c>
      <c r="P62" s="9" t="s">
        <v>85</v>
      </c>
      <c r="Q62" s="9" t="s">
        <v>85</v>
      </c>
      <c r="R62" s="9" t="s">
        <v>85</v>
      </c>
      <c r="S62" s="9" t="s">
        <v>85</v>
      </c>
      <c r="T62" s="9" t="s">
        <v>85</v>
      </c>
      <c r="U62" s="9" t="s">
        <v>85</v>
      </c>
      <c r="V62" s="9" t="s">
        <v>85</v>
      </c>
      <c r="W62" s="9" t="s">
        <v>85</v>
      </c>
      <c r="X62" s="9">
        <v>0.46281</v>
      </c>
      <c r="Y62" s="9" t="s">
        <v>85</v>
      </c>
      <c r="Z62" s="9" t="s">
        <v>85</v>
      </c>
      <c r="AA62" s="9">
        <v>0.454545</v>
      </c>
      <c r="AB62" s="10" t="s">
        <v>85</v>
      </c>
      <c r="AC62" s="10" t="s">
        <v>85</v>
      </c>
      <c r="AD62" s="9" t="s">
        <v>85</v>
      </c>
      <c r="AE62" s="9" t="s">
        <v>85</v>
      </c>
      <c r="AF62" s="9" t="s">
        <v>85</v>
      </c>
      <c r="AG62" s="9" t="s">
        <v>85</v>
      </c>
      <c r="AH62" s="9" t="s">
        <v>85</v>
      </c>
      <c r="AI62" s="9" t="s">
        <v>85</v>
      </c>
      <c r="AJ62" s="9">
        <v>0.5</v>
      </c>
      <c r="AK62" s="9" t="s">
        <v>85</v>
      </c>
      <c r="AL62" s="9" t="s">
        <v>85</v>
      </c>
      <c r="AM62" s="9">
        <v>0.454545</v>
      </c>
      <c r="AN62" s="9" t="s">
        <v>85</v>
      </c>
      <c r="AO62" s="9" t="s">
        <v>85</v>
      </c>
      <c r="AP62" s="9" t="s">
        <v>85</v>
      </c>
      <c r="AQ62" s="9" t="s">
        <v>85</v>
      </c>
      <c r="AR62" s="9" t="s">
        <v>85</v>
      </c>
      <c r="AS62" s="9" t="s">
        <v>85</v>
      </c>
      <c r="AT62" s="9" t="s">
        <v>85</v>
      </c>
      <c r="AU62" s="9" t="s">
        <v>85</v>
      </c>
      <c r="AV62" s="9">
        <v>0.479339</v>
      </c>
      <c r="AW62" s="9" t="s">
        <v>85</v>
      </c>
      <c r="AX62" s="9" t="s">
        <v>85</v>
      </c>
      <c r="AY62" s="9">
        <v>0.479339</v>
      </c>
      <c r="AZ62" s="9" t="s">
        <v>85</v>
      </c>
      <c r="BA62" s="9" t="s">
        <v>85</v>
      </c>
      <c r="BB62" s="9" t="s">
        <v>85</v>
      </c>
      <c r="BC62" s="10" t="s">
        <v>85</v>
      </c>
      <c r="BD62" s="10" t="s">
        <v>85</v>
      </c>
      <c r="BE62" s="10" t="s">
        <v>85</v>
      </c>
      <c r="BF62" s="10" t="s">
        <v>85</v>
      </c>
      <c r="BG62" s="10" t="s">
        <v>85</v>
      </c>
      <c r="BH62" s="9" t="s">
        <v>85</v>
      </c>
      <c r="BI62" s="6"/>
      <c r="BJ62" s="6" t="str">
        <f t="shared" si="1"/>
        <v>10V_One_Acc</v>
      </c>
      <c r="BK62" s="6" t="str">
        <f t="shared" si="2"/>
        <v>12V_One_Acc</v>
      </c>
      <c r="BL62" s="6" t="str">
        <f t="shared" si="3"/>
        <v>12V_One_Acc</v>
      </c>
      <c r="BM62" s="6"/>
      <c r="BN62" s="6">
        <f t="shared" si="4"/>
        <v>10</v>
      </c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</row>
    <row r="63" ht="15.75" customHeight="1">
      <c r="A63" s="1" t="s">
        <v>157</v>
      </c>
      <c r="B63" s="17">
        <v>80.0</v>
      </c>
      <c r="C63" s="17">
        <v>2.0</v>
      </c>
      <c r="D63" s="9" t="s">
        <v>85</v>
      </c>
      <c r="E63" s="9" t="s">
        <v>85</v>
      </c>
      <c r="F63" s="9" t="s">
        <v>85</v>
      </c>
      <c r="G63" s="9" t="s">
        <v>85</v>
      </c>
      <c r="H63" s="9" t="s">
        <v>85</v>
      </c>
      <c r="I63" s="9" t="s">
        <v>85</v>
      </c>
      <c r="J63" s="9" t="s">
        <v>85</v>
      </c>
      <c r="K63" s="9" t="s">
        <v>85</v>
      </c>
      <c r="L63" s="9">
        <v>0.791375</v>
      </c>
      <c r="M63" s="9" t="s">
        <v>85</v>
      </c>
      <c r="N63" s="9" t="s">
        <v>85</v>
      </c>
      <c r="O63" s="9">
        <v>0.749417</v>
      </c>
      <c r="P63" s="9" t="s">
        <v>85</v>
      </c>
      <c r="Q63" s="9" t="s">
        <v>85</v>
      </c>
      <c r="R63" s="9" t="s">
        <v>85</v>
      </c>
      <c r="S63" s="9" t="s">
        <v>85</v>
      </c>
      <c r="T63" s="9" t="s">
        <v>85</v>
      </c>
      <c r="U63" s="9" t="s">
        <v>85</v>
      </c>
      <c r="V63" s="9" t="s">
        <v>85</v>
      </c>
      <c r="W63" s="9" t="s">
        <v>85</v>
      </c>
      <c r="X63" s="9">
        <v>0.763403</v>
      </c>
      <c r="Y63" s="9" t="s">
        <v>85</v>
      </c>
      <c r="Z63" s="9" t="s">
        <v>85</v>
      </c>
      <c r="AA63" s="9">
        <v>0.758741</v>
      </c>
      <c r="AB63" s="10" t="s">
        <v>85</v>
      </c>
      <c r="AC63" s="10" t="s">
        <v>85</v>
      </c>
      <c r="AD63" s="9" t="s">
        <v>85</v>
      </c>
      <c r="AE63" s="9" t="s">
        <v>85</v>
      </c>
      <c r="AF63" s="9" t="s">
        <v>85</v>
      </c>
      <c r="AG63" s="9" t="s">
        <v>85</v>
      </c>
      <c r="AH63" s="9" t="s">
        <v>85</v>
      </c>
      <c r="AI63" s="9" t="s">
        <v>85</v>
      </c>
      <c r="AJ63" s="9">
        <v>0.754079</v>
      </c>
      <c r="AK63" s="9" t="s">
        <v>85</v>
      </c>
      <c r="AL63" s="9" t="s">
        <v>85</v>
      </c>
      <c r="AM63" s="9">
        <v>0.772727</v>
      </c>
      <c r="AN63" s="9" t="s">
        <v>85</v>
      </c>
      <c r="AO63" s="9" t="s">
        <v>85</v>
      </c>
      <c r="AP63" s="9" t="s">
        <v>85</v>
      </c>
      <c r="AQ63" s="9" t="s">
        <v>85</v>
      </c>
      <c r="AR63" s="9" t="s">
        <v>85</v>
      </c>
      <c r="AS63" s="9" t="s">
        <v>85</v>
      </c>
      <c r="AT63" s="9" t="s">
        <v>85</v>
      </c>
      <c r="AU63" s="9" t="s">
        <v>85</v>
      </c>
      <c r="AV63" s="9">
        <v>0.789044</v>
      </c>
      <c r="AW63" s="9" t="s">
        <v>85</v>
      </c>
      <c r="AX63" s="9" t="s">
        <v>85</v>
      </c>
      <c r="AY63" s="9">
        <v>0.765734</v>
      </c>
      <c r="AZ63" s="9" t="s">
        <v>85</v>
      </c>
      <c r="BA63" s="9" t="s">
        <v>85</v>
      </c>
      <c r="BB63" s="9" t="s">
        <v>85</v>
      </c>
      <c r="BC63" s="10" t="s">
        <v>85</v>
      </c>
      <c r="BD63" s="10" t="s">
        <v>85</v>
      </c>
      <c r="BE63" s="10" t="s">
        <v>85</v>
      </c>
      <c r="BF63" s="10" t="s">
        <v>85</v>
      </c>
      <c r="BG63" s="10" t="s">
        <v>85</v>
      </c>
      <c r="BH63" s="9" t="s">
        <v>85</v>
      </c>
      <c r="BI63" s="6"/>
      <c r="BJ63" s="6" t="str">
        <f t="shared" si="1"/>
        <v>5V_One_Acc</v>
      </c>
      <c r="BK63" s="6" t="str">
        <f t="shared" si="2"/>
        <v>12V_One_Acc</v>
      </c>
      <c r="BL63" s="6" t="str">
        <f t="shared" si="3"/>
        <v>10VB_One_Acc</v>
      </c>
      <c r="BM63" s="6"/>
      <c r="BN63" s="6">
        <f t="shared" si="4"/>
        <v>5</v>
      </c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</row>
    <row r="64" ht="15.75" customHeight="1">
      <c r="A64" s="1" t="s">
        <v>158</v>
      </c>
      <c r="B64" s="17">
        <v>1024.0</v>
      </c>
      <c r="C64" s="17">
        <v>39.0</v>
      </c>
      <c r="D64" s="9" t="s">
        <v>85</v>
      </c>
      <c r="E64" s="9" t="s">
        <v>85</v>
      </c>
      <c r="F64" s="9" t="s">
        <v>85</v>
      </c>
      <c r="G64" s="9" t="s">
        <v>85</v>
      </c>
      <c r="H64" s="9" t="s">
        <v>85</v>
      </c>
      <c r="I64" s="9" t="s">
        <v>85</v>
      </c>
      <c r="J64" s="9" t="s">
        <v>85</v>
      </c>
      <c r="K64" s="9" t="s">
        <v>85</v>
      </c>
      <c r="L64" s="9">
        <v>0.160338</v>
      </c>
      <c r="M64" s="9" t="s">
        <v>85</v>
      </c>
      <c r="N64" s="9" t="s">
        <v>85</v>
      </c>
      <c r="O64" s="9">
        <v>0.1577</v>
      </c>
      <c r="P64" s="9" t="s">
        <v>85</v>
      </c>
      <c r="Q64" s="9" t="s">
        <v>85</v>
      </c>
      <c r="R64" s="9" t="s">
        <v>85</v>
      </c>
      <c r="S64" s="9" t="s">
        <v>85</v>
      </c>
      <c r="T64" s="9" t="s">
        <v>85</v>
      </c>
      <c r="U64" s="9" t="s">
        <v>85</v>
      </c>
      <c r="V64" s="9" t="s">
        <v>85</v>
      </c>
      <c r="W64" s="9" t="s">
        <v>85</v>
      </c>
      <c r="X64" s="9">
        <v>0.165084</v>
      </c>
      <c r="Y64" s="9" t="s">
        <v>85</v>
      </c>
      <c r="Z64" s="9" t="s">
        <v>85</v>
      </c>
      <c r="AA64" s="9">
        <v>0.145042</v>
      </c>
      <c r="AB64" s="10" t="s">
        <v>85</v>
      </c>
      <c r="AC64" s="10" t="s">
        <v>85</v>
      </c>
      <c r="AD64" s="9" t="s">
        <v>85</v>
      </c>
      <c r="AE64" s="9" t="s">
        <v>85</v>
      </c>
      <c r="AF64" s="9" t="s">
        <v>85</v>
      </c>
      <c r="AG64" s="9" t="s">
        <v>85</v>
      </c>
      <c r="AH64" s="9" t="s">
        <v>85</v>
      </c>
      <c r="AI64" s="9" t="s">
        <v>85</v>
      </c>
      <c r="AJ64" s="9">
        <v>0.159283</v>
      </c>
      <c r="AK64" s="9" t="s">
        <v>85</v>
      </c>
      <c r="AL64" s="9" t="s">
        <v>85</v>
      </c>
      <c r="AM64" s="9">
        <v>0.112869</v>
      </c>
      <c r="AN64" s="9" t="s">
        <v>85</v>
      </c>
      <c r="AO64" s="9" t="s">
        <v>85</v>
      </c>
      <c r="AP64" s="9" t="s">
        <v>85</v>
      </c>
      <c r="AQ64" s="9" t="s">
        <v>85</v>
      </c>
      <c r="AR64" s="9" t="s">
        <v>85</v>
      </c>
      <c r="AS64" s="9" t="s">
        <v>85</v>
      </c>
      <c r="AT64" s="9" t="s">
        <v>85</v>
      </c>
      <c r="AU64" s="9" t="s">
        <v>85</v>
      </c>
      <c r="AV64" s="9">
        <v>0.150844</v>
      </c>
      <c r="AW64" s="9" t="s">
        <v>85</v>
      </c>
      <c r="AX64" s="9" t="s">
        <v>85</v>
      </c>
      <c r="AY64" s="9">
        <v>0.162447</v>
      </c>
      <c r="AZ64" s="9" t="s">
        <v>85</v>
      </c>
      <c r="BA64" s="9" t="s">
        <v>85</v>
      </c>
      <c r="BB64" s="9" t="s">
        <v>85</v>
      </c>
      <c r="BC64" s="10" t="s">
        <v>85</v>
      </c>
      <c r="BD64" s="10" t="s">
        <v>85</v>
      </c>
      <c r="BE64" s="10" t="s">
        <v>85</v>
      </c>
      <c r="BF64" s="10" t="s">
        <v>85</v>
      </c>
      <c r="BG64" s="10" t="s">
        <v>85</v>
      </c>
      <c r="BH64" s="9" t="s">
        <v>85</v>
      </c>
      <c r="BI64" s="6"/>
      <c r="BJ64" s="6" t="str">
        <f t="shared" si="1"/>
        <v>8V_One_Acc</v>
      </c>
      <c r="BK64" s="6" t="str">
        <f t="shared" si="2"/>
        <v>12VB_One_Acc</v>
      </c>
      <c r="BL64" s="6" t="str">
        <f t="shared" si="3"/>
        <v>5V_One_Acc</v>
      </c>
      <c r="BM64" s="6"/>
      <c r="BN64" s="6">
        <f t="shared" si="4"/>
        <v>8</v>
      </c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</row>
    <row r="65" ht="15.75" customHeight="1">
      <c r="A65" s="1" t="s">
        <v>159</v>
      </c>
      <c r="B65" s="17">
        <v>2000.0</v>
      </c>
      <c r="C65" s="17">
        <v>52.0</v>
      </c>
      <c r="D65" s="9" t="s">
        <v>85</v>
      </c>
      <c r="E65" s="9" t="s">
        <v>85</v>
      </c>
      <c r="F65" s="9" t="s">
        <v>85</v>
      </c>
      <c r="G65" s="9" t="s">
        <v>85</v>
      </c>
      <c r="H65" s="9" t="s">
        <v>85</v>
      </c>
      <c r="I65" s="9" t="s">
        <v>85</v>
      </c>
      <c r="J65" s="9" t="s">
        <v>85</v>
      </c>
      <c r="K65" s="9" t="s">
        <v>85</v>
      </c>
      <c r="L65" s="9">
        <v>0.115385</v>
      </c>
      <c r="M65" s="9" t="s">
        <v>85</v>
      </c>
      <c r="N65" s="9" t="s">
        <v>85</v>
      </c>
      <c r="O65" s="9">
        <v>0.081731</v>
      </c>
      <c r="P65" s="9" t="s">
        <v>85</v>
      </c>
      <c r="Q65" s="9" t="s">
        <v>85</v>
      </c>
      <c r="R65" s="9" t="s">
        <v>85</v>
      </c>
      <c r="S65" s="9" t="s">
        <v>85</v>
      </c>
      <c r="T65" s="9" t="s">
        <v>85</v>
      </c>
      <c r="U65" s="9" t="s">
        <v>85</v>
      </c>
      <c r="V65" s="9" t="s">
        <v>85</v>
      </c>
      <c r="W65" s="9" t="s">
        <v>85</v>
      </c>
      <c r="X65" s="9">
        <v>0.0625</v>
      </c>
      <c r="Y65" s="9" t="s">
        <v>85</v>
      </c>
      <c r="Z65" s="9" t="s">
        <v>85</v>
      </c>
      <c r="AA65" s="9">
        <v>0.0625</v>
      </c>
      <c r="AB65" s="10" t="s">
        <v>85</v>
      </c>
      <c r="AC65" s="10" t="s">
        <v>85</v>
      </c>
      <c r="AD65" s="9" t="s">
        <v>85</v>
      </c>
      <c r="AE65" s="9" t="s">
        <v>85</v>
      </c>
      <c r="AF65" s="9" t="s">
        <v>85</v>
      </c>
      <c r="AG65" s="9" t="s">
        <v>85</v>
      </c>
      <c r="AH65" s="9" t="s">
        <v>85</v>
      </c>
      <c r="AI65" s="9" t="s">
        <v>85</v>
      </c>
      <c r="AJ65" s="9">
        <v>0.096154</v>
      </c>
      <c r="AK65" s="9" t="s">
        <v>85</v>
      </c>
      <c r="AL65" s="9" t="s">
        <v>85</v>
      </c>
      <c r="AM65" s="9">
        <v>0.057692</v>
      </c>
      <c r="AN65" s="9" t="s">
        <v>85</v>
      </c>
      <c r="AO65" s="9" t="s">
        <v>85</v>
      </c>
      <c r="AP65" s="9" t="s">
        <v>85</v>
      </c>
      <c r="AQ65" s="9" t="s">
        <v>85</v>
      </c>
      <c r="AR65" s="9" t="s">
        <v>85</v>
      </c>
      <c r="AS65" s="9" t="s">
        <v>85</v>
      </c>
      <c r="AT65" s="9" t="s">
        <v>85</v>
      </c>
      <c r="AU65" s="9" t="s">
        <v>85</v>
      </c>
      <c r="AV65" s="9">
        <v>0.043269</v>
      </c>
      <c r="AW65" s="9" t="s">
        <v>85</v>
      </c>
      <c r="AX65" s="9" t="s">
        <v>85</v>
      </c>
      <c r="AY65" s="9">
        <v>0.043269</v>
      </c>
      <c r="AZ65" s="9" t="s">
        <v>85</v>
      </c>
      <c r="BA65" s="9" t="s">
        <v>85</v>
      </c>
      <c r="BB65" s="9" t="s">
        <v>85</v>
      </c>
      <c r="BC65" s="10" t="s">
        <v>85</v>
      </c>
      <c r="BD65" s="10" t="s">
        <v>85</v>
      </c>
      <c r="BE65" s="10" t="s">
        <v>85</v>
      </c>
      <c r="BF65" s="10" t="s">
        <v>85</v>
      </c>
      <c r="BG65" s="10" t="s">
        <v>85</v>
      </c>
      <c r="BH65" s="9" t="s">
        <v>85</v>
      </c>
      <c r="BI65" s="6"/>
      <c r="BJ65" s="6" t="str">
        <f t="shared" si="1"/>
        <v>5V_One_Acc</v>
      </c>
      <c r="BK65" s="6" t="str">
        <f t="shared" si="2"/>
        <v>10V_One_Acc</v>
      </c>
      <c r="BL65" s="6" t="str">
        <f t="shared" si="3"/>
        <v>5VB_One_Acc</v>
      </c>
      <c r="BM65" s="6"/>
      <c r="BN65" s="6">
        <f t="shared" si="4"/>
        <v>5</v>
      </c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</row>
    <row r="66" ht="15.75" customHeight="1">
      <c r="A66" s="1" t="s">
        <v>160</v>
      </c>
      <c r="B66" s="17">
        <v>2000.0</v>
      </c>
      <c r="C66" s="17">
        <v>52.0</v>
      </c>
      <c r="D66" s="9" t="s">
        <v>85</v>
      </c>
      <c r="E66" s="9" t="s">
        <v>85</v>
      </c>
      <c r="F66" s="9" t="s">
        <v>85</v>
      </c>
      <c r="G66" s="9" t="s">
        <v>85</v>
      </c>
      <c r="H66" s="9" t="s">
        <v>85</v>
      </c>
      <c r="I66" s="9" t="s">
        <v>85</v>
      </c>
      <c r="J66" s="9" t="s">
        <v>85</v>
      </c>
      <c r="K66" s="9" t="s">
        <v>85</v>
      </c>
      <c r="L66" s="9">
        <v>0.149038</v>
      </c>
      <c r="M66" s="9" t="s">
        <v>85</v>
      </c>
      <c r="N66" s="9" t="s">
        <v>85</v>
      </c>
      <c r="O66" s="9">
        <v>0.173077</v>
      </c>
      <c r="P66" s="9" t="s">
        <v>85</v>
      </c>
      <c r="Q66" s="9" t="s">
        <v>85</v>
      </c>
      <c r="R66" s="9" t="s">
        <v>85</v>
      </c>
      <c r="S66" s="9" t="s">
        <v>85</v>
      </c>
      <c r="T66" s="9" t="s">
        <v>85</v>
      </c>
      <c r="U66" s="9" t="s">
        <v>85</v>
      </c>
      <c r="V66" s="9" t="s">
        <v>85</v>
      </c>
      <c r="W66" s="9" t="s">
        <v>85</v>
      </c>
      <c r="X66" s="9">
        <v>0.125</v>
      </c>
      <c r="Y66" s="9" t="s">
        <v>85</v>
      </c>
      <c r="Z66" s="9" t="s">
        <v>85</v>
      </c>
      <c r="AA66" s="9">
        <v>0.043269</v>
      </c>
      <c r="AB66" s="10" t="s">
        <v>85</v>
      </c>
      <c r="AC66" s="10" t="s">
        <v>85</v>
      </c>
      <c r="AD66" s="9" t="s">
        <v>85</v>
      </c>
      <c r="AE66" s="9" t="s">
        <v>85</v>
      </c>
      <c r="AF66" s="9" t="s">
        <v>85</v>
      </c>
      <c r="AG66" s="9" t="s">
        <v>85</v>
      </c>
      <c r="AH66" s="9" t="s">
        <v>85</v>
      </c>
      <c r="AI66" s="9" t="s">
        <v>85</v>
      </c>
      <c r="AJ66" s="9">
        <v>0.096154</v>
      </c>
      <c r="AK66" s="9" t="s">
        <v>85</v>
      </c>
      <c r="AL66" s="9" t="s">
        <v>85</v>
      </c>
      <c r="AM66" s="9">
        <v>0.019231</v>
      </c>
      <c r="AN66" s="9" t="s">
        <v>85</v>
      </c>
      <c r="AO66" s="9" t="s">
        <v>85</v>
      </c>
      <c r="AP66" s="9" t="s">
        <v>85</v>
      </c>
      <c r="AQ66" s="9" t="s">
        <v>85</v>
      </c>
      <c r="AR66" s="9" t="s">
        <v>85</v>
      </c>
      <c r="AS66" s="9" t="s">
        <v>85</v>
      </c>
      <c r="AT66" s="9" t="s">
        <v>85</v>
      </c>
      <c r="AU66" s="9" t="s">
        <v>85</v>
      </c>
      <c r="AV66" s="9">
        <v>0.043269</v>
      </c>
      <c r="AW66" s="9" t="s">
        <v>85</v>
      </c>
      <c r="AX66" s="9" t="s">
        <v>85</v>
      </c>
      <c r="AY66" s="9">
        <v>0.019231</v>
      </c>
      <c r="AZ66" s="9" t="s">
        <v>85</v>
      </c>
      <c r="BA66" s="9" t="s">
        <v>85</v>
      </c>
      <c r="BB66" s="9" t="s">
        <v>85</v>
      </c>
      <c r="BC66" s="10" t="s">
        <v>85</v>
      </c>
      <c r="BD66" s="10" t="s">
        <v>85</v>
      </c>
      <c r="BE66" s="10" t="s">
        <v>85</v>
      </c>
      <c r="BF66" s="10" t="s">
        <v>85</v>
      </c>
      <c r="BG66" s="10" t="s">
        <v>85</v>
      </c>
      <c r="BH66" s="9" t="s">
        <v>85</v>
      </c>
      <c r="BI66" s="6"/>
      <c r="BJ66" s="6" t="str">
        <f t="shared" si="1"/>
        <v>5VB_One_Acc</v>
      </c>
      <c r="BK66" s="6" t="str">
        <f t="shared" si="2"/>
        <v>5V_One_Acc</v>
      </c>
      <c r="BL66" s="6" t="str">
        <f t="shared" si="3"/>
        <v>8V_One_Acc</v>
      </c>
      <c r="BM66" s="6"/>
      <c r="BN66" s="6">
        <f t="shared" si="4"/>
        <v>5</v>
      </c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</row>
    <row r="67" ht="15.75" customHeight="1">
      <c r="A67" s="1" t="s">
        <v>161</v>
      </c>
      <c r="B67" s="17">
        <v>2000.0</v>
      </c>
      <c r="C67" s="17">
        <v>52.0</v>
      </c>
      <c r="D67" s="9" t="s">
        <v>85</v>
      </c>
      <c r="E67" s="9" t="s">
        <v>85</v>
      </c>
      <c r="F67" s="9" t="s">
        <v>85</v>
      </c>
      <c r="G67" s="9" t="s">
        <v>85</v>
      </c>
      <c r="H67" s="9" t="s">
        <v>85</v>
      </c>
      <c r="I67" s="9" t="s">
        <v>85</v>
      </c>
      <c r="J67" s="9" t="s">
        <v>85</v>
      </c>
      <c r="K67" s="9" t="s">
        <v>85</v>
      </c>
      <c r="L67" s="9">
        <v>0.067308</v>
      </c>
      <c r="M67" s="9" t="s">
        <v>85</v>
      </c>
      <c r="N67" s="9" t="s">
        <v>85</v>
      </c>
      <c r="O67" s="9">
        <v>0.0625</v>
      </c>
      <c r="P67" s="9" t="s">
        <v>85</v>
      </c>
      <c r="Q67" s="9" t="s">
        <v>85</v>
      </c>
      <c r="R67" s="9" t="s">
        <v>85</v>
      </c>
      <c r="S67" s="9" t="s">
        <v>85</v>
      </c>
      <c r="T67" s="9" t="s">
        <v>85</v>
      </c>
      <c r="U67" s="9" t="s">
        <v>85</v>
      </c>
      <c r="V67" s="9" t="s">
        <v>85</v>
      </c>
      <c r="W67" s="9" t="s">
        <v>85</v>
      </c>
      <c r="X67" s="9">
        <v>0.067308</v>
      </c>
      <c r="Y67" s="9" t="s">
        <v>85</v>
      </c>
      <c r="Z67" s="9" t="s">
        <v>85</v>
      </c>
      <c r="AA67" s="9">
        <v>0.043269</v>
      </c>
      <c r="AB67" s="10" t="s">
        <v>85</v>
      </c>
      <c r="AC67" s="10" t="s">
        <v>85</v>
      </c>
      <c r="AD67" s="9" t="s">
        <v>85</v>
      </c>
      <c r="AE67" s="9" t="s">
        <v>85</v>
      </c>
      <c r="AF67" s="9" t="s">
        <v>85</v>
      </c>
      <c r="AG67" s="9" t="s">
        <v>85</v>
      </c>
      <c r="AH67" s="9" t="s">
        <v>85</v>
      </c>
      <c r="AI67" s="9" t="s">
        <v>85</v>
      </c>
      <c r="AJ67" s="9">
        <v>0.057692</v>
      </c>
      <c r="AK67" s="9" t="s">
        <v>85</v>
      </c>
      <c r="AL67" s="9" t="s">
        <v>85</v>
      </c>
      <c r="AM67" s="9">
        <v>0.028846</v>
      </c>
      <c r="AN67" s="9" t="s">
        <v>85</v>
      </c>
      <c r="AO67" s="9" t="s">
        <v>85</v>
      </c>
      <c r="AP67" s="9" t="s">
        <v>85</v>
      </c>
      <c r="AQ67" s="9" t="s">
        <v>85</v>
      </c>
      <c r="AR67" s="9" t="s">
        <v>85</v>
      </c>
      <c r="AS67" s="9" t="s">
        <v>85</v>
      </c>
      <c r="AT67" s="9" t="s">
        <v>85</v>
      </c>
      <c r="AU67" s="9" t="s">
        <v>85</v>
      </c>
      <c r="AV67" s="9">
        <v>0.043269</v>
      </c>
      <c r="AW67" s="9" t="s">
        <v>85</v>
      </c>
      <c r="AX67" s="9" t="s">
        <v>85</v>
      </c>
      <c r="AY67" s="9">
        <v>0.028846</v>
      </c>
      <c r="AZ67" s="9" t="s">
        <v>85</v>
      </c>
      <c r="BA67" s="9" t="s">
        <v>85</v>
      </c>
      <c r="BB67" s="9" t="s">
        <v>85</v>
      </c>
      <c r="BC67" s="10" t="s">
        <v>85</v>
      </c>
      <c r="BD67" s="10" t="s">
        <v>85</v>
      </c>
      <c r="BE67" s="10" t="s">
        <v>85</v>
      </c>
      <c r="BF67" s="10" t="s">
        <v>85</v>
      </c>
      <c r="BG67" s="10" t="s">
        <v>85</v>
      </c>
      <c r="BH67" s="9" t="s">
        <v>85</v>
      </c>
      <c r="BI67" s="6"/>
      <c r="BJ67" s="6" t="str">
        <f t="shared" si="1"/>
        <v>5V_One_Acc</v>
      </c>
      <c r="BK67" s="6" t="str">
        <f t="shared" si="2"/>
        <v>5V_One_Acc</v>
      </c>
      <c r="BL67" s="6" t="str">
        <f t="shared" si="3"/>
        <v>5VB_One_Acc</v>
      </c>
      <c r="BM67" s="6"/>
      <c r="BN67" s="6">
        <f t="shared" si="4"/>
        <v>5</v>
      </c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</row>
    <row r="68" ht="15.75" customHeight="1">
      <c r="A68" s="1" t="s">
        <v>162</v>
      </c>
      <c r="B68" s="17">
        <v>144.0</v>
      </c>
      <c r="C68" s="17">
        <v>7.0</v>
      </c>
      <c r="D68" s="9" t="s">
        <v>85</v>
      </c>
      <c r="E68" s="9" t="s">
        <v>85</v>
      </c>
      <c r="F68" s="9" t="s">
        <v>85</v>
      </c>
      <c r="G68" s="9" t="s">
        <v>85</v>
      </c>
      <c r="H68" s="9" t="s">
        <v>85</v>
      </c>
      <c r="I68" s="9" t="s">
        <v>85</v>
      </c>
      <c r="J68" s="9" t="s">
        <v>85</v>
      </c>
      <c r="K68" s="9" t="s">
        <v>85</v>
      </c>
      <c r="L68" s="9">
        <v>0.990476</v>
      </c>
      <c r="M68" s="9" t="s">
        <v>85</v>
      </c>
      <c r="N68" s="9" t="s">
        <v>85</v>
      </c>
      <c r="O68" s="9">
        <v>0.990476</v>
      </c>
      <c r="P68" s="9" t="s">
        <v>85</v>
      </c>
      <c r="Q68" s="9" t="s">
        <v>85</v>
      </c>
      <c r="R68" s="9" t="s">
        <v>85</v>
      </c>
      <c r="S68" s="9" t="s">
        <v>85</v>
      </c>
      <c r="T68" s="9" t="s">
        <v>85</v>
      </c>
      <c r="U68" s="9" t="s">
        <v>85</v>
      </c>
      <c r="V68" s="9" t="s">
        <v>85</v>
      </c>
      <c r="W68" s="9" t="s">
        <v>85</v>
      </c>
      <c r="X68" s="9">
        <v>0.990476</v>
      </c>
      <c r="Y68" s="9" t="s">
        <v>85</v>
      </c>
      <c r="Z68" s="9" t="s">
        <v>85</v>
      </c>
      <c r="AA68" s="9">
        <v>0.971429</v>
      </c>
      <c r="AB68" s="10" t="s">
        <v>85</v>
      </c>
      <c r="AC68" s="10" t="s">
        <v>85</v>
      </c>
      <c r="AD68" s="9" t="s">
        <v>85</v>
      </c>
      <c r="AE68" s="9" t="s">
        <v>85</v>
      </c>
      <c r="AF68" s="9" t="s">
        <v>85</v>
      </c>
      <c r="AG68" s="9" t="s">
        <v>85</v>
      </c>
      <c r="AH68" s="9" t="s">
        <v>85</v>
      </c>
      <c r="AI68" s="9" t="s">
        <v>85</v>
      </c>
      <c r="AJ68" s="9">
        <v>0.990476</v>
      </c>
      <c r="AK68" s="9" t="s">
        <v>85</v>
      </c>
      <c r="AL68" s="9" t="s">
        <v>85</v>
      </c>
      <c r="AM68" s="9">
        <v>0.961905</v>
      </c>
      <c r="AN68" s="9" t="s">
        <v>85</v>
      </c>
      <c r="AO68" s="9" t="s">
        <v>85</v>
      </c>
      <c r="AP68" s="9" t="s">
        <v>85</v>
      </c>
      <c r="AQ68" s="9" t="s">
        <v>85</v>
      </c>
      <c r="AR68" s="9" t="s">
        <v>85</v>
      </c>
      <c r="AS68" s="9" t="s">
        <v>85</v>
      </c>
      <c r="AT68" s="9" t="s">
        <v>85</v>
      </c>
      <c r="AU68" s="9" t="s">
        <v>85</v>
      </c>
      <c r="AV68" s="9">
        <v>0.990476</v>
      </c>
      <c r="AW68" s="9" t="s">
        <v>85</v>
      </c>
      <c r="AX68" s="9" t="s">
        <v>85</v>
      </c>
      <c r="AY68" s="9">
        <v>0.980952</v>
      </c>
      <c r="AZ68" s="9" t="s">
        <v>85</v>
      </c>
      <c r="BA68" s="9" t="s">
        <v>85</v>
      </c>
      <c r="BB68" s="9" t="s">
        <v>85</v>
      </c>
      <c r="BC68" s="10" t="s">
        <v>85</v>
      </c>
      <c r="BD68" s="10" t="s">
        <v>85</v>
      </c>
      <c r="BE68" s="10" t="s">
        <v>85</v>
      </c>
      <c r="BF68" s="10" t="s">
        <v>85</v>
      </c>
      <c r="BG68" s="10" t="s">
        <v>85</v>
      </c>
      <c r="BH68" s="9" t="s">
        <v>85</v>
      </c>
      <c r="BI68" s="6"/>
      <c r="BJ68" s="6" t="str">
        <f t="shared" si="1"/>
        <v>5V_One_Acc</v>
      </c>
      <c r="BK68" s="6" t="str">
        <f t="shared" si="2"/>
        <v>5V_One_Acc</v>
      </c>
      <c r="BL68" s="6" t="str">
        <f t="shared" si="3"/>
        <v>5V_One_Acc</v>
      </c>
      <c r="BM68" s="6"/>
      <c r="BN68" s="6">
        <f t="shared" si="4"/>
        <v>5</v>
      </c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</row>
    <row r="69" ht="15.75" customHeight="1">
      <c r="A69" s="1" t="s">
        <v>163</v>
      </c>
      <c r="B69" s="17">
        <v>80.0</v>
      </c>
      <c r="C69" s="17">
        <v>3.0</v>
      </c>
      <c r="D69" s="9" t="s">
        <v>85</v>
      </c>
      <c r="E69" s="9" t="s">
        <v>85</v>
      </c>
      <c r="F69" s="9" t="s">
        <v>85</v>
      </c>
      <c r="G69" s="9" t="s">
        <v>85</v>
      </c>
      <c r="H69" s="9" t="s">
        <v>85</v>
      </c>
      <c r="I69" s="9" t="s">
        <v>85</v>
      </c>
      <c r="J69" s="9" t="s">
        <v>85</v>
      </c>
      <c r="K69" s="9" t="s">
        <v>85</v>
      </c>
      <c r="L69" s="9">
        <v>0.868293</v>
      </c>
      <c r="M69" s="9" t="s">
        <v>85</v>
      </c>
      <c r="N69" s="9" t="s">
        <v>85</v>
      </c>
      <c r="O69" s="9">
        <v>0.839024</v>
      </c>
      <c r="P69" s="9" t="s">
        <v>85</v>
      </c>
      <c r="Q69" s="9" t="s">
        <v>85</v>
      </c>
      <c r="R69" s="9" t="s">
        <v>85</v>
      </c>
      <c r="S69" s="9" t="s">
        <v>85</v>
      </c>
      <c r="T69" s="9" t="s">
        <v>85</v>
      </c>
      <c r="U69" s="9" t="s">
        <v>85</v>
      </c>
      <c r="V69" s="9" t="s">
        <v>85</v>
      </c>
      <c r="W69" s="9" t="s">
        <v>85</v>
      </c>
      <c r="X69" s="9">
        <v>0.848781</v>
      </c>
      <c r="Y69" s="9" t="s">
        <v>85</v>
      </c>
      <c r="Z69" s="9" t="s">
        <v>85</v>
      </c>
      <c r="AA69" s="9">
        <v>0.848781</v>
      </c>
      <c r="AB69" s="10" t="s">
        <v>85</v>
      </c>
      <c r="AC69" s="10" t="s">
        <v>85</v>
      </c>
      <c r="AD69" s="9" t="s">
        <v>85</v>
      </c>
      <c r="AE69" s="9" t="s">
        <v>85</v>
      </c>
      <c r="AF69" s="9" t="s">
        <v>85</v>
      </c>
      <c r="AG69" s="9" t="s">
        <v>85</v>
      </c>
      <c r="AH69" s="9" t="s">
        <v>85</v>
      </c>
      <c r="AI69" s="9" t="s">
        <v>85</v>
      </c>
      <c r="AJ69" s="9">
        <v>0.843902</v>
      </c>
      <c r="AK69" s="9" t="s">
        <v>85</v>
      </c>
      <c r="AL69" s="9" t="s">
        <v>85</v>
      </c>
      <c r="AM69" s="9">
        <v>0.843902</v>
      </c>
      <c r="AN69" s="9" t="s">
        <v>85</v>
      </c>
      <c r="AO69" s="9" t="s">
        <v>85</v>
      </c>
      <c r="AP69" s="9" t="s">
        <v>85</v>
      </c>
      <c r="AQ69" s="9" t="s">
        <v>85</v>
      </c>
      <c r="AR69" s="9" t="s">
        <v>85</v>
      </c>
      <c r="AS69" s="9" t="s">
        <v>85</v>
      </c>
      <c r="AT69" s="9" t="s">
        <v>85</v>
      </c>
      <c r="AU69" s="9" t="s">
        <v>85</v>
      </c>
      <c r="AV69" s="9">
        <v>0.834146</v>
      </c>
      <c r="AW69" s="9" t="s">
        <v>85</v>
      </c>
      <c r="AX69" s="9" t="s">
        <v>85</v>
      </c>
      <c r="AY69" s="9">
        <v>0.848781</v>
      </c>
      <c r="AZ69" s="9" t="s">
        <v>85</v>
      </c>
      <c r="BA69" s="9" t="s">
        <v>85</v>
      </c>
      <c r="BB69" s="9" t="s">
        <v>85</v>
      </c>
      <c r="BC69" s="10" t="s">
        <v>85</v>
      </c>
      <c r="BD69" s="10" t="s">
        <v>85</v>
      </c>
      <c r="BE69" s="10" t="s">
        <v>85</v>
      </c>
      <c r="BF69" s="10" t="s">
        <v>85</v>
      </c>
      <c r="BG69" s="10" t="s">
        <v>85</v>
      </c>
      <c r="BH69" s="9" t="s">
        <v>85</v>
      </c>
      <c r="BI69" s="6"/>
      <c r="BJ69" s="6" t="str">
        <f t="shared" si="1"/>
        <v>5V_One_Acc</v>
      </c>
      <c r="BK69" s="6" t="str">
        <f t="shared" si="2"/>
        <v>8V_One_Acc</v>
      </c>
      <c r="BL69" s="6" t="str">
        <f t="shared" si="3"/>
        <v>8V_One_Acc</v>
      </c>
      <c r="BM69" s="6"/>
      <c r="BN69" s="6">
        <f t="shared" si="4"/>
        <v>5</v>
      </c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</row>
    <row r="70" ht="15.75" customHeight="1">
      <c r="A70" s="1" t="s">
        <v>164</v>
      </c>
      <c r="B70" s="17">
        <v>80.0</v>
      </c>
      <c r="C70" s="17">
        <v>2.0</v>
      </c>
      <c r="D70" s="9" t="s">
        <v>85</v>
      </c>
      <c r="E70" s="9" t="s">
        <v>85</v>
      </c>
      <c r="F70" s="9" t="s">
        <v>85</v>
      </c>
      <c r="G70" s="9" t="s">
        <v>85</v>
      </c>
      <c r="H70" s="9" t="s">
        <v>85</v>
      </c>
      <c r="I70" s="9" t="s">
        <v>85</v>
      </c>
      <c r="J70" s="9" t="s">
        <v>85</v>
      </c>
      <c r="K70" s="9" t="s">
        <v>85</v>
      </c>
      <c r="L70" s="9">
        <v>0.862543</v>
      </c>
      <c r="M70" s="9" t="s">
        <v>85</v>
      </c>
      <c r="N70" s="9" t="s">
        <v>85</v>
      </c>
      <c r="O70" s="9">
        <v>0.848797</v>
      </c>
      <c r="P70" s="9" t="s">
        <v>85</v>
      </c>
      <c r="Q70" s="9" t="s">
        <v>85</v>
      </c>
      <c r="R70" s="9" t="s">
        <v>85</v>
      </c>
      <c r="S70" s="9" t="s">
        <v>85</v>
      </c>
      <c r="T70" s="9" t="s">
        <v>85</v>
      </c>
      <c r="U70" s="9" t="s">
        <v>85</v>
      </c>
      <c r="V70" s="9" t="s">
        <v>85</v>
      </c>
      <c r="W70" s="9" t="s">
        <v>85</v>
      </c>
      <c r="X70" s="9">
        <v>0.828179</v>
      </c>
      <c r="Y70" s="9" t="s">
        <v>85</v>
      </c>
      <c r="Z70" s="9" t="s">
        <v>85</v>
      </c>
      <c r="AA70" s="9">
        <v>0.821306</v>
      </c>
      <c r="AB70" s="10" t="s">
        <v>85</v>
      </c>
      <c r="AC70" s="10" t="s">
        <v>85</v>
      </c>
      <c r="AD70" s="9" t="s">
        <v>85</v>
      </c>
      <c r="AE70" s="9" t="s">
        <v>85</v>
      </c>
      <c r="AF70" s="9" t="s">
        <v>85</v>
      </c>
      <c r="AG70" s="9" t="s">
        <v>85</v>
      </c>
      <c r="AH70" s="9" t="s">
        <v>85</v>
      </c>
      <c r="AI70" s="9" t="s">
        <v>85</v>
      </c>
      <c r="AJ70" s="9">
        <v>0.821306</v>
      </c>
      <c r="AK70" s="9" t="s">
        <v>85</v>
      </c>
      <c r="AL70" s="9" t="s">
        <v>85</v>
      </c>
      <c r="AM70" s="9">
        <v>0.845361</v>
      </c>
      <c r="AN70" s="9" t="s">
        <v>85</v>
      </c>
      <c r="AO70" s="9" t="s">
        <v>85</v>
      </c>
      <c r="AP70" s="9" t="s">
        <v>85</v>
      </c>
      <c r="AQ70" s="9" t="s">
        <v>85</v>
      </c>
      <c r="AR70" s="9" t="s">
        <v>85</v>
      </c>
      <c r="AS70" s="9" t="s">
        <v>85</v>
      </c>
      <c r="AT70" s="9" t="s">
        <v>85</v>
      </c>
      <c r="AU70" s="9" t="s">
        <v>85</v>
      </c>
      <c r="AV70" s="9">
        <v>0.848797</v>
      </c>
      <c r="AW70" s="9" t="s">
        <v>85</v>
      </c>
      <c r="AX70" s="9" t="s">
        <v>85</v>
      </c>
      <c r="AY70" s="9">
        <v>0.862543</v>
      </c>
      <c r="AZ70" s="9" t="s">
        <v>85</v>
      </c>
      <c r="BA70" s="9" t="s">
        <v>85</v>
      </c>
      <c r="BB70" s="9" t="s">
        <v>85</v>
      </c>
      <c r="BC70" s="10" t="s">
        <v>85</v>
      </c>
      <c r="BD70" s="10" t="s">
        <v>85</v>
      </c>
      <c r="BE70" s="10" t="s">
        <v>85</v>
      </c>
      <c r="BF70" s="10" t="s">
        <v>85</v>
      </c>
      <c r="BG70" s="10" t="s">
        <v>85</v>
      </c>
      <c r="BH70" s="9" t="s">
        <v>85</v>
      </c>
      <c r="BI70" s="6"/>
      <c r="BJ70" s="6" t="str">
        <f t="shared" si="1"/>
        <v>5V_One_Acc</v>
      </c>
      <c r="BK70" s="6" t="str">
        <f t="shared" si="2"/>
        <v>5V_One_Acc</v>
      </c>
      <c r="BL70" s="6" t="str">
        <f t="shared" si="3"/>
        <v>5VB_One_Acc</v>
      </c>
      <c r="BM70" s="6"/>
      <c r="BN70" s="6">
        <f t="shared" si="4"/>
        <v>5</v>
      </c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</row>
    <row r="71" ht="15.75" customHeight="1">
      <c r="A71" s="1" t="s">
        <v>165</v>
      </c>
      <c r="B71" s="17">
        <v>80.0</v>
      </c>
      <c r="C71" s="17">
        <v>6.0</v>
      </c>
      <c r="D71" s="9" t="s">
        <v>85</v>
      </c>
      <c r="E71" s="9" t="s">
        <v>85</v>
      </c>
      <c r="F71" s="9" t="s">
        <v>85</v>
      </c>
      <c r="G71" s="9" t="s">
        <v>85</v>
      </c>
      <c r="H71" s="9" t="s">
        <v>85</v>
      </c>
      <c r="I71" s="9" t="s">
        <v>85</v>
      </c>
      <c r="J71" s="9" t="s">
        <v>85</v>
      </c>
      <c r="K71" s="9" t="s">
        <v>85</v>
      </c>
      <c r="L71" s="9">
        <v>0.795122</v>
      </c>
      <c r="M71" s="9" t="s">
        <v>85</v>
      </c>
      <c r="N71" s="9" t="s">
        <v>85</v>
      </c>
      <c r="O71" s="9">
        <v>0.8</v>
      </c>
      <c r="P71" s="9" t="s">
        <v>85</v>
      </c>
      <c r="Q71" s="9" t="s">
        <v>85</v>
      </c>
      <c r="R71" s="9" t="s">
        <v>85</v>
      </c>
      <c r="S71" s="9" t="s">
        <v>85</v>
      </c>
      <c r="T71" s="9" t="s">
        <v>85</v>
      </c>
      <c r="U71" s="9" t="s">
        <v>85</v>
      </c>
      <c r="V71" s="9" t="s">
        <v>85</v>
      </c>
      <c r="W71" s="9" t="s">
        <v>85</v>
      </c>
      <c r="X71" s="9">
        <v>0.804878</v>
      </c>
      <c r="Y71" s="9" t="s">
        <v>85</v>
      </c>
      <c r="Z71" s="9" t="s">
        <v>85</v>
      </c>
      <c r="AA71" s="9">
        <v>0.809756</v>
      </c>
      <c r="AB71" s="10" t="s">
        <v>85</v>
      </c>
      <c r="AC71" s="10" t="s">
        <v>85</v>
      </c>
      <c r="AD71" s="9" t="s">
        <v>85</v>
      </c>
      <c r="AE71" s="9" t="s">
        <v>85</v>
      </c>
      <c r="AF71" s="9" t="s">
        <v>85</v>
      </c>
      <c r="AG71" s="9" t="s">
        <v>85</v>
      </c>
      <c r="AH71" s="9" t="s">
        <v>85</v>
      </c>
      <c r="AI71" s="9" t="s">
        <v>85</v>
      </c>
      <c r="AJ71" s="9">
        <v>0.765854</v>
      </c>
      <c r="AK71" s="9" t="s">
        <v>85</v>
      </c>
      <c r="AL71" s="9" t="s">
        <v>85</v>
      </c>
      <c r="AM71" s="9">
        <v>0.780488</v>
      </c>
      <c r="AN71" s="9" t="s">
        <v>85</v>
      </c>
      <c r="AO71" s="9" t="s">
        <v>85</v>
      </c>
      <c r="AP71" s="9" t="s">
        <v>85</v>
      </c>
      <c r="AQ71" s="9" t="s">
        <v>85</v>
      </c>
      <c r="AR71" s="9" t="s">
        <v>85</v>
      </c>
      <c r="AS71" s="9" t="s">
        <v>85</v>
      </c>
      <c r="AT71" s="9" t="s">
        <v>85</v>
      </c>
      <c r="AU71" s="9" t="s">
        <v>85</v>
      </c>
      <c r="AV71" s="9">
        <v>0.785366</v>
      </c>
      <c r="AW71" s="9" t="s">
        <v>85</v>
      </c>
      <c r="AX71" s="9" t="s">
        <v>85</v>
      </c>
      <c r="AY71" s="9">
        <v>0.678049</v>
      </c>
      <c r="AZ71" s="9" t="s">
        <v>85</v>
      </c>
      <c r="BA71" s="9" t="s">
        <v>85</v>
      </c>
      <c r="BB71" s="9" t="s">
        <v>85</v>
      </c>
      <c r="BC71" s="10" t="s">
        <v>85</v>
      </c>
      <c r="BD71" s="10" t="s">
        <v>85</v>
      </c>
      <c r="BE71" s="10" t="s">
        <v>85</v>
      </c>
      <c r="BF71" s="10" t="s">
        <v>85</v>
      </c>
      <c r="BG71" s="10" t="s">
        <v>85</v>
      </c>
      <c r="BH71" s="9" t="s">
        <v>85</v>
      </c>
      <c r="BI71" s="6"/>
      <c r="BJ71" s="6" t="str">
        <f t="shared" si="1"/>
        <v>8VB_One_Acc</v>
      </c>
      <c r="BK71" s="6" t="str">
        <f t="shared" si="2"/>
        <v>8V_One_Acc</v>
      </c>
      <c r="BL71" s="6" t="str">
        <f t="shared" si="3"/>
        <v>5VB_One_Acc</v>
      </c>
      <c r="BM71" s="6"/>
      <c r="BN71" s="6">
        <f t="shared" si="4"/>
        <v>8</v>
      </c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</row>
    <row r="72" ht="15.75" customHeight="1">
      <c r="A72" s="1" t="s">
        <v>166</v>
      </c>
      <c r="B72" s="17">
        <v>2844.0</v>
      </c>
      <c r="C72" s="17">
        <v>4.0</v>
      </c>
      <c r="D72" s="9" t="s">
        <v>85</v>
      </c>
      <c r="E72" s="9" t="s">
        <v>85</v>
      </c>
      <c r="F72" s="9" t="s">
        <v>85</v>
      </c>
      <c r="G72" s="9" t="s">
        <v>85</v>
      </c>
      <c r="H72" s="9" t="s">
        <v>85</v>
      </c>
      <c r="I72" s="9" t="s">
        <v>85</v>
      </c>
      <c r="J72" s="9" t="s">
        <v>85</v>
      </c>
      <c r="K72" s="9" t="s">
        <v>85</v>
      </c>
      <c r="L72" s="9">
        <v>0.6</v>
      </c>
      <c r="M72" s="9" t="s">
        <v>85</v>
      </c>
      <c r="N72" s="9" t="s">
        <v>85</v>
      </c>
      <c r="O72" s="9">
        <v>0.54</v>
      </c>
      <c r="P72" s="9" t="s">
        <v>85</v>
      </c>
      <c r="Q72" s="9" t="s">
        <v>85</v>
      </c>
      <c r="R72" s="9" t="s">
        <v>85</v>
      </c>
      <c r="S72" s="9" t="s">
        <v>85</v>
      </c>
      <c r="T72" s="9" t="s">
        <v>85</v>
      </c>
      <c r="U72" s="9" t="s">
        <v>85</v>
      </c>
      <c r="V72" s="9" t="s">
        <v>85</v>
      </c>
      <c r="W72" s="9" t="s">
        <v>85</v>
      </c>
      <c r="X72" s="9">
        <v>0.56</v>
      </c>
      <c r="Y72" s="9" t="s">
        <v>85</v>
      </c>
      <c r="Z72" s="9" t="s">
        <v>85</v>
      </c>
      <c r="AA72" s="9">
        <v>0.58</v>
      </c>
      <c r="AB72" s="10" t="s">
        <v>85</v>
      </c>
      <c r="AC72" s="10" t="s">
        <v>85</v>
      </c>
      <c r="AD72" s="9" t="s">
        <v>85</v>
      </c>
      <c r="AE72" s="9" t="s">
        <v>85</v>
      </c>
      <c r="AF72" s="9" t="s">
        <v>85</v>
      </c>
      <c r="AG72" s="9" t="s">
        <v>85</v>
      </c>
      <c r="AH72" s="9" t="s">
        <v>85</v>
      </c>
      <c r="AI72" s="9" t="s">
        <v>85</v>
      </c>
      <c r="AJ72" s="9">
        <v>0.66</v>
      </c>
      <c r="AK72" s="9" t="s">
        <v>85</v>
      </c>
      <c r="AL72" s="9" t="s">
        <v>85</v>
      </c>
      <c r="AM72" s="9">
        <v>0.68</v>
      </c>
      <c r="AN72" s="9" t="s">
        <v>85</v>
      </c>
      <c r="AO72" s="9" t="s">
        <v>85</v>
      </c>
      <c r="AP72" s="9" t="s">
        <v>85</v>
      </c>
      <c r="AQ72" s="9" t="s">
        <v>85</v>
      </c>
      <c r="AR72" s="9" t="s">
        <v>85</v>
      </c>
      <c r="AS72" s="9" t="s">
        <v>85</v>
      </c>
      <c r="AT72" s="9" t="s">
        <v>85</v>
      </c>
      <c r="AU72" s="9" t="s">
        <v>85</v>
      </c>
      <c r="AV72" s="9">
        <v>0.66</v>
      </c>
      <c r="AW72" s="9" t="s">
        <v>85</v>
      </c>
      <c r="AX72" s="9" t="s">
        <v>85</v>
      </c>
      <c r="AY72" s="9">
        <v>0.66</v>
      </c>
      <c r="AZ72" s="9" t="s">
        <v>85</v>
      </c>
      <c r="BA72" s="9" t="s">
        <v>85</v>
      </c>
      <c r="BB72" s="9" t="s">
        <v>85</v>
      </c>
      <c r="BC72" s="10" t="s">
        <v>85</v>
      </c>
      <c r="BD72" s="10" t="s">
        <v>85</v>
      </c>
      <c r="BE72" s="10" t="s">
        <v>85</v>
      </c>
      <c r="BF72" s="10" t="s">
        <v>85</v>
      </c>
      <c r="BG72" s="10" t="s">
        <v>85</v>
      </c>
      <c r="BH72" s="9" t="s">
        <v>85</v>
      </c>
      <c r="BI72" s="6"/>
      <c r="BJ72" s="6" t="str">
        <f t="shared" si="1"/>
        <v>10VB_One_Acc</v>
      </c>
      <c r="BK72" s="6" t="str">
        <f t="shared" si="2"/>
        <v>10V_One_Acc</v>
      </c>
      <c r="BL72" s="6" t="str">
        <f t="shared" si="3"/>
        <v>10V_One_Acc</v>
      </c>
      <c r="BM72" s="6"/>
      <c r="BN72" s="6">
        <f t="shared" si="4"/>
        <v>10</v>
      </c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</row>
    <row r="73" ht="15.75" customHeight="1">
      <c r="A73" s="1" t="s">
        <v>167</v>
      </c>
      <c r="B73" s="17">
        <v>720.0</v>
      </c>
      <c r="C73" s="17">
        <v>3.0</v>
      </c>
      <c r="D73" s="9" t="s">
        <v>85</v>
      </c>
      <c r="E73" s="9" t="s">
        <v>85</v>
      </c>
      <c r="F73" s="9" t="s">
        <v>85</v>
      </c>
      <c r="G73" s="9" t="s">
        <v>85</v>
      </c>
      <c r="H73" s="9" t="s">
        <v>85</v>
      </c>
      <c r="I73" s="9" t="s">
        <v>85</v>
      </c>
      <c r="J73" s="9" t="s">
        <v>85</v>
      </c>
      <c r="K73" s="9" t="s">
        <v>85</v>
      </c>
      <c r="L73" s="9">
        <v>0.469333</v>
      </c>
      <c r="M73" s="9" t="s">
        <v>85</v>
      </c>
      <c r="N73" s="9" t="s">
        <v>85</v>
      </c>
      <c r="O73" s="9">
        <v>0.448</v>
      </c>
      <c r="P73" s="9" t="s">
        <v>85</v>
      </c>
      <c r="Q73" s="9" t="s">
        <v>85</v>
      </c>
      <c r="R73" s="9" t="s">
        <v>85</v>
      </c>
      <c r="S73" s="9" t="s">
        <v>85</v>
      </c>
      <c r="T73" s="9" t="s">
        <v>85</v>
      </c>
      <c r="U73" s="9" t="s">
        <v>85</v>
      </c>
      <c r="V73" s="9" t="s">
        <v>85</v>
      </c>
      <c r="W73" s="9" t="s">
        <v>85</v>
      </c>
      <c r="X73" s="9">
        <v>0.418667</v>
      </c>
      <c r="Y73" s="9" t="s">
        <v>85</v>
      </c>
      <c r="Z73" s="9" t="s">
        <v>85</v>
      </c>
      <c r="AA73" s="9">
        <v>0.448</v>
      </c>
      <c r="AB73" s="10" t="s">
        <v>85</v>
      </c>
      <c r="AC73" s="10" t="s">
        <v>85</v>
      </c>
      <c r="AD73" s="9" t="s">
        <v>85</v>
      </c>
      <c r="AE73" s="9" t="s">
        <v>85</v>
      </c>
      <c r="AF73" s="9" t="s">
        <v>85</v>
      </c>
      <c r="AG73" s="9" t="s">
        <v>85</v>
      </c>
      <c r="AH73" s="9" t="s">
        <v>85</v>
      </c>
      <c r="AI73" s="9" t="s">
        <v>85</v>
      </c>
      <c r="AJ73" s="9">
        <v>0.48</v>
      </c>
      <c r="AK73" s="9" t="s">
        <v>85</v>
      </c>
      <c r="AL73" s="9" t="s">
        <v>85</v>
      </c>
      <c r="AM73" s="9">
        <v>0.453333</v>
      </c>
      <c r="AN73" s="9" t="s">
        <v>85</v>
      </c>
      <c r="AO73" s="9" t="s">
        <v>85</v>
      </c>
      <c r="AP73" s="9" t="s">
        <v>85</v>
      </c>
      <c r="AQ73" s="9" t="s">
        <v>85</v>
      </c>
      <c r="AR73" s="9" t="s">
        <v>85</v>
      </c>
      <c r="AS73" s="9" t="s">
        <v>85</v>
      </c>
      <c r="AT73" s="9" t="s">
        <v>85</v>
      </c>
      <c r="AU73" s="9" t="s">
        <v>85</v>
      </c>
      <c r="AV73" s="9">
        <v>0.456</v>
      </c>
      <c r="AW73" s="9" t="s">
        <v>85</v>
      </c>
      <c r="AX73" s="9" t="s">
        <v>85</v>
      </c>
      <c r="AY73" s="9">
        <v>0.461333</v>
      </c>
      <c r="AZ73" s="9" t="s">
        <v>85</v>
      </c>
      <c r="BA73" s="9" t="s">
        <v>85</v>
      </c>
      <c r="BB73" s="9" t="s">
        <v>85</v>
      </c>
      <c r="BC73" s="10" t="s">
        <v>85</v>
      </c>
      <c r="BD73" s="10" t="s">
        <v>85</v>
      </c>
      <c r="BE73" s="10" t="s">
        <v>85</v>
      </c>
      <c r="BF73" s="10" t="s">
        <v>85</v>
      </c>
      <c r="BG73" s="10" t="s">
        <v>85</v>
      </c>
      <c r="BH73" s="9" t="s">
        <v>85</v>
      </c>
      <c r="BI73" s="6"/>
      <c r="BJ73" s="6" t="str">
        <f t="shared" si="1"/>
        <v>10V_One_Acc</v>
      </c>
      <c r="BK73" s="6" t="str">
        <f t="shared" si="2"/>
        <v>5V_One_Acc</v>
      </c>
      <c r="BL73" s="6" t="str">
        <f t="shared" si="3"/>
        <v>12VB_One_Acc</v>
      </c>
      <c r="BM73" s="6"/>
      <c r="BN73" s="6">
        <f t="shared" si="4"/>
        <v>10</v>
      </c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</row>
    <row r="74" ht="15.75" customHeight="1">
      <c r="A74" s="1" t="s">
        <v>168</v>
      </c>
      <c r="B74" s="17">
        <v>1500.0</v>
      </c>
      <c r="C74" s="17">
        <v>2.0</v>
      </c>
      <c r="D74" s="9" t="s">
        <v>85</v>
      </c>
      <c r="E74" s="9" t="s">
        <v>85</v>
      </c>
      <c r="F74" s="9" t="s">
        <v>85</v>
      </c>
      <c r="G74" s="9" t="s">
        <v>85</v>
      </c>
      <c r="H74" s="9" t="s">
        <v>85</v>
      </c>
      <c r="I74" s="9" t="s">
        <v>85</v>
      </c>
      <c r="J74" s="9" t="s">
        <v>85</v>
      </c>
      <c r="K74" s="9" t="s">
        <v>85</v>
      </c>
      <c r="L74" s="9">
        <v>0.896667</v>
      </c>
      <c r="M74" s="9" t="s">
        <v>85</v>
      </c>
      <c r="N74" s="9" t="s">
        <v>85</v>
      </c>
      <c r="O74" s="9">
        <v>0.903333</v>
      </c>
      <c r="P74" s="9" t="s">
        <v>85</v>
      </c>
      <c r="Q74" s="9" t="s">
        <v>85</v>
      </c>
      <c r="R74" s="9" t="s">
        <v>85</v>
      </c>
      <c r="S74" s="9" t="s">
        <v>85</v>
      </c>
      <c r="T74" s="9" t="s">
        <v>85</v>
      </c>
      <c r="U74" s="9" t="s">
        <v>85</v>
      </c>
      <c r="V74" s="9" t="s">
        <v>85</v>
      </c>
      <c r="W74" s="9" t="s">
        <v>85</v>
      </c>
      <c r="X74" s="9">
        <v>0.92</v>
      </c>
      <c r="Y74" s="9" t="s">
        <v>85</v>
      </c>
      <c r="Z74" s="9" t="s">
        <v>85</v>
      </c>
      <c r="AA74" s="9">
        <v>0.916667</v>
      </c>
      <c r="AB74" s="10" t="s">
        <v>85</v>
      </c>
      <c r="AC74" s="10" t="s">
        <v>85</v>
      </c>
      <c r="AD74" s="9" t="s">
        <v>85</v>
      </c>
      <c r="AE74" s="9" t="s">
        <v>85</v>
      </c>
      <c r="AF74" s="9" t="s">
        <v>85</v>
      </c>
      <c r="AG74" s="9" t="s">
        <v>85</v>
      </c>
      <c r="AH74" s="9" t="s">
        <v>85</v>
      </c>
      <c r="AI74" s="9" t="s">
        <v>85</v>
      </c>
      <c r="AJ74" s="9">
        <v>0.913333</v>
      </c>
      <c r="AK74" s="9" t="s">
        <v>85</v>
      </c>
      <c r="AL74" s="9" t="s">
        <v>85</v>
      </c>
      <c r="AM74" s="9">
        <v>0.913333</v>
      </c>
      <c r="AN74" s="9" t="s">
        <v>85</v>
      </c>
      <c r="AO74" s="9" t="s">
        <v>85</v>
      </c>
      <c r="AP74" s="9" t="s">
        <v>85</v>
      </c>
      <c r="AQ74" s="9" t="s">
        <v>85</v>
      </c>
      <c r="AR74" s="9" t="s">
        <v>85</v>
      </c>
      <c r="AS74" s="9" t="s">
        <v>85</v>
      </c>
      <c r="AT74" s="9" t="s">
        <v>85</v>
      </c>
      <c r="AU74" s="9" t="s">
        <v>85</v>
      </c>
      <c r="AV74" s="9">
        <v>0.906667</v>
      </c>
      <c r="AW74" s="9" t="s">
        <v>85</v>
      </c>
      <c r="AX74" s="9" t="s">
        <v>85</v>
      </c>
      <c r="AY74" s="9">
        <v>0.916667</v>
      </c>
      <c r="AZ74" s="9" t="s">
        <v>85</v>
      </c>
      <c r="BA74" s="9" t="s">
        <v>85</v>
      </c>
      <c r="BB74" s="9" t="s">
        <v>85</v>
      </c>
      <c r="BC74" s="10" t="s">
        <v>85</v>
      </c>
      <c r="BD74" s="10" t="s">
        <v>85</v>
      </c>
      <c r="BE74" s="10" t="s">
        <v>85</v>
      </c>
      <c r="BF74" s="10" t="s">
        <v>85</v>
      </c>
      <c r="BG74" s="10" t="s">
        <v>85</v>
      </c>
      <c r="BH74" s="9" t="s">
        <v>85</v>
      </c>
      <c r="BI74" s="6"/>
      <c r="BJ74" s="6" t="str">
        <f t="shared" si="1"/>
        <v>8V_One_Acc</v>
      </c>
      <c r="BK74" s="6" t="str">
        <f t="shared" si="2"/>
        <v>8VB_One_Acc</v>
      </c>
      <c r="BL74" s="6" t="str">
        <f t="shared" si="3"/>
        <v>8VB_One_Acc</v>
      </c>
      <c r="BM74" s="6"/>
      <c r="BN74" s="6">
        <f t="shared" si="4"/>
        <v>8</v>
      </c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</row>
    <row r="75" ht="15.75" customHeight="1">
      <c r="A75" s="1" t="s">
        <v>169</v>
      </c>
      <c r="B75" s="17">
        <v>1500.0</v>
      </c>
      <c r="C75" s="17">
        <v>6.0</v>
      </c>
      <c r="D75" s="9" t="s">
        <v>85</v>
      </c>
      <c r="E75" s="9" t="s">
        <v>85</v>
      </c>
      <c r="F75" s="9" t="s">
        <v>85</v>
      </c>
      <c r="G75" s="9" t="s">
        <v>85</v>
      </c>
      <c r="H75" s="9" t="s">
        <v>85</v>
      </c>
      <c r="I75" s="9" t="s">
        <v>85</v>
      </c>
      <c r="J75" s="9" t="s">
        <v>85</v>
      </c>
      <c r="K75" s="9" t="s">
        <v>85</v>
      </c>
      <c r="L75" s="9">
        <v>0.637778</v>
      </c>
      <c r="M75" s="9" t="s">
        <v>85</v>
      </c>
      <c r="N75" s="9" t="s">
        <v>85</v>
      </c>
      <c r="O75" s="9">
        <v>0.515556</v>
      </c>
      <c r="P75" s="9" t="s">
        <v>85</v>
      </c>
      <c r="Q75" s="9" t="s">
        <v>85</v>
      </c>
      <c r="R75" s="9" t="s">
        <v>85</v>
      </c>
      <c r="S75" s="9" t="s">
        <v>85</v>
      </c>
      <c r="T75" s="9" t="s">
        <v>85</v>
      </c>
      <c r="U75" s="9" t="s">
        <v>85</v>
      </c>
      <c r="V75" s="9" t="s">
        <v>85</v>
      </c>
      <c r="W75" s="9" t="s">
        <v>85</v>
      </c>
      <c r="X75" s="9">
        <v>0.355556</v>
      </c>
      <c r="Y75" s="9" t="s">
        <v>85</v>
      </c>
      <c r="Z75" s="9" t="s">
        <v>85</v>
      </c>
      <c r="AA75" s="9">
        <v>0.286667</v>
      </c>
      <c r="AB75" s="10" t="s">
        <v>85</v>
      </c>
      <c r="AC75" s="10" t="s">
        <v>85</v>
      </c>
      <c r="AD75" s="9" t="s">
        <v>85</v>
      </c>
      <c r="AE75" s="9" t="s">
        <v>85</v>
      </c>
      <c r="AF75" s="9" t="s">
        <v>85</v>
      </c>
      <c r="AG75" s="9" t="s">
        <v>85</v>
      </c>
      <c r="AH75" s="9" t="s">
        <v>85</v>
      </c>
      <c r="AI75" s="9" t="s">
        <v>85</v>
      </c>
      <c r="AJ75" s="9">
        <v>0.362222</v>
      </c>
      <c r="AK75" s="9" t="s">
        <v>85</v>
      </c>
      <c r="AL75" s="9" t="s">
        <v>85</v>
      </c>
      <c r="AM75" s="9">
        <v>0.442222</v>
      </c>
      <c r="AN75" s="9" t="s">
        <v>85</v>
      </c>
      <c r="AO75" s="9" t="s">
        <v>85</v>
      </c>
      <c r="AP75" s="9" t="s">
        <v>85</v>
      </c>
      <c r="AQ75" s="9" t="s">
        <v>85</v>
      </c>
      <c r="AR75" s="9" t="s">
        <v>85</v>
      </c>
      <c r="AS75" s="9" t="s">
        <v>85</v>
      </c>
      <c r="AT75" s="9" t="s">
        <v>85</v>
      </c>
      <c r="AU75" s="9" t="s">
        <v>85</v>
      </c>
      <c r="AV75" s="9">
        <v>0.493333</v>
      </c>
      <c r="AW75" s="9" t="s">
        <v>85</v>
      </c>
      <c r="AX75" s="9" t="s">
        <v>85</v>
      </c>
      <c r="AY75" s="9">
        <v>0.491111</v>
      </c>
      <c r="AZ75" s="9" t="s">
        <v>85</v>
      </c>
      <c r="BA75" s="9" t="s">
        <v>85</v>
      </c>
      <c r="BB75" s="9" t="s">
        <v>85</v>
      </c>
      <c r="BC75" s="10" t="s">
        <v>85</v>
      </c>
      <c r="BD75" s="10" t="s">
        <v>85</v>
      </c>
      <c r="BE75" s="10" t="s">
        <v>85</v>
      </c>
      <c r="BF75" s="10" t="s">
        <v>85</v>
      </c>
      <c r="BG75" s="10" t="s">
        <v>85</v>
      </c>
      <c r="BH75" s="9" t="s">
        <v>85</v>
      </c>
      <c r="BI75" s="6"/>
      <c r="BJ75" s="6" t="str">
        <f t="shared" si="1"/>
        <v>5V_One_Acc</v>
      </c>
      <c r="BK75" s="6" t="str">
        <f t="shared" si="2"/>
        <v>5VB_One_Acc</v>
      </c>
      <c r="BL75" s="6" t="str">
        <f t="shared" si="3"/>
        <v>12V_One_Acc</v>
      </c>
      <c r="BM75" s="6"/>
      <c r="BN75" s="6">
        <f t="shared" si="4"/>
        <v>5</v>
      </c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</row>
    <row r="76" ht="15.75" customHeight="1">
      <c r="A76" s="1" t="s">
        <v>170</v>
      </c>
      <c r="B76" s="17">
        <v>1500.0</v>
      </c>
      <c r="C76" s="17">
        <v>5.0</v>
      </c>
      <c r="D76" s="9" t="s">
        <v>85</v>
      </c>
      <c r="E76" s="9" t="s">
        <v>85</v>
      </c>
      <c r="F76" s="9" t="s">
        <v>85</v>
      </c>
      <c r="G76" s="9" t="s">
        <v>85</v>
      </c>
      <c r="H76" s="9" t="s">
        <v>85</v>
      </c>
      <c r="I76" s="9" t="s">
        <v>85</v>
      </c>
      <c r="J76" s="9" t="s">
        <v>85</v>
      </c>
      <c r="K76" s="9" t="s">
        <v>85</v>
      </c>
      <c r="L76" s="9">
        <v>0.846667</v>
      </c>
      <c r="M76" s="9" t="s">
        <v>85</v>
      </c>
      <c r="N76" s="9" t="s">
        <v>85</v>
      </c>
      <c r="O76" s="9">
        <v>0.833333</v>
      </c>
      <c r="P76" s="9" t="s">
        <v>85</v>
      </c>
      <c r="Q76" s="9" t="s">
        <v>85</v>
      </c>
      <c r="R76" s="9" t="s">
        <v>85</v>
      </c>
      <c r="S76" s="9" t="s">
        <v>85</v>
      </c>
      <c r="T76" s="9" t="s">
        <v>85</v>
      </c>
      <c r="U76" s="9" t="s">
        <v>85</v>
      </c>
      <c r="V76" s="9" t="s">
        <v>85</v>
      </c>
      <c r="W76" s="9" t="s">
        <v>85</v>
      </c>
      <c r="X76" s="9">
        <v>0.822222</v>
      </c>
      <c r="Y76" s="9" t="s">
        <v>85</v>
      </c>
      <c r="Z76" s="9" t="s">
        <v>85</v>
      </c>
      <c r="AA76" s="9">
        <v>0.815556</v>
      </c>
      <c r="AB76" s="10" t="s">
        <v>85</v>
      </c>
      <c r="AC76" s="10" t="s">
        <v>85</v>
      </c>
      <c r="AD76" s="9" t="s">
        <v>85</v>
      </c>
      <c r="AE76" s="9" t="s">
        <v>85</v>
      </c>
      <c r="AF76" s="9" t="s">
        <v>85</v>
      </c>
      <c r="AG76" s="9" t="s">
        <v>85</v>
      </c>
      <c r="AH76" s="9" t="s">
        <v>85</v>
      </c>
      <c r="AI76" s="9" t="s">
        <v>85</v>
      </c>
      <c r="AJ76" s="9">
        <v>0.851111</v>
      </c>
      <c r="AK76" s="9" t="s">
        <v>85</v>
      </c>
      <c r="AL76" s="9" t="s">
        <v>85</v>
      </c>
      <c r="AM76" s="9">
        <v>0.784444</v>
      </c>
      <c r="AN76" s="9" t="s">
        <v>85</v>
      </c>
      <c r="AO76" s="9" t="s">
        <v>85</v>
      </c>
      <c r="AP76" s="9" t="s">
        <v>85</v>
      </c>
      <c r="AQ76" s="9" t="s">
        <v>85</v>
      </c>
      <c r="AR76" s="9" t="s">
        <v>85</v>
      </c>
      <c r="AS76" s="9" t="s">
        <v>85</v>
      </c>
      <c r="AT76" s="9" t="s">
        <v>85</v>
      </c>
      <c r="AU76" s="9" t="s">
        <v>85</v>
      </c>
      <c r="AV76" s="9">
        <v>0.855556</v>
      </c>
      <c r="AW76" s="9" t="s">
        <v>85</v>
      </c>
      <c r="AX76" s="9" t="s">
        <v>85</v>
      </c>
      <c r="AY76" s="9">
        <v>0.831111</v>
      </c>
      <c r="AZ76" s="9" t="s">
        <v>85</v>
      </c>
      <c r="BA76" s="9" t="s">
        <v>85</v>
      </c>
      <c r="BB76" s="9" t="s">
        <v>85</v>
      </c>
      <c r="BC76" s="10" t="s">
        <v>85</v>
      </c>
      <c r="BD76" s="10" t="s">
        <v>85</v>
      </c>
      <c r="BE76" s="10" t="s">
        <v>85</v>
      </c>
      <c r="BF76" s="10" t="s">
        <v>85</v>
      </c>
      <c r="BG76" s="10" t="s">
        <v>85</v>
      </c>
      <c r="BH76" s="9" t="s">
        <v>85</v>
      </c>
      <c r="BI76" s="6"/>
      <c r="BJ76" s="6" t="str">
        <f t="shared" si="1"/>
        <v>12V_One_Acc</v>
      </c>
      <c r="BK76" s="6" t="str">
        <f t="shared" si="2"/>
        <v>10V_One_Acc</v>
      </c>
      <c r="BL76" s="6" t="str">
        <f t="shared" si="3"/>
        <v>5V_One_Acc</v>
      </c>
      <c r="BM76" s="6"/>
      <c r="BN76" s="6">
        <f t="shared" si="4"/>
        <v>12</v>
      </c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</row>
    <row r="77" ht="15.75" customHeight="1">
      <c r="A77" s="1" t="s">
        <v>171</v>
      </c>
      <c r="B77" s="17">
        <v>500.0</v>
      </c>
      <c r="C77" s="17">
        <v>2.0</v>
      </c>
      <c r="D77" s="9" t="s">
        <v>85</v>
      </c>
      <c r="E77" s="9" t="s">
        <v>85</v>
      </c>
      <c r="F77" s="9" t="s">
        <v>85</v>
      </c>
      <c r="G77" s="9" t="s">
        <v>85</v>
      </c>
      <c r="H77" s="9" t="s">
        <v>85</v>
      </c>
      <c r="I77" s="9" t="s">
        <v>85</v>
      </c>
      <c r="J77" s="9" t="s">
        <v>85</v>
      </c>
      <c r="K77" s="9" t="s">
        <v>85</v>
      </c>
      <c r="L77" s="9">
        <v>0.511111</v>
      </c>
      <c r="M77" s="9" t="s">
        <v>85</v>
      </c>
      <c r="N77" s="9" t="s">
        <v>85</v>
      </c>
      <c r="O77" s="9">
        <v>0.5</v>
      </c>
      <c r="P77" s="9" t="s">
        <v>85</v>
      </c>
      <c r="Q77" s="9" t="s">
        <v>85</v>
      </c>
      <c r="R77" s="9" t="s">
        <v>85</v>
      </c>
      <c r="S77" s="9" t="s">
        <v>85</v>
      </c>
      <c r="T77" s="9" t="s">
        <v>85</v>
      </c>
      <c r="U77" s="9" t="s">
        <v>85</v>
      </c>
      <c r="V77" s="9" t="s">
        <v>85</v>
      </c>
      <c r="W77" s="9" t="s">
        <v>85</v>
      </c>
      <c r="X77" s="9">
        <v>0.522222</v>
      </c>
      <c r="Y77" s="9" t="s">
        <v>85</v>
      </c>
      <c r="Z77" s="9" t="s">
        <v>85</v>
      </c>
      <c r="AA77" s="9">
        <v>0.5</v>
      </c>
      <c r="AB77" s="10" t="s">
        <v>85</v>
      </c>
      <c r="AC77" s="10" t="s">
        <v>85</v>
      </c>
      <c r="AD77" s="9" t="s">
        <v>85</v>
      </c>
      <c r="AE77" s="9" t="s">
        <v>85</v>
      </c>
      <c r="AF77" s="9" t="s">
        <v>85</v>
      </c>
      <c r="AG77" s="9" t="s">
        <v>85</v>
      </c>
      <c r="AH77" s="9" t="s">
        <v>85</v>
      </c>
      <c r="AI77" s="9" t="s">
        <v>85</v>
      </c>
      <c r="AJ77" s="9">
        <v>0.511111</v>
      </c>
      <c r="AK77" s="9" t="s">
        <v>85</v>
      </c>
      <c r="AL77" s="9" t="s">
        <v>85</v>
      </c>
      <c r="AM77" s="9">
        <v>0.527778</v>
      </c>
      <c r="AN77" s="9" t="s">
        <v>85</v>
      </c>
      <c r="AO77" s="9" t="s">
        <v>85</v>
      </c>
      <c r="AP77" s="9" t="s">
        <v>85</v>
      </c>
      <c r="AQ77" s="9" t="s">
        <v>85</v>
      </c>
      <c r="AR77" s="9" t="s">
        <v>85</v>
      </c>
      <c r="AS77" s="9" t="s">
        <v>85</v>
      </c>
      <c r="AT77" s="9" t="s">
        <v>85</v>
      </c>
      <c r="AU77" s="9" t="s">
        <v>85</v>
      </c>
      <c r="AV77" s="9">
        <v>0.466667</v>
      </c>
      <c r="AW77" s="9" t="s">
        <v>85</v>
      </c>
      <c r="AX77" s="9" t="s">
        <v>85</v>
      </c>
      <c r="AY77" s="9">
        <v>0.477778</v>
      </c>
      <c r="AZ77" s="9" t="s">
        <v>85</v>
      </c>
      <c r="BA77" s="9" t="s">
        <v>85</v>
      </c>
      <c r="BB77" s="9" t="s">
        <v>85</v>
      </c>
      <c r="BC77" s="10" t="s">
        <v>85</v>
      </c>
      <c r="BD77" s="10" t="s">
        <v>85</v>
      </c>
      <c r="BE77" s="10" t="s">
        <v>85</v>
      </c>
      <c r="BF77" s="10" t="s">
        <v>85</v>
      </c>
      <c r="BG77" s="10" t="s">
        <v>85</v>
      </c>
      <c r="BH77" s="9" t="s">
        <v>85</v>
      </c>
      <c r="BI77" s="6"/>
      <c r="BJ77" s="6" t="str">
        <f t="shared" si="1"/>
        <v>10VB_One_Acc</v>
      </c>
      <c r="BK77" s="6" t="str">
        <f t="shared" si="2"/>
        <v>8V_One_Acc</v>
      </c>
      <c r="BL77" s="6" t="str">
        <f t="shared" si="3"/>
        <v>5V_One_Acc</v>
      </c>
      <c r="BM77" s="6"/>
      <c r="BN77" s="6">
        <f t="shared" si="4"/>
        <v>10</v>
      </c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ht="15.75" customHeight="1">
      <c r="A78" s="1" t="s">
        <v>172</v>
      </c>
      <c r="B78" s="17">
        <v>512.0</v>
      </c>
      <c r="C78" s="17">
        <v>60.0</v>
      </c>
      <c r="D78" s="9" t="s">
        <v>85</v>
      </c>
      <c r="E78" s="9" t="s">
        <v>85</v>
      </c>
      <c r="F78" s="9" t="s">
        <v>85</v>
      </c>
      <c r="G78" s="9" t="s">
        <v>85</v>
      </c>
      <c r="H78" s="9" t="s">
        <v>85</v>
      </c>
      <c r="I78" s="9" t="s">
        <v>85</v>
      </c>
      <c r="J78" s="9" t="s">
        <v>85</v>
      </c>
      <c r="K78" s="9" t="s">
        <v>85</v>
      </c>
      <c r="L78" s="9">
        <v>0.405</v>
      </c>
      <c r="M78" s="9" t="s">
        <v>85</v>
      </c>
      <c r="N78" s="9" t="s">
        <v>85</v>
      </c>
      <c r="O78" s="9">
        <v>0.26</v>
      </c>
      <c r="P78" s="9" t="s">
        <v>85</v>
      </c>
      <c r="Q78" s="9" t="s">
        <v>85</v>
      </c>
      <c r="R78" s="9" t="s">
        <v>85</v>
      </c>
      <c r="S78" s="9" t="s">
        <v>85</v>
      </c>
      <c r="T78" s="9" t="s">
        <v>85</v>
      </c>
      <c r="U78" s="9" t="s">
        <v>85</v>
      </c>
      <c r="V78" s="9" t="s">
        <v>85</v>
      </c>
      <c r="W78" s="9" t="s">
        <v>85</v>
      </c>
      <c r="X78" s="9">
        <v>0.47</v>
      </c>
      <c r="Y78" s="9" t="s">
        <v>85</v>
      </c>
      <c r="Z78" s="9" t="s">
        <v>85</v>
      </c>
      <c r="AA78" s="9">
        <v>0.326667</v>
      </c>
      <c r="AB78" s="10" t="s">
        <v>85</v>
      </c>
      <c r="AC78" s="10" t="s">
        <v>85</v>
      </c>
      <c r="AD78" s="9" t="s">
        <v>85</v>
      </c>
      <c r="AE78" s="9" t="s">
        <v>85</v>
      </c>
      <c r="AF78" s="9" t="s">
        <v>85</v>
      </c>
      <c r="AG78" s="9" t="s">
        <v>85</v>
      </c>
      <c r="AH78" s="9" t="s">
        <v>85</v>
      </c>
      <c r="AI78" s="9" t="s">
        <v>85</v>
      </c>
      <c r="AJ78" s="9">
        <v>0.236667</v>
      </c>
      <c r="AK78" s="9" t="s">
        <v>85</v>
      </c>
      <c r="AL78" s="9" t="s">
        <v>85</v>
      </c>
      <c r="AM78" s="9">
        <v>0.465</v>
      </c>
      <c r="AN78" s="9" t="s">
        <v>85</v>
      </c>
      <c r="AO78" s="9" t="s">
        <v>85</v>
      </c>
      <c r="AP78" s="9" t="s">
        <v>85</v>
      </c>
      <c r="AQ78" s="9" t="s">
        <v>85</v>
      </c>
      <c r="AR78" s="9" t="s">
        <v>85</v>
      </c>
      <c r="AS78" s="9" t="s">
        <v>85</v>
      </c>
      <c r="AT78" s="9" t="s">
        <v>85</v>
      </c>
      <c r="AU78" s="9" t="s">
        <v>85</v>
      </c>
      <c r="AV78" s="9">
        <v>0.38</v>
      </c>
      <c r="AW78" s="9" t="s">
        <v>85</v>
      </c>
      <c r="AX78" s="9" t="s">
        <v>85</v>
      </c>
      <c r="AY78" s="9">
        <v>0.463333</v>
      </c>
      <c r="AZ78" s="9" t="s">
        <v>85</v>
      </c>
      <c r="BA78" s="9" t="s">
        <v>85</v>
      </c>
      <c r="BB78" s="9" t="s">
        <v>85</v>
      </c>
      <c r="BC78" s="10" t="s">
        <v>85</v>
      </c>
      <c r="BD78" s="10" t="s">
        <v>85</v>
      </c>
      <c r="BE78" s="10" t="s">
        <v>85</v>
      </c>
      <c r="BF78" s="10" t="s">
        <v>85</v>
      </c>
      <c r="BG78" s="10" t="s">
        <v>85</v>
      </c>
      <c r="BH78" s="9" t="s">
        <v>85</v>
      </c>
      <c r="BI78" s="6"/>
      <c r="BJ78" s="6" t="str">
        <f t="shared" si="1"/>
        <v>8V_One_Acc</v>
      </c>
      <c r="BK78" s="6" t="str">
        <f t="shared" si="2"/>
        <v>10VB_One_Acc</v>
      </c>
      <c r="BL78" s="6" t="str">
        <f t="shared" si="3"/>
        <v>12VB_One_Acc</v>
      </c>
      <c r="BM78" s="6"/>
      <c r="BN78" s="6">
        <f t="shared" si="4"/>
        <v>8</v>
      </c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</row>
    <row r="79" ht="15.75" customHeight="1">
      <c r="A79" s="1" t="s">
        <v>173</v>
      </c>
      <c r="B79" s="17">
        <v>720.0</v>
      </c>
      <c r="C79" s="17">
        <v>3.0</v>
      </c>
      <c r="D79" s="9" t="s">
        <v>85</v>
      </c>
      <c r="E79" s="9" t="s">
        <v>85</v>
      </c>
      <c r="F79" s="9" t="s">
        <v>85</v>
      </c>
      <c r="G79" s="9" t="s">
        <v>85</v>
      </c>
      <c r="H79" s="9" t="s">
        <v>85</v>
      </c>
      <c r="I79" s="9" t="s">
        <v>85</v>
      </c>
      <c r="J79" s="9" t="s">
        <v>85</v>
      </c>
      <c r="K79" s="9" t="s">
        <v>85</v>
      </c>
      <c r="L79" s="9">
        <v>0.752</v>
      </c>
      <c r="M79" s="9" t="s">
        <v>85</v>
      </c>
      <c r="N79" s="9" t="s">
        <v>85</v>
      </c>
      <c r="O79" s="9">
        <v>0.754667</v>
      </c>
      <c r="P79" s="9" t="s">
        <v>85</v>
      </c>
      <c r="Q79" s="9" t="s">
        <v>85</v>
      </c>
      <c r="R79" s="9" t="s">
        <v>85</v>
      </c>
      <c r="S79" s="9" t="s">
        <v>85</v>
      </c>
      <c r="T79" s="9" t="s">
        <v>85</v>
      </c>
      <c r="U79" s="9" t="s">
        <v>85</v>
      </c>
      <c r="V79" s="9" t="s">
        <v>85</v>
      </c>
      <c r="W79" s="9" t="s">
        <v>85</v>
      </c>
      <c r="X79" s="9">
        <v>0.805333</v>
      </c>
      <c r="Y79" s="9" t="s">
        <v>85</v>
      </c>
      <c r="Z79" s="9" t="s">
        <v>85</v>
      </c>
      <c r="AA79" s="9">
        <v>0.797333</v>
      </c>
      <c r="AB79" s="10" t="s">
        <v>85</v>
      </c>
      <c r="AC79" s="10" t="s">
        <v>85</v>
      </c>
      <c r="AD79" s="9" t="s">
        <v>85</v>
      </c>
      <c r="AE79" s="9" t="s">
        <v>85</v>
      </c>
      <c r="AF79" s="9" t="s">
        <v>85</v>
      </c>
      <c r="AG79" s="9" t="s">
        <v>85</v>
      </c>
      <c r="AH79" s="9" t="s">
        <v>85</v>
      </c>
      <c r="AI79" s="9" t="s">
        <v>85</v>
      </c>
      <c r="AJ79" s="9">
        <v>0.792</v>
      </c>
      <c r="AK79" s="9" t="s">
        <v>85</v>
      </c>
      <c r="AL79" s="9" t="s">
        <v>85</v>
      </c>
      <c r="AM79" s="9">
        <v>0.789333</v>
      </c>
      <c r="AN79" s="9" t="s">
        <v>85</v>
      </c>
      <c r="AO79" s="9" t="s">
        <v>85</v>
      </c>
      <c r="AP79" s="9" t="s">
        <v>85</v>
      </c>
      <c r="AQ79" s="9" t="s">
        <v>85</v>
      </c>
      <c r="AR79" s="9" t="s">
        <v>85</v>
      </c>
      <c r="AS79" s="9" t="s">
        <v>85</v>
      </c>
      <c r="AT79" s="9" t="s">
        <v>85</v>
      </c>
      <c r="AU79" s="9" t="s">
        <v>85</v>
      </c>
      <c r="AV79" s="9">
        <v>0.781333</v>
      </c>
      <c r="AW79" s="9" t="s">
        <v>85</v>
      </c>
      <c r="AX79" s="9" t="s">
        <v>85</v>
      </c>
      <c r="AY79" s="9">
        <v>0.768</v>
      </c>
      <c r="AZ79" s="9" t="s">
        <v>85</v>
      </c>
      <c r="BA79" s="9" t="s">
        <v>85</v>
      </c>
      <c r="BB79" s="9" t="s">
        <v>85</v>
      </c>
      <c r="BC79" s="10" t="s">
        <v>85</v>
      </c>
      <c r="BD79" s="10" t="s">
        <v>85</v>
      </c>
      <c r="BE79" s="10" t="s">
        <v>85</v>
      </c>
      <c r="BF79" s="10" t="s">
        <v>85</v>
      </c>
      <c r="BG79" s="10" t="s">
        <v>85</v>
      </c>
      <c r="BH79" s="9" t="s">
        <v>85</v>
      </c>
      <c r="BI79" s="6"/>
      <c r="BJ79" s="6" t="str">
        <f t="shared" si="1"/>
        <v>8V_One_Acc</v>
      </c>
      <c r="BK79" s="6" t="str">
        <f t="shared" si="2"/>
        <v>8VB_One_Acc</v>
      </c>
      <c r="BL79" s="6" t="str">
        <f t="shared" si="3"/>
        <v>10V_One_Acc</v>
      </c>
      <c r="BM79" s="6"/>
      <c r="BN79" s="6">
        <f t="shared" si="4"/>
        <v>8</v>
      </c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</row>
    <row r="80" ht="15.75" customHeight="1">
      <c r="A80" s="1" t="s">
        <v>174</v>
      </c>
      <c r="B80" s="17">
        <v>15.0</v>
      </c>
      <c r="C80" s="17">
        <v>3.0</v>
      </c>
      <c r="D80" s="9" t="s">
        <v>85</v>
      </c>
      <c r="E80" s="9" t="s">
        <v>85</v>
      </c>
      <c r="F80" s="9" t="s">
        <v>85</v>
      </c>
      <c r="G80" s="9" t="s">
        <v>85</v>
      </c>
      <c r="H80" s="9" t="s">
        <v>85</v>
      </c>
      <c r="I80" s="9" t="s">
        <v>85</v>
      </c>
      <c r="J80" s="9" t="s">
        <v>85</v>
      </c>
      <c r="K80" s="9" t="s">
        <v>85</v>
      </c>
      <c r="L80" s="9">
        <v>0.906667</v>
      </c>
      <c r="M80" s="9" t="s">
        <v>85</v>
      </c>
      <c r="N80" s="9" t="s">
        <v>85</v>
      </c>
      <c r="O80" s="9">
        <v>0.946667</v>
      </c>
      <c r="P80" s="9" t="s">
        <v>85</v>
      </c>
      <c r="Q80" s="9" t="s">
        <v>85</v>
      </c>
      <c r="R80" s="9" t="s">
        <v>85</v>
      </c>
      <c r="S80" s="9" t="s">
        <v>85</v>
      </c>
      <c r="T80" s="9" t="s">
        <v>85</v>
      </c>
      <c r="U80" s="9" t="s">
        <v>85</v>
      </c>
      <c r="V80" s="9" t="s">
        <v>85</v>
      </c>
      <c r="W80" s="9" t="s">
        <v>85</v>
      </c>
      <c r="X80" s="9">
        <v>0.34</v>
      </c>
      <c r="Y80" s="9" t="s">
        <v>85</v>
      </c>
      <c r="Z80" s="9" t="s">
        <v>85</v>
      </c>
      <c r="AA80" s="9">
        <v>0.946667</v>
      </c>
      <c r="AB80" s="10" t="s">
        <v>85</v>
      </c>
      <c r="AC80" s="10" t="s">
        <v>85</v>
      </c>
      <c r="AD80" s="9" t="s">
        <v>85</v>
      </c>
      <c r="AE80" s="9" t="s">
        <v>85</v>
      </c>
      <c r="AF80" s="9" t="s">
        <v>85</v>
      </c>
      <c r="AG80" s="9" t="s">
        <v>85</v>
      </c>
      <c r="AH80" s="9" t="s">
        <v>85</v>
      </c>
      <c r="AI80" s="9" t="s">
        <v>85</v>
      </c>
      <c r="AJ80" s="9">
        <v>0.42</v>
      </c>
      <c r="AK80" s="9" t="s">
        <v>85</v>
      </c>
      <c r="AL80" s="9" t="s">
        <v>85</v>
      </c>
      <c r="AM80" s="9">
        <v>0.966667</v>
      </c>
      <c r="AN80" s="9" t="s">
        <v>85</v>
      </c>
      <c r="AO80" s="9" t="s">
        <v>85</v>
      </c>
      <c r="AP80" s="9" t="s">
        <v>85</v>
      </c>
      <c r="AQ80" s="9" t="s">
        <v>85</v>
      </c>
      <c r="AR80" s="9" t="s">
        <v>85</v>
      </c>
      <c r="AS80" s="9" t="s">
        <v>85</v>
      </c>
      <c r="AT80" s="9" t="s">
        <v>85</v>
      </c>
      <c r="AU80" s="9" t="s">
        <v>85</v>
      </c>
      <c r="AV80" s="9">
        <v>0.373333</v>
      </c>
      <c r="AW80" s="9" t="s">
        <v>85</v>
      </c>
      <c r="AX80" s="9" t="s">
        <v>85</v>
      </c>
      <c r="AY80" s="9">
        <v>0.94</v>
      </c>
      <c r="AZ80" s="9" t="s">
        <v>85</v>
      </c>
      <c r="BA80" s="9" t="s">
        <v>85</v>
      </c>
      <c r="BB80" s="9" t="s">
        <v>85</v>
      </c>
      <c r="BC80" s="10" t="s">
        <v>85</v>
      </c>
      <c r="BD80" s="10" t="s">
        <v>85</v>
      </c>
      <c r="BE80" s="10" t="s">
        <v>85</v>
      </c>
      <c r="BF80" s="10" t="s">
        <v>85</v>
      </c>
      <c r="BG80" s="10" t="s">
        <v>85</v>
      </c>
      <c r="BH80" s="9" t="s">
        <v>85</v>
      </c>
      <c r="BI80" s="6"/>
      <c r="BJ80" s="6" t="str">
        <f t="shared" si="1"/>
        <v>10VB_One_Acc</v>
      </c>
      <c r="BK80" s="6" t="str">
        <f t="shared" si="2"/>
        <v>5VB_One_Acc</v>
      </c>
      <c r="BL80" s="6" t="str">
        <f t="shared" si="3"/>
        <v>5VB_One_Acc</v>
      </c>
      <c r="BM80" s="6"/>
      <c r="BN80" s="6">
        <f t="shared" si="4"/>
        <v>10</v>
      </c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</row>
    <row r="81" ht="15.75" customHeight="1">
      <c r="A81" s="1" t="s">
        <v>175</v>
      </c>
      <c r="B81" s="17">
        <v>70.0</v>
      </c>
      <c r="C81" s="17">
        <v>2.0</v>
      </c>
      <c r="D81" s="9" t="s">
        <v>85</v>
      </c>
      <c r="E81" s="9" t="s">
        <v>85</v>
      </c>
      <c r="F81" s="9" t="s">
        <v>85</v>
      </c>
      <c r="G81" s="9" t="s">
        <v>85</v>
      </c>
      <c r="H81" s="9" t="s">
        <v>85</v>
      </c>
      <c r="I81" s="9" t="s">
        <v>85</v>
      </c>
      <c r="J81" s="9" t="s">
        <v>85</v>
      </c>
      <c r="K81" s="9" t="s">
        <v>85</v>
      </c>
      <c r="L81" s="9">
        <v>0.607321</v>
      </c>
      <c r="M81" s="9" t="s">
        <v>85</v>
      </c>
      <c r="N81" s="9" t="s">
        <v>85</v>
      </c>
      <c r="O81" s="9">
        <v>0.627288</v>
      </c>
      <c r="P81" s="9" t="s">
        <v>85</v>
      </c>
      <c r="Q81" s="9" t="s">
        <v>85</v>
      </c>
      <c r="R81" s="9" t="s">
        <v>85</v>
      </c>
      <c r="S81" s="9" t="s">
        <v>85</v>
      </c>
      <c r="T81" s="9" t="s">
        <v>85</v>
      </c>
      <c r="U81" s="9" t="s">
        <v>85</v>
      </c>
      <c r="V81" s="9" t="s">
        <v>85</v>
      </c>
      <c r="W81" s="9" t="s">
        <v>85</v>
      </c>
      <c r="X81" s="9">
        <v>0.524126</v>
      </c>
      <c r="Y81" s="9" t="s">
        <v>85</v>
      </c>
      <c r="Z81" s="9" t="s">
        <v>85</v>
      </c>
      <c r="AA81" s="9">
        <v>0.550749</v>
      </c>
      <c r="AB81" s="10" t="s">
        <v>85</v>
      </c>
      <c r="AC81" s="10" t="s">
        <v>85</v>
      </c>
      <c r="AD81" s="9" t="s">
        <v>85</v>
      </c>
      <c r="AE81" s="9" t="s">
        <v>85</v>
      </c>
      <c r="AF81" s="9" t="s">
        <v>85</v>
      </c>
      <c r="AG81" s="9" t="s">
        <v>85</v>
      </c>
      <c r="AH81" s="9" t="s">
        <v>85</v>
      </c>
      <c r="AI81" s="9" t="s">
        <v>85</v>
      </c>
      <c r="AJ81" s="9">
        <v>0.552413</v>
      </c>
      <c r="AK81" s="9" t="s">
        <v>85</v>
      </c>
      <c r="AL81" s="9" t="s">
        <v>85</v>
      </c>
      <c r="AM81" s="9">
        <v>0.580699</v>
      </c>
      <c r="AN81" s="9" t="s">
        <v>85</v>
      </c>
      <c r="AO81" s="9" t="s">
        <v>85</v>
      </c>
      <c r="AP81" s="9" t="s">
        <v>85</v>
      </c>
      <c r="AQ81" s="9" t="s">
        <v>85</v>
      </c>
      <c r="AR81" s="9" t="s">
        <v>85</v>
      </c>
      <c r="AS81" s="9" t="s">
        <v>85</v>
      </c>
      <c r="AT81" s="9" t="s">
        <v>85</v>
      </c>
      <c r="AU81" s="9" t="s">
        <v>85</v>
      </c>
      <c r="AV81" s="9">
        <v>0.630616</v>
      </c>
      <c r="AW81" s="9" t="s">
        <v>85</v>
      </c>
      <c r="AX81" s="9" t="s">
        <v>85</v>
      </c>
      <c r="AY81" s="9">
        <v>0.677205</v>
      </c>
      <c r="AZ81" s="9" t="s">
        <v>85</v>
      </c>
      <c r="BA81" s="9" t="s">
        <v>85</v>
      </c>
      <c r="BB81" s="9" t="s">
        <v>85</v>
      </c>
      <c r="BC81" s="10" t="s">
        <v>85</v>
      </c>
      <c r="BD81" s="10" t="s">
        <v>85</v>
      </c>
      <c r="BE81" s="10" t="s">
        <v>85</v>
      </c>
      <c r="BF81" s="10" t="s">
        <v>85</v>
      </c>
      <c r="BG81" s="10" t="s">
        <v>85</v>
      </c>
      <c r="BH81" s="9" t="s">
        <v>85</v>
      </c>
      <c r="BI81" s="6"/>
      <c r="BJ81" s="6" t="str">
        <f t="shared" si="1"/>
        <v>12VB_One_Acc</v>
      </c>
      <c r="BK81" s="6" t="str">
        <f t="shared" si="2"/>
        <v>12V_One_Acc</v>
      </c>
      <c r="BL81" s="6" t="str">
        <f t="shared" si="3"/>
        <v>5VB_One_Acc</v>
      </c>
      <c r="BM81" s="6"/>
      <c r="BN81" s="6">
        <f t="shared" si="4"/>
        <v>12</v>
      </c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</row>
    <row r="82" ht="15.75" customHeight="1">
      <c r="A82" s="1" t="s">
        <v>176</v>
      </c>
      <c r="B82" s="17">
        <v>65.0</v>
      </c>
      <c r="C82" s="17">
        <v>2.0</v>
      </c>
      <c r="D82" s="9" t="s">
        <v>85</v>
      </c>
      <c r="E82" s="9" t="s">
        <v>85</v>
      </c>
      <c r="F82" s="9" t="s">
        <v>85</v>
      </c>
      <c r="G82" s="9" t="s">
        <v>85</v>
      </c>
      <c r="H82" s="9" t="s">
        <v>85</v>
      </c>
      <c r="I82" s="9" t="s">
        <v>85</v>
      </c>
      <c r="J82" s="9" t="s">
        <v>85</v>
      </c>
      <c r="K82" s="9" t="s">
        <v>85</v>
      </c>
      <c r="L82" s="9">
        <v>0.766002</v>
      </c>
      <c r="M82" s="9" t="s">
        <v>85</v>
      </c>
      <c r="N82" s="9" t="s">
        <v>85</v>
      </c>
      <c r="O82" s="9">
        <v>0.767051</v>
      </c>
      <c r="P82" s="9" t="s">
        <v>85</v>
      </c>
      <c r="Q82" s="9" t="s">
        <v>85</v>
      </c>
      <c r="R82" s="9" t="s">
        <v>85</v>
      </c>
      <c r="S82" s="9" t="s">
        <v>85</v>
      </c>
      <c r="T82" s="9" t="s">
        <v>85</v>
      </c>
      <c r="U82" s="9" t="s">
        <v>85</v>
      </c>
      <c r="V82" s="9" t="s">
        <v>85</v>
      </c>
      <c r="W82" s="9" t="s">
        <v>85</v>
      </c>
      <c r="X82" s="9">
        <v>0.779643</v>
      </c>
      <c r="Y82" s="9" t="s">
        <v>85</v>
      </c>
      <c r="Z82" s="9" t="s">
        <v>85</v>
      </c>
      <c r="AA82" s="9">
        <v>0.782791</v>
      </c>
      <c r="AB82" s="10" t="s">
        <v>85</v>
      </c>
      <c r="AC82" s="10" t="s">
        <v>85</v>
      </c>
      <c r="AD82" s="9" t="s">
        <v>85</v>
      </c>
      <c r="AE82" s="9" t="s">
        <v>85</v>
      </c>
      <c r="AF82" s="9" t="s">
        <v>85</v>
      </c>
      <c r="AG82" s="9" t="s">
        <v>85</v>
      </c>
      <c r="AH82" s="9" t="s">
        <v>85</v>
      </c>
      <c r="AI82" s="9" t="s">
        <v>85</v>
      </c>
      <c r="AJ82" s="9">
        <v>0.755509</v>
      </c>
      <c r="AK82" s="9" t="s">
        <v>85</v>
      </c>
      <c r="AL82" s="9" t="s">
        <v>85</v>
      </c>
      <c r="AM82" s="9">
        <v>0.743966</v>
      </c>
      <c r="AN82" s="9" t="s">
        <v>85</v>
      </c>
      <c r="AO82" s="9" t="s">
        <v>85</v>
      </c>
      <c r="AP82" s="9" t="s">
        <v>85</v>
      </c>
      <c r="AQ82" s="9" t="s">
        <v>85</v>
      </c>
      <c r="AR82" s="9" t="s">
        <v>85</v>
      </c>
      <c r="AS82" s="9" t="s">
        <v>85</v>
      </c>
      <c r="AT82" s="9" t="s">
        <v>85</v>
      </c>
      <c r="AU82" s="9" t="s">
        <v>85</v>
      </c>
      <c r="AV82" s="9">
        <v>0.795383</v>
      </c>
      <c r="AW82" s="9" t="s">
        <v>85</v>
      </c>
      <c r="AX82" s="9" t="s">
        <v>85</v>
      </c>
      <c r="AY82" s="9">
        <v>0.798531</v>
      </c>
      <c r="AZ82" s="9" t="s">
        <v>85</v>
      </c>
      <c r="BA82" s="9" t="s">
        <v>85</v>
      </c>
      <c r="BB82" s="9" t="s">
        <v>85</v>
      </c>
      <c r="BC82" s="10" t="s">
        <v>85</v>
      </c>
      <c r="BD82" s="10" t="s">
        <v>85</v>
      </c>
      <c r="BE82" s="10" t="s">
        <v>85</v>
      </c>
      <c r="BF82" s="10" t="s">
        <v>85</v>
      </c>
      <c r="BG82" s="10" t="s">
        <v>85</v>
      </c>
      <c r="BH82" s="9" t="s">
        <v>85</v>
      </c>
      <c r="BI82" s="6"/>
      <c r="BJ82" s="6" t="str">
        <f t="shared" si="1"/>
        <v>12VB_One_Acc</v>
      </c>
      <c r="BK82" s="6" t="str">
        <f t="shared" si="2"/>
        <v>12V_One_Acc</v>
      </c>
      <c r="BL82" s="6" t="str">
        <f t="shared" si="3"/>
        <v>8VB_One_Acc</v>
      </c>
      <c r="BM82" s="6"/>
      <c r="BN82" s="6">
        <f t="shared" si="4"/>
        <v>12</v>
      </c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</row>
    <row r="83" ht="15.75" customHeight="1">
      <c r="A83" s="1" t="s">
        <v>177</v>
      </c>
      <c r="B83" s="17">
        <v>1024.0</v>
      </c>
      <c r="C83" s="17">
        <v>3.0</v>
      </c>
      <c r="D83" s="9" t="s">
        <v>85</v>
      </c>
      <c r="E83" s="9" t="s">
        <v>85</v>
      </c>
      <c r="F83" s="9" t="s">
        <v>85</v>
      </c>
      <c r="G83" s="9" t="s">
        <v>85</v>
      </c>
      <c r="H83" s="9" t="s">
        <v>85</v>
      </c>
      <c r="I83" s="9" t="s">
        <v>85</v>
      </c>
      <c r="J83" s="9" t="s">
        <v>85</v>
      </c>
      <c r="K83" s="9" t="s">
        <v>85</v>
      </c>
      <c r="L83" s="9">
        <v>0.930792</v>
      </c>
      <c r="M83" s="9" t="s">
        <v>85</v>
      </c>
      <c r="N83" s="9" t="s">
        <v>85</v>
      </c>
      <c r="O83" s="9">
        <v>0.932127</v>
      </c>
      <c r="P83" s="9" t="s">
        <v>85</v>
      </c>
      <c r="Q83" s="9" t="s">
        <v>85</v>
      </c>
      <c r="R83" s="9" t="s">
        <v>85</v>
      </c>
      <c r="S83" s="9" t="s">
        <v>85</v>
      </c>
      <c r="T83" s="9" t="s">
        <v>85</v>
      </c>
      <c r="U83" s="9" t="s">
        <v>85</v>
      </c>
      <c r="V83" s="9" t="s">
        <v>85</v>
      </c>
      <c r="W83" s="9" t="s">
        <v>85</v>
      </c>
      <c r="X83" s="9">
        <v>0.934556</v>
      </c>
      <c r="Y83" s="9" t="s">
        <v>85</v>
      </c>
      <c r="Z83" s="9" t="s">
        <v>85</v>
      </c>
      <c r="AA83" s="9">
        <v>0.937227</v>
      </c>
      <c r="AB83" s="10" t="s">
        <v>85</v>
      </c>
      <c r="AC83" s="10" t="s">
        <v>85</v>
      </c>
      <c r="AD83" s="9" t="s">
        <v>85</v>
      </c>
      <c r="AE83" s="9" t="s">
        <v>85</v>
      </c>
      <c r="AF83" s="9" t="s">
        <v>85</v>
      </c>
      <c r="AG83" s="9" t="s">
        <v>85</v>
      </c>
      <c r="AH83" s="9" t="s">
        <v>85</v>
      </c>
      <c r="AI83" s="9" t="s">
        <v>85</v>
      </c>
      <c r="AJ83" s="9">
        <v>0.937834</v>
      </c>
      <c r="AK83" s="9" t="s">
        <v>85</v>
      </c>
      <c r="AL83" s="9" t="s">
        <v>85</v>
      </c>
      <c r="AM83" s="9">
        <v>0.939412</v>
      </c>
      <c r="AN83" s="9" t="s">
        <v>85</v>
      </c>
      <c r="AO83" s="9" t="s">
        <v>85</v>
      </c>
      <c r="AP83" s="9" t="s">
        <v>85</v>
      </c>
      <c r="AQ83" s="9" t="s">
        <v>85</v>
      </c>
      <c r="AR83" s="9" t="s">
        <v>85</v>
      </c>
      <c r="AS83" s="9" t="s">
        <v>85</v>
      </c>
      <c r="AT83" s="9" t="s">
        <v>85</v>
      </c>
      <c r="AU83" s="9" t="s">
        <v>85</v>
      </c>
      <c r="AV83" s="9">
        <v>0.95034</v>
      </c>
      <c r="AW83" s="9" t="s">
        <v>85</v>
      </c>
      <c r="AX83" s="9" t="s">
        <v>85</v>
      </c>
      <c r="AY83" s="9">
        <v>0.953254</v>
      </c>
      <c r="AZ83" s="9" t="s">
        <v>85</v>
      </c>
      <c r="BA83" s="9" t="s">
        <v>85</v>
      </c>
      <c r="BB83" s="9" t="s">
        <v>85</v>
      </c>
      <c r="BC83" s="10" t="s">
        <v>85</v>
      </c>
      <c r="BD83" s="10" t="s">
        <v>85</v>
      </c>
      <c r="BE83" s="10" t="s">
        <v>85</v>
      </c>
      <c r="BF83" s="10" t="s">
        <v>85</v>
      </c>
      <c r="BG83" s="10" t="s">
        <v>85</v>
      </c>
      <c r="BH83" s="9" t="s">
        <v>85</v>
      </c>
      <c r="BI83" s="6"/>
      <c r="BJ83" s="6" t="str">
        <f t="shared" si="1"/>
        <v>12VB_One_Acc</v>
      </c>
      <c r="BK83" s="6" t="str">
        <f t="shared" si="2"/>
        <v>12V_One_Acc</v>
      </c>
      <c r="BL83" s="6" t="str">
        <f t="shared" si="3"/>
        <v>10VB_One_Acc</v>
      </c>
      <c r="BM83" s="6"/>
      <c r="BN83" s="6">
        <f t="shared" si="4"/>
        <v>12</v>
      </c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</row>
    <row r="84" ht="15.75" customHeight="1">
      <c r="A84" s="1" t="s">
        <v>178</v>
      </c>
      <c r="B84" s="17">
        <v>235.0</v>
      </c>
      <c r="C84" s="17">
        <v>2.0</v>
      </c>
      <c r="D84" s="9" t="s">
        <v>85</v>
      </c>
      <c r="E84" s="9" t="s">
        <v>85</v>
      </c>
      <c r="F84" s="9" t="s">
        <v>85</v>
      </c>
      <c r="G84" s="9" t="s">
        <v>85</v>
      </c>
      <c r="H84" s="9" t="s">
        <v>85</v>
      </c>
      <c r="I84" s="9" t="s">
        <v>85</v>
      </c>
      <c r="J84" s="9" t="s">
        <v>85</v>
      </c>
      <c r="K84" s="9" t="s">
        <v>85</v>
      </c>
      <c r="L84" s="9">
        <v>0.910811</v>
      </c>
      <c r="M84" s="9" t="s">
        <v>85</v>
      </c>
      <c r="N84" s="9" t="s">
        <v>85</v>
      </c>
      <c r="O84" s="9">
        <v>0.913514</v>
      </c>
      <c r="P84" s="9" t="s">
        <v>85</v>
      </c>
      <c r="Q84" s="9" t="s">
        <v>85</v>
      </c>
      <c r="R84" s="9" t="s">
        <v>85</v>
      </c>
      <c r="S84" s="9" t="s">
        <v>85</v>
      </c>
      <c r="T84" s="9" t="s">
        <v>85</v>
      </c>
      <c r="U84" s="9" t="s">
        <v>85</v>
      </c>
      <c r="V84" s="9" t="s">
        <v>85</v>
      </c>
      <c r="W84" s="9" t="s">
        <v>85</v>
      </c>
      <c r="X84" s="9">
        <v>0.897297</v>
      </c>
      <c r="Y84" s="9" t="s">
        <v>85</v>
      </c>
      <c r="Z84" s="9" t="s">
        <v>85</v>
      </c>
      <c r="AA84" s="9">
        <v>0.910811</v>
      </c>
      <c r="AB84" s="10" t="s">
        <v>85</v>
      </c>
      <c r="AC84" s="10" t="s">
        <v>85</v>
      </c>
      <c r="AD84" s="9" t="s">
        <v>85</v>
      </c>
      <c r="AE84" s="9" t="s">
        <v>85</v>
      </c>
      <c r="AF84" s="9" t="s">
        <v>85</v>
      </c>
      <c r="AG84" s="9" t="s">
        <v>85</v>
      </c>
      <c r="AH84" s="9" t="s">
        <v>85</v>
      </c>
      <c r="AI84" s="9" t="s">
        <v>85</v>
      </c>
      <c r="AJ84" s="9">
        <v>0.918919</v>
      </c>
      <c r="AK84" s="9" t="s">
        <v>85</v>
      </c>
      <c r="AL84" s="9" t="s">
        <v>85</v>
      </c>
      <c r="AM84" s="9">
        <v>0.918919</v>
      </c>
      <c r="AN84" s="9" t="s">
        <v>85</v>
      </c>
      <c r="AO84" s="9" t="s">
        <v>85</v>
      </c>
      <c r="AP84" s="9" t="s">
        <v>85</v>
      </c>
      <c r="AQ84" s="9" t="s">
        <v>85</v>
      </c>
      <c r="AR84" s="9" t="s">
        <v>85</v>
      </c>
      <c r="AS84" s="9" t="s">
        <v>85</v>
      </c>
      <c r="AT84" s="9" t="s">
        <v>85</v>
      </c>
      <c r="AU84" s="9" t="s">
        <v>85</v>
      </c>
      <c r="AV84" s="9">
        <v>0.937838</v>
      </c>
      <c r="AW84" s="9" t="s">
        <v>85</v>
      </c>
      <c r="AX84" s="9" t="s">
        <v>85</v>
      </c>
      <c r="AY84" s="9">
        <v>0.951351</v>
      </c>
      <c r="AZ84" s="9" t="s">
        <v>85</v>
      </c>
      <c r="BA84" s="9" t="s">
        <v>85</v>
      </c>
      <c r="BB84" s="9" t="s">
        <v>85</v>
      </c>
      <c r="BC84" s="10" t="s">
        <v>85</v>
      </c>
      <c r="BD84" s="10" t="s">
        <v>85</v>
      </c>
      <c r="BE84" s="10" t="s">
        <v>85</v>
      </c>
      <c r="BF84" s="10" t="s">
        <v>85</v>
      </c>
      <c r="BG84" s="10" t="s">
        <v>85</v>
      </c>
      <c r="BH84" s="9" t="s">
        <v>85</v>
      </c>
      <c r="BI84" s="6"/>
      <c r="BJ84" s="6" t="str">
        <f t="shared" si="1"/>
        <v>12VB_One_Acc</v>
      </c>
      <c r="BK84" s="6" t="str">
        <f t="shared" si="2"/>
        <v>12V_One_Acc</v>
      </c>
      <c r="BL84" s="6" t="str">
        <f t="shared" si="3"/>
        <v>10V_One_Acc</v>
      </c>
      <c r="BM84" s="6"/>
      <c r="BN84" s="6">
        <f t="shared" si="4"/>
        <v>12</v>
      </c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</row>
    <row r="85" ht="15.75" customHeight="1">
      <c r="A85" s="1" t="s">
        <v>179</v>
      </c>
      <c r="B85" s="17">
        <v>128.0</v>
      </c>
      <c r="C85" s="17">
        <v>15.0</v>
      </c>
      <c r="D85" s="9" t="s">
        <v>85</v>
      </c>
      <c r="E85" s="9" t="s">
        <v>85</v>
      </c>
      <c r="F85" s="9" t="s">
        <v>85</v>
      </c>
      <c r="G85" s="9" t="s">
        <v>85</v>
      </c>
      <c r="H85" s="9" t="s">
        <v>85</v>
      </c>
      <c r="I85" s="9" t="s">
        <v>85</v>
      </c>
      <c r="J85" s="9" t="s">
        <v>85</v>
      </c>
      <c r="K85" s="9" t="s">
        <v>85</v>
      </c>
      <c r="L85" s="9">
        <v>0.7808</v>
      </c>
      <c r="M85" s="9" t="s">
        <v>85</v>
      </c>
      <c r="N85" s="9" t="s">
        <v>85</v>
      </c>
      <c r="O85" s="9">
        <v>0.5424</v>
      </c>
      <c r="P85" s="9" t="s">
        <v>85</v>
      </c>
      <c r="Q85" s="9" t="s">
        <v>85</v>
      </c>
      <c r="R85" s="9" t="s">
        <v>85</v>
      </c>
      <c r="S85" s="9" t="s">
        <v>85</v>
      </c>
      <c r="T85" s="9" t="s">
        <v>85</v>
      </c>
      <c r="U85" s="9" t="s">
        <v>85</v>
      </c>
      <c r="V85" s="9" t="s">
        <v>85</v>
      </c>
      <c r="W85" s="9" t="s">
        <v>85</v>
      </c>
      <c r="X85" s="9">
        <v>0.8352</v>
      </c>
      <c r="Y85" s="9" t="s">
        <v>85</v>
      </c>
      <c r="Z85" s="9" t="s">
        <v>85</v>
      </c>
      <c r="AA85" s="9">
        <v>0.592</v>
      </c>
      <c r="AB85" s="10" t="s">
        <v>85</v>
      </c>
      <c r="AC85" s="10" t="s">
        <v>85</v>
      </c>
      <c r="AD85" s="9" t="s">
        <v>85</v>
      </c>
      <c r="AE85" s="9" t="s">
        <v>85</v>
      </c>
      <c r="AF85" s="9" t="s">
        <v>85</v>
      </c>
      <c r="AG85" s="9" t="s">
        <v>85</v>
      </c>
      <c r="AH85" s="9" t="s">
        <v>85</v>
      </c>
      <c r="AI85" s="9" t="s">
        <v>85</v>
      </c>
      <c r="AJ85" s="9">
        <v>0.7568</v>
      </c>
      <c r="AK85" s="9" t="s">
        <v>85</v>
      </c>
      <c r="AL85" s="9" t="s">
        <v>85</v>
      </c>
      <c r="AM85" s="9">
        <v>0.8288</v>
      </c>
      <c r="AN85" s="9" t="s">
        <v>85</v>
      </c>
      <c r="AO85" s="9" t="s">
        <v>85</v>
      </c>
      <c r="AP85" s="9" t="s">
        <v>85</v>
      </c>
      <c r="AQ85" s="9" t="s">
        <v>85</v>
      </c>
      <c r="AR85" s="9" t="s">
        <v>85</v>
      </c>
      <c r="AS85" s="9" t="s">
        <v>85</v>
      </c>
      <c r="AT85" s="9" t="s">
        <v>85</v>
      </c>
      <c r="AU85" s="9" t="s">
        <v>85</v>
      </c>
      <c r="AV85" s="9">
        <v>0.8272</v>
      </c>
      <c r="AW85" s="9" t="s">
        <v>85</v>
      </c>
      <c r="AX85" s="9" t="s">
        <v>85</v>
      </c>
      <c r="AY85" s="9">
        <v>0.5824</v>
      </c>
      <c r="AZ85" s="9" t="s">
        <v>85</v>
      </c>
      <c r="BA85" s="9" t="s">
        <v>85</v>
      </c>
      <c r="BB85" s="9" t="s">
        <v>85</v>
      </c>
      <c r="BC85" s="10" t="s">
        <v>85</v>
      </c>
      <c r="BD85" s="10" t="s">
        <v>85</v>
      </c>
      <c r="BE85" s="10" t="s">
        <v>85</v>
      </c>
      <c r="BF85" s="10" t="s">
        <v>85</v>
      </c>
      <c r="BG85" s="10" t="s">
        <v>85</v>
      </c>
      <c r="BH85" s="9" t="s">
        <v>85</v>
      </c>
      <c r="BI85" s="6"/>
      <c r="BJ85" s="6" t="str">
        <f t="shared" si="1"/>
        <v>8V_One_Acc</v>
      </c>
      <c r="BK85" s="6" t="str">
        <f t="shared" si="2"/>
        <v>10VB_One_Acc</v>
      </c>
      <c r="BL85" s="6" t="str">
        <f t="shared" si="3"/>
        <v>12V_One_Acc</v>
      </c>
      <c r="BM85" s="6"/>
      <c r="BN85" s="6">
        <f t="shared" si="4"/>
        <v>8</v>
      </c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</row>
    <row r="86" ht="15.75" customHeight="1">
      <c r="A86" s="1" t="s">
        <v>180</v>
      </c>
      <c r="B86" s="17">
        <v>398.0</v>
      </c>
      <c r="C86" s="17">
        <v>6.0</v>
      </c>
      <c r="D86" s="9" t="s">
        <v>85</v>
      </c>
      <c r="E86" s="9" t="s">
        <v>85</v>
      </c>
      <c r="F86" s="9" t="s">
        <v>85</v>
      </c>
      <c r="G86" s="9" t="s">
        <v>85</v>
      </c>
      <c r="H86" s="9" t="s">
        <v>85</v>
      </c>
      <c r="I86" s="9" t="s">
        <v>85</v>
      </c>
      <c r="J86" s="9" t="s">
        <v>85</v>
      </c>
      <c r="K86" s="9" t="s">
        <v>85</v>
      </c>
      <c r="L86" s="9">
        <v>0.747739</v>
      </c>
      <c r="M86" s="9" t="s">
        <v>85</v>
      </c>
      <c r="N86" s="9" t="s">
        <v>85</v>
      </c>
      <c r="O86" s="9">
        <v>0.78995</v>
      </c>
      <c r="P86" s="9" t="s">
        <v>85</v>
      </c>
      <c r="Q86" s="9" t="s">
        <v>85</v>
      </c>
      <c r="R86" s="9" t="s">
        <v>85</v>
      </c>
      <c r="S86" s="9" t="s">
        <v>85</v>
      </c>
      <c r="T86" s="9" t="s">
        <v>85</v>
      </c>
      <c r="U86" s="9" t="s">
        <v>85</v>
      </c>
      <c r="V86" s="9" t="s">
        <v>85</v>
      </c>
      <c r="W86" s="9" t="s">
        <v>85</v>
      </c>
      <c r="X86" s="9">
        <v>0.777889</v>
      </c>
      <c r="Y86" s="9" t="s">
        <v>85</v>
      </c>
      <c r="Z86" s="9" t="s">
        <v>85</v>
      </c>
      <c r="AA86" s="9">
        <v>0.838191</v>
      </c>
      <c r="AB86" s="10" t="s">
        <v>85</v>
      </c>
      <c r="AC86" s="10" t="s">
        <v>85</v>
      </c>
      <c r="AD86" s="9" t="s">
        <v>85</v>
      </c>
      <c r="AE86" s="9" t="s">
        <v>85</v>
      </c>
      <c r="AF86" s="9" t="s">
        <v>85</v>
      </c>
      <c r="AG86" s="9" t="s">
        <v>85</v>
      </c>
      <c r="AH86" s="9" t="s">
        <v>85</v>
      </c>
      <c r="AI86" s="9" t="s">
        <v>85</v>
      </c>
      <c r="AJ86" s="9">
        <v>0.729648</v>
      </c>
      <c r="AK86" s="9" t="s">
        <v>85</v>
      </c>
      <c r="AL86" s="9" t="s">
        <v>85</v>
      </c>
      <c r="AM86" s="9">
        <v>0.776884</v>
      </c>
      <c r="AN86" s="9" t="s">
        <v>85</v>
      </c>
      <c r="AO86" s="9" t="s">
        <v>85</v>
      </c>
      <c r="AP86" s="9" t="s">
        <v>85</v>
      </c>
      <c r="AQ86" s="9" t="s">
        <v>85</v>
      </c>
      <c r="AR86" s="9" t="s">
        <v>85</v>
      </c>
      <c r="AS86" s="9" t="s">
        <v>85</v>
      </c>
      <c r="AT86" s="9" t="s">
        <v>85</v>
      </c>
      <c r="AU86" s="9" t="s">
        <v>85</v>
      </c>
      <c r="AV86" s="9">
        <v>0.780905</v>
      </c>
      <c r="AW86" s="9" t="s">
        <v>85</v>
      </c>
      <c r="AX86" s="9" t="s">
        <v>85</v>
      </c>
      <c r="AY86" s="9">
        <v>0.81407</v>
      </c>
      <c r="AZ86" s="9" t="s">
        <v>85</v>
      </c>
      <c r="BA86" s="9" t="s">
        <v>85</v>
      </c>
      <c r="BB86" s="9" t="s">
        <v>85</v>
      </c>
      <c r="BC86" s="10" t="s">
        <v>85</v>
      </c>
      <c r="BD86" s="10" t="s">
        <v>85</v>
      </c>
      <c r="BE86" s="10" t="s">
        <v>85</v>
      </c>
      <c r="BF86" s="10" t="s">
        <v>85</v>
      </c>
      <c r="BG86" s="10" t="s">
        <v>85</v>
      </c>
      <c r="BH86" s="9" t="s">
        <v>85</v>
      </c>
      <c r="BI86" s="6"/>
      <c r="BJ86" s="6" t="str">
        <f t="shared" si="1"/>
        <v>8VB_One_Acc</v>
      </c>
      <c r="BK86" s="6" t="str">
        <f t="shared" si="2"/>
        <v>12VB_One_Acc</v>
      </c>
      <c r="BL86" s="6" t="str">
        <f t="shared" si="3"/>
        <v>5VB_One_Acc</v>
      </c>
      <c r="BM86" s="6"/>
      <c r="BN86" s="6">
        <f t="shared" si="4"/>
        <v>8</v>
      </c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</row>
    <row r="87" ht="15.75" customHeight="1">
      <c r="A87" s="1" t="s">
        <v>181</v>
      </c>
      <c r="B87" s="17">
        <v>60.0</v>
      </c>
      <c r="C87" s="17">
        <v>6.0</v>
      </c>
      <c r="D87" s="9" t="s">
        <v>85</v>
      </c>
      <c r="E87" s="9" t="s">
        <v>85</v>
      </c>
      <c r="F87" s="9" t="s">
        <v>85</v>
      </c>
      <c r="G87" s="9" t="s">
        <v>85</v>
      </c>
      <c r="H87" s="9" t="s">
        <v>85</v>
      </c>
      <c r="I87" s="9" t="s">
        <v>85</v>
      </c>
      <c r="J87" s="9" t="s">
        <v>85</v>
      </c>
      <c r="K87" s="9" t="s">
        <v>85</v>
      </c>
      <c r="L87" s="9">
        <v>0.94</v>
      </c>
      <c r="M87" s="9" t="s">
        <v>85</v>
      </c>
      <c r="N87" s="9" t="s">
        <v>85</v>
      </c>
      <c r="O87" s="9">
        <v>0.943333</v>
      </c>
      <c r="P87" s="9" t="s">
        <v>85</v>
      </c>
      <c r="Q87" s="9" t="s">
        <v>85</v>
      </c>
      <c r="R87" s="9" t="s">
        <v>85</v>
      </c>
      <c r="S87" s="9" t="s">
        <v>85</v>
      </c>
      <c r="T87" s="9" t="s">
        <v>85</v>
      </c>
      <c r="U87" s="9" t="s">
        <v>85</v>
      </c>
      <c r="V87" s="9" t="s">
        <v>85</v>
      </c>
      <c r="W87" s="9" t="s">
        <v>85</v>
      </c>
      <c r="X87" s="9">
        <v>0.933333</v>
      </c>
      <c r="Y87" s="9" t="s">
        <v>85</v>
      </c>
      <c r="Z87" s="9" t="s">
        <v>85</v>
      </c>
      <c r="AA87" s="9">
        <v>0.93</v>
      </c>
      <c r="AB87" s="10" t="s">
        <v>85</v>
      </c>
      <c r="AC87" s="10" t="s">
        <v>85</v>
      </c>
      <c r="AD87" s="9" t="s">
        <v>85</v>
      </c>
      <c r="AE87" s="9" t="s">
        <v>85</v>
      </c>
      <c r="AF87" s="9" t="s">
        <v>85</v>
      </c>
      <c r="AG87" s="9" t="s">
        <v>85</v>
      </c>
      <c r="AH87" s="9" t="s">
        <v>85</v>
      </c>
      <c r="AI87" s="9" t="s">
        <v>85</v>
      </c>
      <c r="AJ87" s="9">
        <v>0.963333</v>
      </c>
      <c r="AK87" s="9" t="s">
        <v>85</v>
      </c>
      <c r="AL87" s="9" t="s">
        <v>85</v>
      </c>
      <c r="AM87" s="9">
        <v>0.953333</v>
      </c>
      <c r="AN87" s="9" t="s">
        <v>85</v>
      </c>
      <c r="AO87" s="9" t="s">
        <v>85</v>
      </c>
      <c r="AP87" s="9" t="s">
        <v>85</v>
      </c>
      <c r="AQ87" s="9" t="s">
        <v>85</v>
      </c>
      <c r="AR87" s="9" t="s">
        <v>85</v>
      </c>
      <c r="AS87" s="9" t="s">
        <v>85</v>
      </c>
      <c r="AT87" s="9" t="s">
        <v>85</v>
      </c>
      <c r="AU87" s="9" t="s">
        <v>85</v>
      </c>
      <c r="AV87" s="9">
        <v>0.946667</v>
      </c>
      <c r="AW87" s="9" t="s">
        <v>85</v>
      </c>
      <c r="AX87" s="9" t="s">
        <v>85</v>
      </c>
      <c r="AY87" s="9">
        <v>0.956667</v>
      </c>
      <c r="AZ87" s="9" t="s">
        <v>85</v>
      </c>
      <c r="BA87" s="9" t="s">
        <v>85</v>
      </c>
      <c r="BB87" s="9" t="s">
        <v>85</v>
      </c>
      <c r="BC87" s="10" t="s">
        <v>85</v>
      </c>
      <c r="BD87" s="10" t="s">
        <v>85</v>
      </c>
      <c r="BE87" s="10" t="s">
        <v>85</v>
      </c>
      <c r="BF87" s="10" t="s">
        <v>85</v>
      </c>
      <c r="BG87" s="10" t="s">
        <v>85</v>
      </c>
      <c r="BH87" s="9" t="s">
        <v>85</v>
      </c>
      <c r="BI87" s="6"/>
      <c r="BJ87" s="6" t="str">
        <f t="shared" si="1"/>
        <v>10V_One_Acc</v>
      </c>
      <c r="BK87" s="6" t="str">
        <f t="shared" si="2"/>
        <v>12VB_One_Acc</v>
      </c>
      <c r="BL87" s="6" t="str">
        <f t="shared" si="3"/>
        <v>10VB_One_Acc</v>
      </c>
      <c r="BM87" s="6"/>
      <c r="BN87" s="6">
        <f t="shared" si="4"/>
        <v>10</v>
      </c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</row>
    <row r="88" ht="15.75" customHeight="1">
      <c r="A88" s="1" t="s">
        <v>182</v>
      </c>
      <c r="B88" s="17">
        <v>277.0</v>
      </c>
      <c r="C88" s="17">
        <v>2.0</v>
      </c>
      <c r="D88" s="9" t="s">
        <v>85</v>
      </c>
      <c r="E88" s="9" t="s">
        <v>85</v>
      </c>
      <c r="F88" s="9" t="s">
        <v>85</v>
      </c>
      <c r="G88" s="9" t="s">
        <v>85</v>
      </c>
      <c r="H88" s="9" t="s">
        <v>85</v>
      </c>
      <c r="I88" s="9" t="s">
        <v>85</v>
      </c>
      <c r="J88" s="9" t="s">
        <v>85</v>
      </c>
      <c r="K88" s="9" t="s">
        <v>85</v>
      </c>
      <c r="L88" s="9">
        <v>0.719298</v>
      </c>
      <c r="M88" s="9" t="s">
        <v>85</v>
      </c>
      <c r="N88" s="9" t="s">
        <v>85</v>
      </c>
      <c r="O88" s="9">
        <v>0.723684</v>
      </c>
      <c r="P88" s="9" t="s">
        <v>85</v>
      </c>
      <c r="Q88" s="9" t="s">
        <v>85</v>
      </c>
      <c r="R88" s="9" t="s">
        <v>85</v>
      </c>
      <c r="S88" s="9" t="s">
        <v>85</v>
      </c>
      <c r="T88" s="9" t="s">
        <v>85</v>
      </c>
      <c r="U88" s="9" t="s">
        <v>85</v>
      </c>
      <c r="V88" s="9" t="s">
        <v>85</v>
      </c>
      <c r="W88" s="9" t="s">
        <v>85</v>
      </c>
      <c r="X88" s="9">
        <v>0.72807</v>
      </c>
      <c r="Y88" s="9" t="s">
        <v>85</v>
      </c>
      <c r="Z88" s="9" t="s">
        <v>85</v>
      </c>
      <c r="AA88" s="9">
        <v>0.75</v>
      </c>
      <c r="AB88" s="10" t="s">
        <v>85</v>
      </c>
      <c r="AC88" s="10" t="s">
        <v>85</v>
      </c>
      <c r="AD88" s="9" t="s">
        <v>85</v>
      </c>
      <c r="AE88" s="9" t="s">
        <v>85</v>
      </c>
      <c r="AF88" s="9" t="s">
        <v>85</v>
      </c>
      <c r="AG88" s="9" t="s">
        <v>85</v>
      </c>
      <c r="AH88" s="9" t="s">
        <v>85</v>
      </c>
      <c r="AI88" s="9" t="s">
        <v>85</v>
      </c>
      <c r="AJ88" s="9">
        <v>0.714912</v>
      </c>
      <c r="AK88" s="9" t="s">
        <v>85</v>
      </c>
      <c r="AL88" s="9" t="s">
        <v>85</v>
      </c>
      <c r="AM88" s="9">
        <v>0.732456</v>
      </c>
      <c r="AN88" s="9" t="s">
        <v>85</v>
      </c>
      <c r="AO88" s="9" t="s">
        <v>85</v>
      </c>
      <c r="AP88" s="9" t="s">
        <v>85</v>
      </c>
      <c r="AQ88" s="9" t="s">
        <v>85</v>
      </c>
      <c r="AR88" s="9" t="s">
        <v>85</v>
      </c>
      <c r="AS88" s="9" t="s">
        <v>85</v>
      </c>
      <c r="AT88" s="9" t="s">
        <v>85</v>
      </c>
      <c r="AU88" s="9" t="s">
        <v>85</v>
      </c>
      <c r="AV88" s="9">
        <v>0.714912</v>
      </c>
      <c r="AW88" s="9" t="s">
        <v>85</v>
      </c>
      <c r="AX88" s="9" t="s">
        <v>85</v>
      </c>
      <c r="AY88" s="9">
        <v>0.70614</v>
      </c>
      <c r="AZ88" s="9" t="s">
        <v>85</v>
      </c>
      <c r="BA88" s="9" t="s">
        <v>85</v>
      </c>
      <c r="BB88" s="9" t="s">
        <v>85</v>
      </c>
      <c r="BC88" s="10" t="s">
        <v>85</v>
      </c>
      <c r="BD88" s="10" t="s">
        <v>85</v>
      </c>
      <c r="BE88" s="10" t="s">
        <v>85</v>
      </c>
      <c r="BF88" s="10" t="s">
        <v>85</v>
      </c>
      <c r="BG88" s="10" t="s">
        <v>85</v>
      </c>
      <c r="BH88" s="9" t="s">
        <v>85</v>
      </c>
      <c r="BI88" s="6"/>
      <c r="BJ88" s="6" t="str">
        <f t="shared" si="1"/>
        <v>8VB_One_Acc</v>
      </c>
      <c r="BK88" s="6" t="str">
        <f t="shared" si="2"/>
        <v>10VB_One_Acc</v>
      </c>
      <c r="BL88" s="6" t="str">
        <f t="shared" si="3"/>
        <v>8V_One_Acc</v>
      </c>
      <c r="BM88" s="6"/>
      <c r="BN88" s="6">
        <f t="shared" si="4"/>
        <v>8</v>
      </c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</row>
    <row r="89" ht="15.75" customHeight="1">
      <c r="A89" s="1" t="s">
        <v>183</v>
      </c>
      <c r="B89" s="17">
        <v>343.0</v>
      </c>
      <c r="C89" s="17">
        <v>2.0</v>
      </c>
      <c r="D89" s="9" t="s">
        <v>85</v>
      </c>
      <c r="E89" s="9" t="s">
        <v>85</v>
      </c>
      <c r="F89" s="9" t="s">
        <v>85</v>
      </c>
      <c r="G89" s="9" t="s">
        <v>85</v>
      </c>
      <c r="H89" s="9" t="s">
        <v>85</v>
      </c>
      <c r="I89" s="9" t="s">
        <v>85</v>
      </c>
      <c r="J89" s="9" t="s">
        <v>85</v>
      </c>
      <c r="K89" s="9" t="s">
        <v>85</v>
      </c>
      <c r="L89" s="9">
        <v>0.784615</v>
      </c>
      <c r="M89" s="9" t="s">
        <v>85</v>
      </c>
      <c r="N89" s="9" t="s">
        <v>85</v>
      </c>
      <c r="O89" s="9">
        <v>0.784615</v>
      </c>
      <c r="P89" s="9" t="s">
        <v>85</v>
      </c>
      <c r="Q89" s="9" t="s">
        <v>85</v>
      </c>
      <c r="R89" s="9" t="s">
        <v>85</v>
      </c>
      <c r="S89" s="9" t="s">
        <v>85</v>
      </c>
      <c r="T89" s="9" t="s">
        <v>85</v>
      </c>
      <c r="U89" s="9" t="s">
        <v>85</v>
      </c>
      <c r="V89" s="9" t="s">
        <v>85</v>
      </c>
      <c r="W89" s="9" t="s">
        <v>85</v>
      </c>
      <c r="X89" s="9">
        <v>0.838462</v>
      </c>
      <c r="Y89" s="9" t="s">
        <v>85</v>
      </c>
      <c r="Z89" s="9" t="s">
        <v>85</v>
      </c>
      <c r="AA89" s="9">
        <v>0.838462</v>
      </c>
      <c r="AB89" s="10" t="s">
        <v>85</v>
      </c>
      <c r="AC89" s="10" t="s">
        <v>85</v>
      </c>
      <c r="AD89" s="9" t="s">
        <v>85</v>
      </c>
      <c r="AE89" s="9" t="s">
        <v>85</v>
      </c>
      <c r="AF89" s="9" t="s">
        <v>85</v>
      </c>
      <c r="AG89" s="9" t="s">
        <v>85</v>
      </c>
      <c r="AH89" s="9" t="s">
        <v>85</v>
      </c>
      <c r="AI89" s="9" t="s">
        <v>85</v>
      </c>
      <c r="AJ89" s="9">
        <v>0.746154</v>
      </c>
      <c r="AK89" s="9" t="s">
        <v>85</v>
      </c>
      <c r="AL89" s="9" t="s">
        <v>85</v>
      </c>
      <c r="AM89" s="9">
        <v>0.792308</v>
      </c>
      <c r="AN89" s="9" t="s">
        <v>85</v>
      </c>
      <c r="AO89" s="9" t="s">
        <v>85</v>
      </c>
      <c r="AP89" s="9" t="s">
        <v>85</v>
      </c>
      <c r="AQ89" s="9" t="s">
        <v>85</v>
      </c>
      <c r="AR89" s="9" t="s">
        <v>85</v>
      </c>
      <c r="AS89" s="9" t="s">
        <v>85</v>
      </c>
      <c r="AT89" s="9" t="s">
        <v>85</v>
      </c>
      <c r="AU89" s="9" t="s">
        <v>85</v>
      </c>
      <c r="AV89" s="9">
        <v>0.715385</v>
      </c>
      <c r="AW89" s="9" t="s">
        <v>85</v>
      </c>
      <c r="AX89" s="9" t="s">
        <v>85</v>
      </c>
      <c r="AY89" s="9">
        <v>0.784615</v>
      </c>
      <c r="AZ89" s="9" t="s">
        <v>85</v>
      </c>
      <c r="BA89" s="9" t="s">
        <v>85</v>
      </c>
      <c r="BB89" s="9" t="s">
        <v>85</v>
      </c>
      <c r="BC89" s="10" t="s">
        <v>85</v>
      </c>
      <c r="BD89" s="10" t="s">
        <v>85</v>
      </c>
      <c r="BE89" s="10" t="s">
        <v>85</v>
      </c>
      <c r="BF89" s="10" t="s">
        <v>85</v>
      </c>
      <c r="BG89" s="10" t="s">
        <v>85</v>
      </c>
      <c r="BH89" s="9" t="s">
        <v>85</v>
      </c>
      <c r="BI89" s="6"/>
      <c r="BJ89" s="6" t="str">
        <f t="shared" si="1"/>
        <v>8V_One_Acc</v>
      </c>
      <c r="BK89" s="6" t="str">
        <f t="shared" si="2"/>
        <v>8V_One_Acc</v>
      </c>
      <c r="BL89" s="6" t="str">
        <f t="shared" si="3"/>
        <v>10VB_One_Acc</v>
      </c>
      <c r="BM89" s="6"/>
      <c r="BN89" s="6">
        <f t="shared" si="4"/>
        <v>8</v>
      </c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</row>
    <row r="90" ht="15.75" customHeight="1">
      <c r="A90" s="1" t="s">
        <v>184</v>
      </c>
      <c r="B90" s="17">
        <v>275.0</v>
      </c>
      <c r="C90" s="17">
        <v>4.0</v>
      </c>
      <c r="D90" s="9" t="s">
        <v>85</v>
      </c>
      <c r="E90" s="9" t="s">
        <v>85</v>
      </c>
      <c r="F90" s="9" t="s">
        <v>85</v>
      </c>
      <c r="G90" s="9" t="s">
        <v>85</v>
      </c>
      <c r="H90" s="9" t="s">
        <v>85</v>
      </c>
      <c r="I90" s="9" t="s">
        <v>85</v>
      </c>
      <c r="J90" s="9" t="s">
        <v>85</v>
      </c>
      <c r="K90" s="9" t="s">
        <v>85</v>
      </c>
      <c r="L90" s="9">
        <v>0.99</v>
      </c>
      <c r="M90" s="9" t="s">
        <v>85</v>
      </c>
      <c r="N90" s="9" t="s">
        <v>85</v>
      </c>
      <c r="O90" s="9">
        <v>0.99</v>
      </c>
      <c r="P90" s="9" t="s">
        <v>85</v>
      </c>
      <c r="Q90" s="9" t="s">
        <v>85</v>
      </c>
      <c r="R90" s="9" t="s">
        <v>85</v>
      </c>
      <c r="S90" s="9" t="s">
        <v>85</v>
      </c>
      <c r="T90" s="9" t="s">
        <v>85</v>
      </c>
      <c r="U90" s="9" t="s">
        <v>85</v>
      </c>
      <c r="V90" s="9" t="s">
        <v>85</v>
      </c>
      <c r="W90" s="9" t="s">
        <v>85</v>
      </c>
      <c r="X90" s="9">
        <v>0.97</v>
      </c>
      <c r="Y90" s="9" t="s">
        <v>85</v>
      </c>
      <c r="Z90" s="9" t="s">
        <v>85</v>
      </c>
      <c r="AA90" s="9">
        <v>0.97</v>
      </c>
      <c r="AB90" s="10" t="s">
        <v>85</v>
      </c>
      <c r="AC90" s="10" t="s">
        <v>85</v>
      </c>
      <c r="AD90" s="9" t="s">
        <v>85</v>
      </c>
      <c r="AE90" s="9" t="s">
        <v>85</v>
      </c>
      <c r="AF90" s="9" t="s">
        <v>85</v>
      </c>
      <c r="AG90" s="9" t="s">
        <v>85</v>
      </c>
      <c r="AH90" s="9" t="s">
        <v>85</v>
      </c>
      <c r="AI90" s="9" t="s">
        <v>85</v>
      </c>
      <c r="AJ90" s="9">
        <v>0.99</v>
      </c>
      <c r="AK90" s="9" t="s">
        <v>85</v>
      </c>
      <c r="AL90" s="9" t="s">
        <v>85</v>
      </c>
      <c r="AM90" s="9">
        <v>0.99</v>
      </c>
      <c r="AN90" s="9" t="s">
        <v>85</v>
      </c>
      <c r="AO90" s="9" t="s">
        <v>85</v>
      </c>
      <c r="AP90" s="9" t="s">
        <v>85</v>
      </c>
      <c r="AQ90" s="9" t="s">
        <v>85</v>
      </c>
      <c r="AR90" s="9" t="s">
        <v>85</v>
      </c>
      <c r="AS90" s="9" t="s">
        <v>85</v>
      </c>
      <c r="AT90" s="9" t="s">
        <v>85</v>
      </c>
      <c r="AU90" s="9" t="s">
        <v>85</v>
      </c>
      <c r="AV90" s="9">
        <v>0.99</v>
      </c>
      <c r="AW90" s="9" t="s">
        <v>85</v>
      </c>
      <c r="AX90" s="9" t="s">
        <v>85</v>
      </c>
      <c r="AY90" s="9">
        <v>0.99</v>
      </c>
      <c r="AZ90" s="9" t="s">
        <v>85</v>
      </c>
      <c r="BA90" s="9" t="s">
        <v>85</v>
      </c>
      <c r="BB90" s="9" t="s">
        <v>85</v>
      </c>
      <c r="BC90" s="10" t="s">
        <v>85</v>
      </c>
      <c r="BD90" s="10" t="s">
        <v>85</v>
      </c>
      <c r="BE90" s="10" t="s">
        <v>85</v>
      </c>
      <c r="BF90" s="10" t="s">
        <v>85</v>
      </c>
      <c r="BG90" s="10" t="s">
        <v>85</v>
      </c>
      <c r="BH90" s="9" t="s">
        <v>85</v>
      </c>
      <c r="BI90" s="6"/>
      <c r="BJ90" s="6" t="str">
        <f t="shared" si="1"/>
        <v>5V_One_Acc</v>
      </c>
      <c r="BK90" s="6" t="str">
        <f t="shared" si="2"/>
        <v>5V_One_Acc</v>
      </c>
      <c r="BL90" s="6" t="str">
        <f t="shared" si="3"/>
        <v>5V_One_Acc</v>
      </c>
      <c r="BM90" s="6"/>
      <c r="BN90" s="6">
        <f t="shared" si="4"/>
        <v>5</v>
      </c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</row>
    <row r="91" ht="15.75" customHeight="1">
      <c r="A91" s="1" t="s">
        <v>185</v>
      </c>
      <c r="B91" s="17">
        <v>82.0</v>
      </c>
      <c r="C91" s="17">
        <v>2.0</v>
      </c>
      <c r="D91" s="9" t="s">
        <v>85</v>
      </c>
      <c r="E91" s="9" t="s">
        <v>85</v>
      </c>
      <c r="F91" s="9" t="s">
        <v>85</v>
      </c>
      <c r="G91" s="9" t="s">
        <v>85</v>
      </c>
      <c r="H91" s="9" t="s">
        <v>85</v>
      </c>
      <c r="I91" s="9" t="s">
        <v>85</v>
      </c>
      <c r="J91" s="9" t="s">
        <v>85</v>
      </c>
      <c r="K91" s="9" t="s">
        <v>85</v>
      </c>
      <c r="L91" s="9">
        <v>0.872695</v>
      </c>
      <c r="M91" s="9" t="s">
        <v>85</v>
      </c>
      <c r="N91" s="9" t="s">
        <v>85</v>
      </c>
      <c r="O91" s="9">
        <v>0.854258</v>
      </c>
      <c r="P91" s="9" t="s">
        <v>85</v>
      </c>
      <c r="Q91" s="9" t="s">
        <v>85</v>
      </c>
      <c r="R91" s="9" t="s">
        <v>85</v>
      </c>
      <c r="S91" s="9" t="s">
        <v>85</v>
      </c>
      <c r="T91" s="9" t="s">
        <v>85</v>
      </c>
      <c r="U91" s="9" t="s">
        <v>85</v>
      </c>
      <c r="V91" s="9" t="s">
        <v>85</v>
      </c>
      <c r="W91" s="9" t="s">
        <v>85</v>
      </c>
      <c r="X91" s="9">
        <v>0.837577</v>
      </c>
      <c r="Y91" s="9" t="s">
        <v>85</v>
      </c>
      <c r="Z91" s="9" t="s">
        <v>85</v>
      </c>
      <c r="AA91" s="9">
        <v>0.845478</v>
      </c>
      <c r="AB91" s="10" t="s">
        <v>85</v>
      </c>
      <c r="AC91" s="10" t="s">
        <v>85</v>
      </c>
      <c r="AD91" s="9" t="s">
        <v>85</v>
      </c>
      <c r="AE91" s="9" t="s">
        <v>85</v>
      </c>
      <c r="AF91" s="9" t="s">
        <v>85</v>
      </c>
      <c r="AG91" s="9" t="s">
        <v>85</v>
      </c>
      <c r="AH91" s="9" t="s">
        <v>85</v>
      </c>
      <c r="AI91" s="9" t="s">
        <v>85</v>
      </c>
      <c r="AJ91" s="9">
        <v>0.906058</v>
      </c>
      <c r="AK91" s="9" t="s">
        <v>85</v>
      </c>
      <c r="AL91" s="9" t="s">
        <v>85</v>
      </c>
      <c r="AM91" s="9">
        <v>0.864794</v>
      </c>
      <c r="AN91" s="9" t="s">
        <v>85</v>
      </c>
      <c r="AO91" s="9" t="s">
        <v>85</v>
      </c>
      <c r="AP91" s="9" t="s">
        <v>85</v>
      </c>
      <c r="AQ91" s="9" t="s">
        <v>85</v>
      </c>
      <c r="AR91" s="9" t="s">
        <v>85</v>
      </c>
      <c r="AS91" s="9" t="s">
        <v>85</v>
      </c>
      <c r="AT91" s="9" t="s">
        <v>85</v>
      </c>
      <c r="AU91" s="9" t="s">
        <v>85</v>
      </c>
      <c r="AV91" s="9">
        <v>0.833187</v>
      </c>
      <c r="AW91" s="9" t="s">
        <v>85</v>
      </c>
      <c r="AX91" s="9" t="s">
        <v>85</v>
      </c>
      <c r="AY91" s="9">
        <v>0.835821</v>
      </c>
      <c r="AZ91" s="9" t="s">
        <v>85</v>
      </c>
      <c r="BA91" s="9" t="s">
        <v>85</v>
      </c>
      <c r="BB91" s="9" t="s">
        <v>85</v>
      </c>
      <c r="BC91" s="10" t="s">
        <v>85</v>
      </c>
      <c r="BD91" s="10" t="s">
        <v>85</v>
      </c>
      <c r="BE91" s="10" t="s">
        <v>85</v>
      </c>
      <c r="BF91" s="10" t="s">
        <v>85</v>
      </c>
      <c r="BG91" s="10" t="s">
        <v>85</v>
      </c>
      <c r="BH91" s="9" t="s">
        <v>85</v>
      </c>
      <c r="BI91" s="6"/>
      <c r="BJ91" s="6" t="str">
        <f t="shared" si="1"/>
        <v>10V_One_Acc</v>
      </c>
      <c r="BK91" s="6" t="str">
        <f t="shared" si="2"/>
        <v>5V_One_Acc</v>
      </c>
      <c r="BL91" s="6" t="str">
        <f t="shared" si="3"/>
        <v>10VB_One_Acc</v>
      </c>
      <c r="BM91" s="6"/>
      <c r="BN91" s="6">
        <f t="shared" si="4"/>
        <v>10</v>
      </c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</row>
    <row r="92" ht="15.75" customHeight="1">
      <c r="A92" s="1" t="s">
        <v>186</v>
      </c>
      <c r="B92" s="17">
        <v>128.0</v>
      </c>
      <c r="C92" s="17">
        <v>4.0</v>
      </c>
      <c r="D92" s="9" t="s">
        <v>85</v>
      </c>
      <c r="E92" s="9" t="s">
        <v>85</v>
      </c>
      <c r="F92" s="9" t="s">
        <v>85</v>
      </c>
      <c r="G92" s="9" t="s">
        <v>85</v>
      </c>
      <c r="H92" s="9" t="s">
        <v>85</v>
      </c>
      <c r="I92" s="9" t="s">
        <v>85</v>
      </c>
      <c r="J92" s="9" t="s">
        <v>85</v>
      </c>
      <c r="K92" s="9" t="s">
        <v>85</v>
      </c>
      <c r="L92" s="9">
        <v>0.62775</v>
      </c>
      <c r="M92" s="9" t="s">
        <v>85</v>
      </c>
      <c r="N92" s="9" t="s">
        <v>85</v>
      </c>
      <c r="O92" s="9">
        <v>0.602</v>
      </c>
      <c r="P92" s="9" t="s">
        <v>85</v>
      </c>
      <c r="Q92" s="9" t="s">
        <v>85</v>
      </c>
      <c r="R92" s="9" t="s">
        <v>85</v>
      </c>
      <c r="S92" s="9" t="s">
        <v>85</v>
      </c>
      <c r="T92" s="9" t="s">
        <v>85</v>
      </c>
      <c r="U92" s="9" t="s">
        <v>85</v>
      </c>
      <c r="V92" s="9" t="s">
        <v>85</v>
      </c>
      <c r="W92" s="9" t="s">
        <v>85</v>
      </c>
      <c r="X92" s="9">
        <v>0.39375</v>
      </c>
      <c r="Y92" s="9" t="s">
        <v>85</v>
      </c>
      <c r="Z92" s="9" t="s">
        <v>85</v>
      </c>
      <c r="AA92" s="9">
        <v>0.48875</v>
      </c>
      <c r="AB92" s="10" t="s">
        <v>85</v>
      </c>
      <c r="AC92" s="10" t="s">
        <v>85</v>
      </c>
      <c r="AD92" s="9" t="s">
        <v>85</v>
      </c>
      <c r="AE92" s="9" t="s">
        <v>85</v>
      </c>
      <c r="AF92" s="9" t="s">
        <v>85</v>
      </c>
      <c r="AG92" s="9" t="s">
        <v>85</v>
      </c>
      <c r="AH92" s="9" t="s">
        <v>85</v>
      </c>
      <c r="AI92" s="9" t="s">
        <v>85</v>
      </c>
      <c r="AJ92" s="9">
        <v>0.324</v>
      </c>
      <c r="AK92" s="9" t="s">
        <v>85</v>
      </c>
      <c r="AL92" s="9" t="s">
        <v>85</v>
      </c>
      <c r="AM92" s="9">
        <v>0.25875</v>
      </c>
      <c r="AN92" s="9" t="s">
        <v>85</v>
      </c>
      <c r="AO92" s="9" t="s">
        <v>85</v>
      </c>
      <c r="AP92" s="9" t="s">
        <v>85</v>
      </c>
      <c r="AQ92" s="9" t="s">
        <v>85</v>
      </c>
      <c r="AR92" s="9" t="s">
        <v>85</v>
      </c>
      <c r="AS92" s="9" t="s">
        <v>85</v>
      </c>
      <c r="AT92" s="9" t="s">
        <v>85</v>
      </c>
      <c r="AU92" s="9" t="s">
        <v>85</v>
      </c>
      <c r="AV92" s="9">
        <v>0.407</v>
      </c>
      <c r="AW92" s="9" t="s">
        <v>85</v>
      </c>
      <c r="AX92" s="9" t="s">
        <v>85</v>
      </c>
      <c r="AY92" s="9">
        <v>0.4795</v>
      </c>
      <c r="AZ92" s="9" t="s">
        <v>85</v>
      </c>
      <c r="BA92" s="9" t="s">
        <v>85</v>
      </c>
      <c r="BB92" s="9" t="s">
        <v>85</v>
      </c>
      <c r="BC92" s="10" t="s">
        <v>85</v>
      </c>
      <c r="BD92" s="10" t="s">
        <v>85</v>
      </c>
      <c r="BE92" s="10" t="s">
        <v>85</v>
      </c>
      <c r="BF92" s="10" t="s">
        <v>85</v>
      </c>
      <c r="BG92" s="10" t="s">
        <v>85</v>
      </c>
      <c r="BH92" s="9" t="s">
        <v>85</v>
      </c>
      <c r="BI92" s="6"/>
      <c r="BJ92" s="6" t="str">
        <f t="shared" si="1"/>
        <v>5V_One_Acc</v>
      </c>
      <c r="BK92" s="6" t="str">
        <f t="shared" si="2"/>
        <v>5VB_One_Acc</v>
      </c>
      <c r="BL92" s="6" t="str">
        <f t="shared" si="3"/>
        <v>8VB_One_Acc</v>
      </c>
      <c r="BM92" s="6"/>
      <c r="BN92" s="6">
        <f t="shared" si="4"/>
        <v>5</v>
      </c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</row>
    <row r="93" ht="15.75" customHeight="1">
      <c r="A93" s="1" t="s">
        <v>187</v>
      </c>
      <c r="B93" s="17">
        <v>150.0</v>
      </c>
      <c r="C93" s="17">
        <v>3.0</v>
      </c>
      <c r="D93" s="9" t="s">
        <v>85</v>
      </c>
      <c r="E93" s="9" t="s">
        <v>85</v>
      </c>
      <c r="F93" s="9" t="s">
        <v>85</v>
      </c>
      <c r="G93" s="9" t="s">
        <v>85</v>
      </c>
      <c r="H93" s="9" t="s">
        <v>85</v>
      </c>
      <c r="I93" s="9" t="s">
        <v>85</v>
      </c>
      <c r="J93" s="9" t="s">
        <v>85</v>
      </c>
      <c r="K93" s="9" t="s">
        <v>85</v>
      </c>
      <c r="L93" s="9">
        <v>0.805556</v>
      </c>
      <c r="M93" s="9" t="s">
        <v>85</v>
      </c>
      <c r="N93" s="9" t="s">
        <v>85</v>
      </c>
      <c r="O93" s="9">
        <v>0.826389</v>
      </c>
      <c r="P93" s="9" t="s">
        <v>85</v>
      </c>
      <c r="Q93" s="9" t="s">
        <v>85</v>
      </c>
      <c r="R93" s="9" t="s">
        <v>85</v>
      </c>
      <c r="S93" s="9" t="s">
        <v>85</v>
      </c>
      <c r="T93" s="9" t="s">
        <v>85</v>
      </c>
      <c r="U93" s="9" t="s">
        <v>85</v>
      </c>
      <c r="V93" s="9" t="s">
        <v>85</v>
      </c>
      <c r="W93" s="9" t="s">
        <v>85</v>
      </c>
      <c r="X93" s="9">
        <v>0.930556</v>
      </c>
      <c r="Y93" s="9" t="s">
        <v>85</v>
      </c>
      <c r="Z93" s="9" t="s">
        <v>85</v>
      </c>
      <c r="AA93" s="9">
        <v>0.965278</v>
      </c>
      <c r="AB93" s="10" t="s">
        <v>85</v>
      </c>
      <c r="AC93" s="10" t="s">
        <v>85</v>
      </c>
      <c r="AD93" s="9" t="s">
        <v>85</v>
      </c>
      <c r="AE93" s="9" t="s">
        <v>85</v>
      </c>
      <c r="AF93" s="9" t="s">
        <v>85</v>
      </c>
      <c r="AG93" s="9" t="s">
        <v>85</v>
      </c>
      <c r="AH93" s="9" t="s">
        <v>85</v>
      </c>
      <c r="AI93" s="9" t="s">
        <v>85</v>
      </c>
      <c r="AJ93" s="9">
        <v>0.861111</v>
      </c>
      <c r="AK93" s="9" t="s">
        <v>85</v>
      </c>
      <c r="AL93" s="9" t="s">
        <v>85</v>
      </c>
      <c r="AM93" s="9">
        <v>0.881944</v>
      </c>
      <c r="AN93" s="9" t="s">
        <v>85</v>
      </c>
      <c r="AO93" s="9" t="s">
        <v>85</v>
      </c>
      <c r="AP93" s="9" t="s">
        <v>85</v>
      </c>
      <c r="AQ93" s="9" t="s">
        <v>85</v>
      </c>
      <c r="AR93" s="9" t="s">
        <v>85</v>
      </c>
      <c r="AS93" s="9" t="s">
        <v>85</v>
      </c>
      <c r="AT93" s="9" t="s">
        <v>85</v>
      </c>
      <c r="AU93" s="9" t="s">
        <v>85</v>
      </c>
      <c r="AV93" s="9">
        <v>0.826389</v>
      </c>
      <c r="AW93" s="9" t="s">
        <v>85</v>
      </c>
      <c r="AX93" s="9" t="s">
        <v>85</v>
      </c>
      <c r="AY93" s="9">
        <v>0.902778</v>
      </c>
      <c r="AZ93" s="9" t="s">
        <v>85</v>
      </c>
      <c r="BA93" s="9" t="s">
        <v>85</v>
      </c>
      <c r="BB93" s="9" t="s">
        <v>85</v>
      </c>
      <c r="BC93" s="10" t="s">
        <v>85</v>
      </c>
      <c r="BD93" s="10" t="s">
        <v>85</v>
      </c>
      <c r="BE93" s="10" t="s">
        <v>85</v>
      </c>
      <c r="BF93" s="10" t="s">
        <v>85</v>
      </c>
      <c r="BG93" s="10" t="s">
        <v>85</v>
      </c>
      <c r="BH93" s="9" t="s">
        <v>85</v>
      </c>
      <c r="BI93" s="6"/>
      <c r="BJ93" s="6" t="str">
        <f t="shared" si="1"/>
        <v>8VB_One_Acc</v>
      </c>
      <c r="BK93" s="6" t="str">
        <f t="shared" si="2"/>
        <v>8V_One_Acc</v>
      </c>
      <c r="BL93" s="6" t="str">
        <f t="shared" si="3"/>
        <v>12VB_One_Acc</v>
      </c>
      <c r="BM93" s="6"/>
      <c r="BN93" s="6">
        <f t="shared" si="4"/>
        <v>8</v>
      </c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</row>
    <row r="94" ht="15.75" customHeight="1">
      <c r="A94" s="1" t="s">
        <v>188</v>
      </c>
      <c r="B94" s="17">
        <v>945.0</v>
      </c>
      <c r="C94" s="17">
        <v>8.0</v>
      </c>
      <c r="D94" s="9" t="s">
        <v>85</v>
      </c>
      <c r="E94" s="9" t="s">
        <v>85</v>
      </c>
      <c r="F94" s="9" t="s">
        <v>85</v>
      </c>
      <c r="G94" s="9" t="s">
        <v>85</v>
      </c>
      <c r="H94" s="9" t="s">
        <v>85</v>
      </c>
      <c r="I94" s="9" t="s">
        <v>85</v>
      </c>
      <c r="J94" s="9" t="s">
        <v>85</v>
      </c>
      <c r="K94" s="9" t="s">
        <v>85</v>
      </c>
      <c r="L94" s="9">
        <v>0.605807</v>
      </c>
      <c r="M94" s="9" t="s">
        <v>85</v>
      </c>
      <c r="N94" s="9" t="s">
        <v>85</v>
      </c>
      <c r="O94" s="9">
        <v>0.800112</v>
      </c>
      <c r="P94" s="9" t="s">
        <v>85</v>
      </c>
      <c r="Q94" s="9" t="s">
        <v>85</v>
      </c>
      <c r="R94" s="9" t="s">
        <v>85</v>
      </c>
      <c r="S94" s="9" t="s">
        <v>85</v>
      </c>
      <c r="T94" s="9" t="s">
        <v>85</v>
      </c>
      <c r="U94" s="9" t="s">
        <v>85</v>
      </c>
      <c r="V94" s="9" t="s">
        <v>85</v>
      </c>
      <c r="W94" s="9" t="s">
        <v>85</v>
      </c>
      <c r="X94" s="9">
        <v>0.729481</v>
      </c>
      <c r="Y94" s="9" t="s">
        <v>85</v>
      </c>
      <c r="Z94" s="9" t="s">
        <v>85</v>
      </c>
      <c r="AA94" s="9">
        <v>0.646845</v>
      </c>
      <c r="AB94" s="10" t="s">
        <v>85</v>
      </c>
      <c r="AC94" s="10" t="s">
        <v>85</v>
      </c>
      <c r="AD94" s="9" t="s">
        <v>85</v>
      </c>
      <c r="AE94" s="9" t="s">
        <v>85</v>
      </c>
      <c r="AF94" s="9" t="s">
        <v>85</v>
      </c>
      <c r="AG94" s="9" t="s">
        <v>85</v>
      </c>
      <c r="AH94" s="9" t="s">
        <v>85</v>
      </c>
      <c r="AI94" s="9" t="s">
        <v>85</v>
      </c>
      <c r="AJ94" s="9">
        <v>0.721664</v>
      </c>
      <c r="AK94" s="9" t="s">
        <v>85</v>
      </c>
      <c r="AL94" s="9" t="s">
        <v>85</v>
      </c>
      <c r="AM94" s="9">
        <v>0.884701</v>
      </c>
      <c r="AN94" s="9" t="s">
        <v>85</v>
      </c>
      <c r="AO94" s="9" t="s">
        <v>85</v>
      </c>
      <c r="AP94" s="9" t="s">
        <v>85</v>
      </c>
      <c r="AQ94" s="9" t="s">
        <v>85</v>
      </c>
      <c r="AR94" s="9" t="s">
        <v>85</v>
      </c>
      <c r="AS94" s="9" t="s">
        <v>85</v>
      </c>
      <c r="AT94" s="9" t="s">
        <v>85</v>
      </c>
      <c r="AU94" s="9" t="s">
        <v>85</v>
      </c>
      <c r="AV94" s="9">
        <v>0.80402</v>
      </c>
      <c r="AW94" s="9" t="s">
        <v>85</v>
      </c>
      <c r="AX94" s="9" t="s">
        <v>85</v>
      </c>
      <c r="AY94" s="9">
        <v>0.78392</v>
      </c>
      <c r="AZ94" s="9" t="s">
        <v>85</v>
      </c>
      <c r="BA94" s="9" t="s">
        <v>85</v>
      </c>
      <c r="BB94" s="9" t="s">
        <v>85</v>
      </c>
      <c r="BC94" s="10" t="s">
        <v>85</v>
      </c>
      <c r="BD94" s="10" t="s">
        <v>85</v>
      </c>
      <c r="BE94" s="10" t="s">
        <v>85</v>
      </c>
      <c r="BF94" s="10" t="s">
        <v>85</v>
      </c>
      <c r="BG94" s="10" t="s">
        <v>85</v>
      </c>
      <c r="BH94" s="9" t="s">
        <v>85</v>
      </c>
      <c r="BI94" s="6"/>
      <c r="BJ94" s="6" t="str">
        <f t="shared" si="1"/>
        <v>10VB_One_Acc</v>
      </c>
      <c r="BK94" s="6" t="str">
        <f t="shared" si="2"/>
        <v>12V_One_Acc</v>
      </c>
      <c r="BL94" s="6" t="str">
        <f t="shared" si="3"/>
        <v>5VB_One_Acc</v>
      </c>
      <c r="BM94" s="6"/>
      <c r="BN94" s="6">
        <f t="shared" si="4"/>
        <v>10</v>
      </c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</row>
    <row r="95" ht="15.75" customHeight="1">
      <c r="A95" s="1" t="s">
        <v>189</v>
      </c>
      <c r="B95" s="17">
        <v>152.0</v>
      </c>
      <c r="C95" s="17">
        <v>2.0</v>
      </c>
      <c r="D95" s="9" t="s">
        <v>85</v>
      </c>
      <c r="E95" s="9" t="s">
        <v>85</v>
      </c>
      <c r="F95" s="9" t="s">
        <v>85</v>
      </c>
      <c r="G95" s="9" t="s">
        <v>85</v>
      </c>
      <c r="H95" s="9" t="s">
        <v>85</v>
      </c>
      <c r="I95" s="9" t="s">
        <v>85</v>
      </c>
      <c r="J95" s="9" t="s">
        <v>85</v>
      </c>
      <c r="K95" s="9" t="s">
        <v>85</v>
      </c>
      <c r="L95" s="9">
        <v>0.892116</v>
      </c>
      <c r="M95" s="9" t="s">
        <v>85</v>
      </c>
      <c r="N95" s="9" t="s">
        <v>85</v>
      </c>
      <c r="O95" s="9">
        <v>0.892116</v>
      </c>
      <c r="P95" s="9" t="s">
        <v>85</v>
      </c>
      <c r="Q95" s="9" t="s">
        <v>85</v>
      </c>
      <c r="R95" s="9" t="s">
        <v>85</v>
      </c>
      <c r="S95" s="9" t="s">
        <v>85</v>
      </c>
      <c r="T95" s="9" t="s">
        <v>85</v>
      </c>
      <c r="U95" s="9" t="s">
        <v>85</v>
      </c>
      <c r="V95" s="9" t="s">
        <v>85</v>
      </c>
      <c r="W95" s="9" t="s">
        <v>85</v>
      </c>
      <c r="X95" s="9">
        <v>0.892116</v>
      </c>
      <c r="Y95" s="9" t="s">
        <v>85</v>
      </c>
      <c r="Z95" s="9" t="s">
        <v>85</v>
      </c>
      <c r="AA95" s="9">
        <v>0.892116</v>
      </c>
      <c r="AB95" s="10" t="s">
        <v>85</v>
      </c>
      <c r="AC95" s="10" t="s">
        <v>85</v>
      </c>
      <c r="AD95" s="9" t="s">
        <v>85</v>
      </c>
      <c r="AE95" s="9" t="s">
        <v>85</v>
      </c>
      <c r="AF95" s="9" t="s">
        <v>85</v>
      </c>
      <c r="AG95" s="9" t="s">
        <v>85</v>
      </c>
      <c r="AH95" s="9" t="s">
        <v>85</v>
      </c>
      <c r="AI95" s="9" t="s">
        <v>85</v>
      </c>
      <c r="AJ95" s="9">
        <v>0.892116</v>
      </c>
      <c r="AK95" s="9" t="s">
        <v>85</v>
      </c>
      <c r="AL95" s="9" t="s">
        <v>85</v>
      </c>
      <c r="AM95" s="9">
        <v>0.892116</v>
      </c>
      <c r="AN95" s="9" t="s">
        <v>85</v>
      </c>
      <c r="AO95" s="9" t="s">
        <v>85</v>
      </c>
      <c r="AP95" s="9" t="s">
        <v>85</v>
      </c>
      <c r="AQ95" s="9" t="s">
        <v>85</v>
      </c>
      <c r="AR95" s="9" t="s">
        <v>85</v>
      </c>
      <c r="AS95" s="9" t="s">
        <v>85</v>
      </c>
      <c r="AT95" s="9" t="s">
        <v>85</v>
      </c>
      <c r="AU95" s="9" t="s">
        <v>85</v>
      </c>
      <c r="AV95" s="9">
        <v>0.892116</v>
      </c>
      <c r="AW95" s="9" t="s">
        <v>85</v>
      </c>
      <c r="AX95" s="9" t="s">
        <v>85</v>
      </c>
      <c r="AY95" s="9">
        <v>0.892116</v>
      </c>
      <c r="AZ95" s="9" t="s">
        <v>85</v>
      </c>
      <c r="BA95" s="9" t="s">
        <v>85</v>
      </c>
      <c r="BB95" s="9" t="s">
        <v>85</v>
      </c>
      <c r="BC95" s="10" t="s">
        <v>85</v>
      </c>
      <c r="BD95" s="10" t="s">
        <v>85</v>
      </c>
      <c r="BE95" s="10" t="s">
        <v>85</v>
      </c>
      <c r="BF95" s="10" t="s">
        <v>85</v>
      </c>
      <c r="BG95" s="10" t="s">
        <v>85</v>
      </c>
      <c r="BH95" s="9" t="s">
        <v>85</v>
      </c>
      <c r="BI95" s="6"/>
      <c r="BJ95" s="6" t="str">
        <f t="shared" si="1"/>
        <v>5V_One_Acc</v>
      </c>
      <c r="BK95" s="6" t="str">
        <f t="shared" si="2"/>
        <v>5V_One_Acc</v>
      </c>
      <c r="BL95" s="6" t="str">
        <f t="shared" si="3"/>
        <v>5V_One_Acc</v>
      </c>
      <c r="BM95" s="6"/>
      <c r="BN95" s="6">
        <f t="shared" si="4"/>
        <v>5</v>
      </c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</row>
    <row r="96" ht="15.75" customHeight="1">
      <c r="A96" s="1" t="s">
        <v>190</v>
      </c>
      <c r="B96" s="17">
        <v>234.0</v>
      </c>
      <c r="C96" s="17">
        <v>2.0</v>
      </c>
      <c r="D96" s="9" t="s">
        <v>85</v>
      </c>
      <c r="E96" s="9" t="s">
        <v>85</v>
      </c>
      <c r="F96" s="9" t="s">
        <v>85</v>
      </c>
      <c r="G96" s="9" t="s">
        <v>85</v>
      </c>
      <c r="H96" s="9" t="s">
        <v>85</v>
      </c>
      <c r="I96" s="9" t="s">
        <v>85</v>
      </c>
      <c r="J96" s="9" t="s">
        <v>85</v>
      </c>
      <c r="K96" s="9" t="s">
        <v>85</v>
      </c>
      <c r="L96" s="9">
        <v>0.5</v>
      </c>
      <c r="M96" s="9" t="s">
        <v>85</v>
      </c>
      <c r="N96" s="9" t="s">
        <v>85</v>
      </c>
      <c r="O96" s="9">
        <v>0.5</v>
      </c>
      <c r="P96" s="9" t="s">
        <v>85</v>
      </c>
      <c r="Q96" s="9" t="s">
        <v>85</v>
      </c>
      <c r="R96" s="9" t="s">
        <v>85</v>
      </c>
      <c r="S96" s="9" t="s">
        <v>85</v>
      </c>
      <c r="T96" s="9" t="s">
        <v>85</v>
      </c>
      <c r="U96" s="9" t="s">
        <v>85</v>
      </c>
      <c r="V96" s="9" t="s">
        <v>85</v>
      </c>
      <c r="W96" s="9" t="s">
        <v>85</v>
      </c>
      <c r="X96" s="9">
        <v>0.5</v>
      </c>
      <c r="Y96" s="9" t="s">
        <v>85</v>
      </c>
      <c r="Z96" s="9" t="s">
        <v>85</v>
      </c>
      <c r="AA96" s="9">
        <v>0.5</v>
      </c>
      <c r="AB96" s="10" t="s">
        <v>85</v>
      </c>
      <c r="AC96" s="10" t="s">
        <v>85</v>
      </c>
      <c r="AD96" s="9" t="s">
        <v>85</v>
      </c>
      <c r="AE96" s="9" t="s">
        <v>85</v>
      </c>
      <c r="AF96" s="9" t="s">
        <v>85</v>
      </c>
      <c r="AG96" s="9" t="s">
        <v>85</v>
      </c>
      <c r="AH96" s="9" t="s">
        <v>85</v>
      </c>
      <c r="AI96" s="9" t="s">
        <v>85</v>
      </c>
      <c r="AJ96" s="9">
        <v>0.5</v>
      </c>
      <c r="AK96" s="9" t="s">
        <v>85</v>
      </c>
      <c r="AL96" s="9" t="s">
        <v>85</v>
      </c>
      <c r="AM96" s="9">
        <v>0.5</v>
      </c>
      <c r="AN96" s="9" t="s">
        <v>85</v>
      </c>
      <c r="AO96" s="9" t="s">
        <v>85</v>
      </c>
      <c r="AP96" s="9" t="s">
        <v>85</v>
      </c>
      <c r="AQ96" s="9" t="s">
        <v>85</v>
      </c>
      <c r="AR96" s="9" t="s">
        <v>85</v>
      </c>
      <c r="AS96" s="9" t="s">
        <v>85</v>
      </c>
      <c r="AT96" s="9" t="s">
        <v>85</v>
      </c>
      <c r="AU96" s="9" t="s">
        <v>85</v>
      </c>
      <c r="AV96" s="9">
        <v>0.592593</v>
      </c>
      <c r="AW96" s="9" t="s">
        <v>85</v>
      </c>
      <c r="AX96" s="9" t="s">
        <v>85</v>
      </c>
      <c r="AY96" s="9">
        <v>0.5</v>
      </c>
      <c r="AZ96" s="9" t="s">
        <v>85</v>
      </c>
      <c r="BA96" s="9" t="s">
        <v>85</v>
      </c>
      <c r="BB96" s="9" t="s">
        <v>85</v>
      </c>
      <c r="BC96" s="10" t="s">
        <v>85</v>
      </c>
      <c r="BD96" s="10" t="s">
        <v>85</v>
      </c>
      <c r="BE96" s="10" t="s">
        <v>85</v>
      </c>
      <c r="BF96" s="10" t="s">
        <v>85</v>
      </c>
      <c r="BG96" s="10" t="s">
        <v>85</v>
      </c>
      <c r="BH96" s="9" t="s">
        <v>85</v>
      </c>
      <c r="BI96" s="6"/>
      <c r="BJ96" s="6" t="str">
        <f t="shared" si="1"/>
        <v>12V_One_Acc</v>
      </c>
      <c r="BK96" s="6" t="str">
        <f t="shared" si="2"/>
        <v>5V_One_Acc</v>
      </c>
      <c r="BL96" s="6" t="str">
        <f t="shared" si="3"/>
        <v>5V_One_Acc</v>
      </c>
      <c r="BM96" s="6"/>
      <c r="BN96" s="6">
        <f t="shared" si="4"/>
        <v>12</v>
      </c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</row>
    <row r="97" ht="15.75" customHeight="1">
      <c r="A97" s="1" t="s">
        <v>191</v>
      </c>
      <c r="B97" s="17">
        <v>270.0</v>
      </c>
      <c r="C97" s="17">
        <v>25.0</v>
      </c>
      <c r="D97" s="9" t="s">
        <v>85</v>
      </c>
      <c r="E97" s="9" t="s">
        <v>85</v>
      </c>
      <c r="F97" s="9" t="s">
        <v>85</v>
      </c>
      <c r="G97" s="9" t="s">
        <v>85</v>
      </c>
      <c r="H97" s="9" t="s">
        <v>85</v>
      </c>
      <c r="I97" s="9" t="s">
        <v>85</v>
      </c>
      <c r="J97" s="9" t="s">
        <v>85</v>
      </c>
      <c r="K97" s="9" t="s">
        <v>85</v>
      </c>
      <c r="L97" s="9">
        <v>0.402821</v>
      </c>
      <c r="M97" s="9" t="s">
        <v>85</v>
      </c>
      <c r="N97" s="9" t="s">
        <v>85</v>
      </c>
      <c r="O97" s="9">
        <v>0.401254</v>
      </c>
      <c r="P97" s="9" t="s">
        <v>85</v>
      </c>
      <c r="Q97" s="9" t="s">
        <v>85</v>
      </c>
      <c r="R97" s="9" t="s">
        <v>85</v>
      </c>
      <c r="S97" s="9" t="s">
        <v>85</v>
      </c>
      <c r="T97" s="9" t="s">
        <v>85</v>
      </c>
      <c r="U97" s="9" t="s">
        <v>85</v>
      </c>
      <c r="V97" s="9" t="s">
        <v>85</v>
      </c>
      <c r="W97" s="9" t="s">
        <v>85</v>
      </c>
      <c r="X97" s="9">
        <v>0.368339</v>
      </c>
      <c r="Y97" s="9" t="s">
        <v>85</v>
      </c>
      <c r="Z97" s="9" t="s">
        <v>85</v>
      </c>
      <c r="AA97" s="9">
        <v>0.46395</v>
      </c>
      <c r="AB97" s="10" t="s">
        <v>85</v>
      </c>
      <c r="AC97" s="10" t="s">
        <v>85</v>
      </c>
      <c r="AD97" s="9" t="s">
        <v>85</v>
      </c>
      <c r="AE97" s="9" t="s">
        <v>85</v>
      </c>
      <c r="AF97" s="9" t="s">
        <v>85</v>
      </c>
      <c r="AG97" s="9" t="s">
        <v>85</v>
      </c>
      <c r="AH97" s="9" t="s">
        <v>85</v>
      </c>
      <c r="AI97" s="9" t="s">
        <v>85</v>
      </c>
      <c r="AJ97" s="9">
        <v>0.432602</v>
      </c>
      <c r="AK97" s="9" t="s">
        <v>85</v>
      </c>
      <c r="AL97" s="9" t="s">
        <v>85</v>
      </c>
      <c r="AM97" s="9">
        <v>0.426332</v>
      </c>
      <c r="AN97" s="9" t="s">
        <v>85</v>
      </c>
      <c r="AO97" s="9" t="s">
        <v>85</v>
      </c>
      <c r="AP97" s="9" t="s">
        <v>85</v>
      </c>
      <c r="AQ97" s="9" t="s">
        <v>85</v>
      </c>
      <c r="AR97" s="9" t="s">
        <v>85</v>
      </c>
      <c r="AS97" s="9" t="s">
        <v>85</v>
      </c>
      <c r="AT97" s="9" t="s">
        <v>85</v>
      </c>
      <c r="AU97" s="9" t="s">
        <v>85</v>
      </c>
      <c r="AV97" s="9">
        <v>0.380878</v>
      </c>
      <c r="AW97" s="9" t="s">
        <v>85</v>
      </c>
      <c r="AX97" s="9" t="s">
        <v>85</v>
      </c>
      <c r="AY97" s="9">
        <v>0.409091</v>
      </c>
      <c r="AZ97" s="9" t="s">
        <v>85</v>
      </c>
      <c r="BA97" s="9" t="s">
        <v>85</v>
      </c>
      <c r="BB97" s="9" t="s">
        <v>85</v>
      </c>
      <c r="BC97" s="10" t="s">
        <v>85</v>
      </c>
      <c r="BD97" s="10" t="s">
        <v>85</v>
      </c>
      <c r="BE97" s="10" t="s">
        <v>85</v>
      </c>
      <c r="BF97" s="10" t="s">
        <v>85</v>
      </c>
      <c r="BG97" s="10" t="s">
        <v>85</v>
      </c>
      <c r="BH97" s="9" t="s">
        <v>85</v>
      </c>
      <c r="BI97" s="6"/>
      <c r="BJ97" s="6" t="str">
        <f t="shared" si="1"/>
        <v>8VB_One_Acc</v>
      </c>
      <c r="BK97" s="6" t="str">
        <f t="shared" si="2"/>
        <v>10V_One_Acc</v>
      </c>
      <c r="BL97" s="6" t="str">
        <f t="shared" si="3"/>
        <v>10VB_One_Acc</v>
      </c>
      <c r="BM97" s="6"/>
      <c r="BN97" s="6">
        <f t="shared" si="4"/>
        <v>8</v>
      </c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</row>
    <row r="98" ht="15.75" customHeight="1">
      <c r="A98" s="1" t="s">
        <v>192</v>
      </c>
      <c r="B98" s="17">
        <v>900.0</v>
      </c>
      <c r="C98" s="17">
        <v>5.0</v>
      </c>
      <c r="D98" s="9" t="s">
        <v>85</v>
      </c>
      <c r="E98" s="9" t="s">
        <v>85</v>
      </c>
      <c r="F98" s="9" t="s">
        <v>85</v>
      </c>
      <c r="G98" s="9" t="s">
        <v>85</v>
      </c>
      <c r="H98" s="9" t="s">
        <v>85</v>
      </c>
      <c r="I98" s="9" t="s">
        <v>85</v>
      </c>
      <c r="J98" s="9" t="s">
        <v>85</v>
      </c>
      <c r="K98" s="9" t="s">
        <v>85</v>
      </c>
      <c r="L98" s="9">
        <v>0.545455</v>
      </c>
      <c r="M98" s="9" t="s">
        <v>85</v>
      </c>
      <c r="N98" s="9" t="s">
        <v>85</v>
      </c>
      <c r="O98" s="9">
        <v>0.506494</v>
      </c>
      <c r="P98" s="9" t="s">
        <v>85</v>
      </c>
      <c r="Q98" s="9" t="s">
        <v>85</v>
      </c>
      <c r="R98" s="9" t="s">
        <v>85</v>
      </c>
      <c r="S98" s="9" t="s">
        <v>85</v>
      </c>
      <c r="T98" s="9" t="s">
        <v>85</v>
      </c>
      <c r="U98" s="9" t="s">
        <v>85</v>
      </c>
      <c r="V98" s="9" t="s">
        <v>85</v>
      </c>
      <c r="W98" s="9" t="s">
        <v>85</v>
      </c>
      <c r="X98" s="9">
        <v>0.480519</v>
      </c>
      <c r="Y98" s="9" t="s">
        <v>85</v>
      </c>
      <c r="Z98" s="9" t="s">
        <v>85</v>
      </c>
      <c r="AA98" s="9">
        <v>0.441558</v>
      </c>
      <c r="AB98" s="10" t="s">
        <v>85</v>
      </c>
      <c r="AC98" s="10" t="s">
        <v>85</v>
      </c>
      <c r="AD98" s="9" t="s">
        <v>85</v>
      </c>
      <c r="AE98" s="9" t="s">
        <v>85</v>
      </c>
      <c r="AF98" s="9" t="s">
        <v>85</v>
      </c>
      <c r="AG98" s="9" t="s">
        <v>85</v>
      </c>
      <c r="AH98" s="9" t="s">
        <v>85</v>
      </c>
      <c r="AI98" s="9" t="s">
        <v>85</v>
      </c>
      <c r="AJ98" s="9">
        <v>0.493506</v>
      </c>
      <c r="AK98" s="9" t="s">
        <v>85</v>
      </c>
      <c r="AL98" s="9" t="s">
        <v>85</v>
      </c>
      <c r="AM98" s="9">
        <v>0.402597</v>
      </c>
      <c r="AN98" s="9" t="s">
        <v>85</v>
      </c>
      <c r="AO98" s="9" t="s">
        <v>85</v>
      </c>
      <c r="AP98" s="9" t="s">
        <v>85</v>
      </c>
      <c r="AQ98" s="9" t="s">
        <v>85</v>
      </c>
      <c r="AR98" s="9" t="s">
        <v>85</v>
      </c>
      <c r="AS98" s="9" t="s">
        <v>85</v>
      </c>
      <c r="AT98" s="9" t="s">
        <v>85</v>
      </c>
      <c r="AU98" s="9" t="s">
        <v>85</v>
      </c>
      <c r="AV98" s="9">
        <v>0.506494</v>
      </c>
      <c r="AW98" s="9" t="s">
        <v>85</v>
      </c>
      <c r="AX98" s="9" t="s">
        <v>85</v>
      </c>
      <c r="AY98" s="9">
        <v>0.428571</v>
      </c>
      <c r="AZ98" s="9" t="s">
        <v>85</v>
      </c>
      <c r="BA98" s="9" t="s">
        <v>85</v>
      </c>
      <c r="BB98" s="9" t="s">
        <v>85</v>
      </c>
      <c r="BC98" s="10" t="s">
        <v>85</v>
      </c>
      <c r="BD98" s="10" t="s">
        <v>85</v>
      </c>
      <c r="BE98" s="10" t="s">
        <v>85</v>
      </c>
      <c r="BF98" s="10" t="s">
        <v>85</v>
      </c>
      <c r="BG98" s="10" t="s">
        <v>85</v>
      </c>
      <c r="BH98" s="9" t="s">
        <v>85</v>
      </c>
      <c r="BI98" s="6"/>
      <c r="BJ98" s="6" t="str">
        <f t="shared" si="1"/>
        <v>5V_One_Acc</v>
      </c>
      <c r="BK98" s="6" t="str">
        <f t="shared" si="2"/>
        <v>5VB_One_Acc</v>
      </c>
      <c r="BL98" s="6" t="str">
        <f t="shared" si="3"/>
        <v>5VB_One_Acc</v>
      </c>
      <c r="BM98" s="6"/>
      <c r="BN98" s="6">
        <f t="shared" si="4"/>
        <v>5</v>
      </c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</row>
    <row r="99" ht="15.75" customHeight="1">
      <c r="A99" s="1" t="s">
        <v>193</v>
      </c>
      <c r="B99" s="17">
        <v>900.0</v>
      </c>
      <c r="C99" s="17">
        <v>2.0</v>
      </c>
      <c r="D99" s="9" t="s">
        <v>85</v>
      </c>
      <c r="E99" s="9" t="s">
        <v>85</v>
      </c>
      <c r="F99" s="9" t="s">
        <v>85</v>
      </c>
      <c r="G99" s="9" t="s">
        <v>85</v>
      </c>
      <c r="H99" s="9" t="s">
        <v>85</v>
      </c>
      <c r="I99" s="9" t="s">
        <v>85</v>
      </c>
      <c r="J99" s="9" t="s">
        <v>85</v>
      </c>
      <c r="K99" s="9" t="s">
        <v>85</v>
      </c>
      <c r="L99" s="9">
        <v>0.558442</v>
      </c>
      <c r="M99" s="9" t="s">
        <v>85</v>
      </c>
      <c r="N99" s="9" t="s">
        <v>85</v>
      </c>
      <c r="O99" s="9">
        <v>0.597403</v>
      </c>
      <c r="P99" s="9" t="s">
        <v>85</v>
      </c>
      <c r="Q99" s="9" t="s">
        <v>85</v>
      </c>
      <c r="R99" s="9" t="s">
        <v>85</v>
      </c>
      <c r="S99" s="9" t="s">
        <v>85</v>
      </c>
      <c r="T99" s="9" t="s">
        <v>85</v>
      </c>
      <c r="U99" s="9" t="s">
        <v>85</v>
      </c>
      <c r="V99" s="9" t="s">
        <v>85</v>
      </c>
      <c r="W99" s="9" t="s">
        <v>85</v>
      </c>
      <c r="X99" s="9">
        <v>0.571429</v>
      </c>
      <c r="Y99" s="9" t="s">
        <v>85</v>
      </c>
      <c r="Z99" s="9" t="s">
        <v>85</v>
      </c>
      <c r="AA99" s="9">
        <v>0.571429</v>
      </c>
      <c r="AB99" s="10" t="s">
        <v>85</v>
      </c>
      <c r="AC99" s="10" t="s">
        <v>85</v>
      </c>
      <c r="AD99" s="9" t="s">
        <v>85</v>
      </c>
      <c r="AE99" s="9" t="s">
        <v>85</v>
      </c>
      <c r="AF99" s="9" t="s">
        <v>85</v>
      </c>
      <c r="AG99" s="9" t="s">
        <v>85</v>
      </c>
      <c r="AH99" s="9" t="s">
        <v>85</v>
      </c>
      <c r="AI99" s="9" t="s">
        <v>85</v>
      </c>
      <c r="AJ99" s="9">
        <v>0.532468</v>
      </c>
      <c r="AK99" s="9" t="s">
        <v>85</v>
      </c>
      <c r="AL99" s="9" t="s">
        <v>85</v>
      </c>
      <c r="AM99" s="9">
        <v>0.597403</v>
      </c>
      <c r="AN99" s="9" t="s">
        <v>85</v>
      </c>
      <c r="AO99" s="9" t="s">
        <v>85</v>
      </c>
      <c r="AP99" s="9" t="s">
        <v>85</v>
      </c>
      <c r="AQ99" s="9" t="s">
        <v>85</v>
      </c>
      <c r="AR99" s="9" t="s">
        <v>85</v>
      </c>
      <c r="AS99" s="9" t="s">
        <v>85</v>
      </c>
      <c r="AT99" s="9" t="s">
        <v>85</v>
      </c>
      <c r="AU99" s="9" t="s">
        <v>85</v>
      </c>
      <c r="AV99" s="9">
        <v>0.623377</v>
      </c>
      <c r="AW99" s="9" t="s">
        <v>85</v>
      </c>
      <c r="AX99" s="9" t="s">
        <v>85</v>
      </c>
      <c r="AY99" s="9">
        <v>0.584416</v>
      </c>
      <c r="AZ99" s="9" t="s">
        <v>85</v>
      </c>
      <c r="BA99" s="9" t="s">
        <v>85</v>
      </c>
      <c r="BB99" s="9" t="s">
        <v>85</v>
      </c>
      <c r="BC99" s="10" t="s">
        <v>85</v>
      </c>
      <c r="BD99" s="10" t="s">
        <v>85</v>
      </c>
      <c r="BE99" s="10" t="s">
        <v>85</v>
      </c>
      <c r="BF99" s="10" t="s">
        <v>85</v>
      </c>
      <c r="BG99" s="10" t="s">
        <v>85</v>
      </c>
      <c r="BH99" s="9" t="s">
        <v>85</v>
      </c>
      <c r="BI99" s="6"/>
      <c r="BJ99" s="6" t="str">
        <f t="shared" si="1"/>
        <v>12V_One_Acc</v>
      </c>
      <c r="BK99" s="6" t="str">
        <f t="shared" si="2"/>
        <v>5VB_One_Acc</v>
      </c>
      <c r="BL99" s="6" t="str">
        <f t="shared" si="3"/>
        <v>5VB_One_Acc</v>
      </c>
      <c r="BM99" s="6"/>
      <c r="BN99" s="6">
        <f t="shared" si="4"/>
        <v>12</v>
      </c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</row>
    <row r="100" ht="15.75" customHeight="1">
      <c r="A100" s="1" t="s">
        <v>194</v>
      </c>
      <c r="B100" s="17">
        <v>426.0</v>
      </c>
      <c r="C100" s="17">
        <v>2.0</v>
      </c>
      <c r="D100" s="9" t="s">
        <v>85</v>
      </c>
      <c r="E100" s="9" t="s">
        <v>85</v>
      </c>
      <c r="F100" s="9" t="s">
        <v>85</v>
      </c>
      <c r="G100" s="9" t="s">
        <v>85</v>
      </c>
      <c r="H100" s="9" t="s">
        <v>85</v>
      </c>
      <c r="I100" s="9" t="s">
        <v>85</v>
      </c>
      <c r="J100" s="9" t="s">
        <v>85</v>
      </c>
      <c r="K100" s="9" t="s">
        <v>85</v>
      </c>
      <c r="L100" s="9">
        <v>0.781667</v>
      </c>
      <c r="M100" s="9" t="s">
        <v>85</v>
      </c>
      <c r="N100" s="9" t="s">
        <v>85</v>
      </c>
      <c r="O100" s="9">
        <v>0.767</v>
      </c>
      <c r="P100" s="9" t="s">
        <v>85</v>
      </c>
      <c r="Q100" s="9" t="s">
        <v>85</v>
      </c>
      <c r="R100" s="9" t="s">
        <v>85</v>
      </c>
      <c r="S100" s="9" t="s">
        <v>85</v>
      </c>
      <c r="T100" s="9" t="s">
        <v>85</v>
      </c>
      <c r="U100" s="9" t="s">
        <v>85</v>
      </c>
      <c r="V100" s="9" t="s">
        <v>85</v>
      </c>
      <c r="W100" s="9" t="s">
        <v>85</v>
      </c>
      <c r="X100" s="9">
        <v>0.797667</v>
      </c>
      <c r="Y100" s="9" t="s">
        <v>85</v>
      </c>
      <c r="Z100" s="9" t="s">
        <v>85</v>
      </c>
      <c r="AA100" s="9">
        <v>0.773667</v>
      </c>
      <c r="AB100" s="10" t="s">
        <v>85</v>
      </c>
      <c r="AC100" s="10" t="s">
        <v>85</v>
      </c>
      <c r="AD100" s="9" t="s">
        <v>85</v>
      </c>
      <c r="AE100" s="9" t="s">
        <v>85</v>
      </c>
      <c r="AF100" s="9" t="s">
        <v>85</v>
      </c>
      <c r="AG100" s="9" t="s">
        <v>85</v>
      </c>
      <c r="AH100" s="9" t="s">
        <v>85</v>
      </c>
      <c r="AI100" s="9" t="s">
        <v>85</v>
      </c>
      <c r="AJ100" s="9">
        <v>0.802667</v>
      </c>
      <c r="AK100" s="9" t="s">
        <v>85</v>
      </c>
      <c r="AL100" s="9" t="s">
        <v>85</v>
      </c>
      <c r="AM100" s="9">
        <v>0.81</v>
      </c>
      <c r="AN100" s="9" t="s">
        <v>85</v>
      </c>
      <c r="AO100" s="9" t="s">
        <v>85</v>
      </c>
      <c r="AP100" s="9" t="s">
        <v>85</v>
      </c>
      <c r="AQ100" s="9" t="s">
        <v>85</v>
      </c>
      <c r="AR100" s="9" t="s">
        <v>85</v>
      </c>
      <c r="AS100" s="9" t="s">
        <v>85</v>
      </c>
      <c r="AT100" s="9" t="s">
        <v>85</v>
      </c>
      <c r="AU100" s="9" t="s">
        <v>85</v>
      </c>
      <c r="AV100" s="9">
        <v>0.799333</v>
      </c>
      <c r="AW100" s="9" t="s">
        <v>85</v>
      </c>
      <c r="AX100" s="9" t="s">
        <v>85</v>
      </c>
      <c r="AY100" s="9">
        <v>0.802333</v>
      </c>
      <c r="AZ100" s="9" t="s">
        <v>85</v>
      </c>
      <c r="BA100" s="9" t="s">
        <v>85</v>
      </c>
      <c r="BB100" s="9" t="s">
        <v>85</v>
      </c>
      <c r="BC100" s="10" t="s">
        <v>85</v>
      </c>
      <c r="BD100" s="10" t="s">
        <v>85</v>
      </c>
      <c r="BE100" s="10" t="s">
        <v>85</v>
      </c>
      <c r="BF100" s="10" t="s">
        <v>85</v>
      </c>
      <c r="BG100" s="10" t="s">
        <v>85</v>
      </c>
      <c r="BH100" s="9" t="s">
        <v>85</v>
      </c>
      <c r="BI100" s="6"/>
      <c r="BJ100" s="6" t="str">
        <f t="shared" si="1"/>
        <v>10VB_One_Acc</v>
      </c>
      <c r="BK100" s="6" t="str">
        <f t="shared" si="2"/>
        <v>10V_One_Acc</v>
      </c>
      <c r="BL100" s="6" t="str">
        <f t="shared" si="3"/>
        <v>12VB_One_Acc</v>
      </c>
      <c r="BM100" s="6"/>
      <c r="BN100" s="6">
        <f t="shared" si="4"/>
        <v>10</v>
      </c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</row>
    <row r="101" ht="15.75" customHeight="1">
      <c r="A101" s="15"/>
      <c r="B101" s="15"/>
      <c r="C101" s="15"/>
      <c r="J101" s="1"/>
      <c r="K101" s="1"/>
      <c r="L101" s="1"/>
      <c r="P101" s="1"/>
      <c r="Q101" s="1"/>
      <c r="R101" s="1"/>
      <c r="S101" s="1"/>
      <c r="T101" s="1"/>
      <c r="U101" s="1"/>
      <c r="X101" s="1"/>
      <c r="AB101" s="1"/>
      <c r="AC101" s="1"/>
      <c r="AD101" s="1"/>
      <c r="AE101" s="1"/>
      <c r="AF101" s="1"/>
      <c r="AH101" s="1"/>
      <c r="AI101" s="1"/>
      <c r="AJ101" s="1"/>
      <c r="AN101" s="1"/>
      <c r="AO101" s="1"/>
      <c r="AP101" s="1"/>
      <c r="AQ101" s="1"/>
      <c r="AR101" s="1"/>
      <c r="AS101" s="1"/>
      <c r="AV101" s="1"/>
      <c r="AZ101" s="1"/>
      <c r="BA101" s="1"/>
      <c r="BB101" s="1"/>
      <c r="BC101" s="1"/>
      <c r="BD101" s="1"/>
    </row>
    <row r="102" ht="15.75" customHeight="1">
      <c r="A102" s="15"/>
      <c r="B102" s="15"/>
      <c r="C102" s="15"/>
      <c r="J102" s="1"/>
      <c r="K102" s="1"/>
      <c r="L102" s="1"/>
      <c r="M102" s="1"/>
      <c r="N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ht="15.75" customHeight="1">
      <c r="A103" s="15"/>
      <c r="B103" s="15"/>
      <c r="C103" s="15"/>
      <c r="J103" s="1"/>
      <c r="K103" s="1"/>
      <c r="L103" s="1"/>
      <c r="M103" s="1"/>
      <c r="N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ht="15.75" customHeight="1">
      <c r="A104" s="15"/>
      <c r="B104" s="15"/>
      <c r="C104" s="15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ht="15.75" customHeight="1">
      <c r="A105" s="15"/>
      <c r="B105" s="15"/>
      <c r="C105" s="15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ht="15.75" customHeight="1">
      <c r="A106" s="15"/>
      <c r="B106" s="15"/>
      <c r="C106" s="15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ht="15.75" customHeight="1">
      <c r="C107" s="15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ht="15.75" customHeight="1">
      <c r="C108" s="15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ht="15.75" customHeight="1">
      <c r="C109" s="15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ht="15.75" customHeight="1">
      <c r="C110" s="15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ht="15.75" customHeight="1">
      <c r="C111" s="15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ht="15.75" customHeight="1">
      <c r="C112" s="15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ht="15.75" customHeight="1">
      <c r="C113" s="15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ht="15.75" customHeight="1">
      <c r="C114" s="15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ht="15.75" customHeight="1">
      <c r="C115" s="15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ht="15.75" customHeight="1">
      <c r="C116" s="15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ht="15.75" customHeight="1">
      <c r="C117" s="15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ht="15.75" customHeight="1">
      <c r="C118" s="15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ht="15.75" customHeight="1">
      <c r="C119" s="15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ht="15.75" customHeight="1">
      <c r="C120" s="15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ht="15.75" customHeight="1">
      <c r="C121" s="15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ht="15.75" customHeight="1">
      <c r="C122" s="15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ht="15.75" customHeight="1">
      <c r="C123" s="15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ht="15.75" customHeight="1">
      <c r="C124" s="15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ht="15.75" customHeight="1">
      <c r="C125" s="15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ht="15.75" customHeight="1">
      <c r="C126" s="15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ht="15.75" customHeight="1">
      <c r="C127" s="15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ht="15.75" customHeight="1">
      <c r="C128" s="15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ht="15.75" customHeight="1">
      <c r="C129" s="15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ht="15.75" customHeight="1">
      <c r="C130" s="15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ht="15.75" customHeight="1">
      <c r="C131" s="15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ht="15.75" customHeight="1">
      <c r="C132" s="15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ht="15.75" customHeight="1">
      <c r="C133" s="15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ht="15.75" customHeight="1">
      <c r="C134" s="15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ht="15.75" customHeight="1">
      <c r="C135" s="15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ht="15.75" customHeight="1">
      <c r="C136" s="15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ht="15.75" customHeight="1">
      <c r="C137" s="15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ht="15.75" customHeight="1">
      <c r="C138" s="15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ht="15.75" customHeight="1">
      <c r="C139" s="15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ht="15.75" customHeight="1">
      <c r="C140" s="15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ht="15.75" customHeight="1">
      <c r="C141" s="15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ht="15.75" customHeight="1">
      <c r="C142" s="15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ht="15.75" customHeight="1">
      <c r="C143" s="15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ht="15.75" customHeight="1">
      <c r="C144" s="15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ht="15.75" customHeight="1">
      <c r="C145" s="15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ht="15.75" customHeight="1">
      <c r="C146" s="15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ht="15.75" customHeight="1">
      <c r="C147" s="15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ht="15.75" customHeight="1">
      <c r="C148" s="15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ht="15.75" customHeight="1">
      <c r="C149" s="15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ht="15.75" customHeight="1">
      <c r="C150" s="15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ht="15.75" customHeight="1">
      <c r="C151" s="15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ht="15.75" customHeight="1">
      <c r="C152" s="15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ht="15.75" customHeight="1">
      <c r="C153" s="15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ht="15.75" customHeight="1">
      <c r="C154" s="15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ht="15.75" customHeight="1">
      <c r="C155" s="15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ht="15.75" customHeight="1">
      <c r="C156" s="15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ht="15.75" customHeight="1">
      <c r="C157" s="15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ht="15.75" customHeight="1">
      <c r="C158" s="15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ht="15.75" customHeight="1">
      <c r="C159" s="15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ht="15.75" customHeight="1">
      <c r="C160" s="15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ht="15.75" customHeight="1">
      <c r="C161" s="15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ht="15.75" customHeight="1">
      <c r="C162" s="15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ht="15.75" customHeight="1">
      <c r="C163" s="15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ht="15.75" customHeight="1">
      <c r="C164" s="15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ht="15.75" customHeight="1">
      <c r="C165" s="15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ht="15.75" customHeight="1">
      <c r="C166" s="15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ht="15.75" customHeight="1">
      <c r="C167" s="15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ht="15.75" customHeight="1">
      <c r="C168" s="15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ht="15.75" customHeight="1">
      <c r="C169" s="15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ht="15.75" customHeight="1">
      <c r="C170" s="15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ht="15.75" customHeight="1">
      <c r="C171" s="15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ht="15.75" customHeight="1">
      <c r="C172" s="15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ht="15.75" customHeight="1">
      <c r="C173" s="15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ht="15.75" customHeight="1">
      <c r="C174" s="15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ht="15.75" customHeight="1">
      <c r="C175" s="15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ht="15.75" customHeight="1">
      <c r="C176" s="15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ht="15.75" customHeight="1">
      <c r="C177" s="15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ht="15.75" customHeight="1">
      <c r="C178" s="15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ht="15.75" customHeight="1">
      <c r="C179" s="15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ht="15.75" customHeight="1">
      <c r="C180" s="15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ht="15.75" customHeight="1">
      <c r="C181" s="15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ht="15.75" customHeight="1">
      <c r="C182" s="15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ht="15.75" customHeight="1">
      <c r="C183" s="15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ht="15.75" customHeight="1">
      <c r="C184" s="15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ht="15.75" customHeight="1">
      <c r="C185" s="15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ht="15.75" customHeight="1">
      <c r="C186" s="15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ht="15.75" customHeight="1">
      <c r="C187" s="15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ht="15.75" customHeight="1">
      <c r="C188" s="15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ht="15.75" customHeight="1">
      <c r="C189" s="15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ht="15.75" customHeight="1">
      <c r="C190" s="15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ht="15.75" customHeight="1">
      <c r="C191" s="15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ht="15.75" customHeight="1">
      <c r="C192" s="15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ht="15.75" customHeight="1">
      <c r="C193" s="15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ht="15.75" customHeight="1">
      <c r="C194" s="15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ht="15.75" customHeight="1">
      <c r="C195" s="15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ht="15.75" customHeight="1">
      <c r="C196" s="15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ht="15.75" customHeight="1">
      <c r="C197" s="15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ht="15.75" customHeight="1">
      <c r="C198" s="15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ht="15.75" customHeight="1">
      <c r="C199" s="15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ht="15.75" customHeight="1">
      <c r="C200" s="15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ht="15.75" customHeight="1">
      <c r="C201" s="15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ht="15.75" customHeight="1">
      <c r="C202" s="15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ht="15.75" customHeight="1">
      <c r="C203" s="15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ht="15.75" customHeight="1">
      <c r="C204" s="15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ht="15.75" customHeight="1">
      <c r="C205" s="15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ht="15.75" customHeight="1">
      <c r="C206" s="15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ht="15.75" customHeight="1">
      <c r="C207" s="15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ht="15.75" customHeight="1">
      <c r="C208" s="15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ht="15.75" customHeight="1">
      <c r="C209" s="15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ht="15.75" customHeight="1">
      <c r="C210" s="15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ht="15.75" customHeight="1">
      <c r="C211" s="15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ht="15.75" customHeight="1">
      <c r="C212" s="15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ht="15.75" customHeight="1">
      <c r="C213" s="15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ht="15.75" customHeight="1">
      <c r="C214" s="15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ht="15.75" customHeight="1">
      <c r="C215" s="15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ht="15.75" customHeight="1">
      <c r="C216" s="15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ht="15.75" customHeight="1">
      <c r="C217" s="15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ht="15.75" customHeight="1">
      <c r="C218" s="15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ht="15.75" customHeight="1">
      <c r="C219" s="15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ht="15.75" customHeight="1">
      <c r="C220" s="15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ht="15.75" customHeight="1">
      <c r="C221" s="15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ht="15.75" customHeight="1">
      <c r="C222" s="15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ht="15.75" customHeight="1">
      <c r="C223" s="15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ht="15.75" customHeight="1">
      <c r="C224" s="15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ht="15.75" customHeight="1">
      <c r="C225" s="15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ht="15.75" customHeight="1">
      <c r="C226" s="15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ht="15.75" customHeight="1">
      <c r="C227" s="15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ht="15.75" customHeight="1">
      <c r="C228" s="15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ht="15.75" customHeight="1">
      <c r="C229" s="15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ht="15.75" customHeight="1">
      <c r="C230" s="15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ht="15.75" customHeight="1">
      <c r="C231" s="15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ht="15.75" customHeight="1">
      <c r="C232" s="15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ht="15.75" customHeight="1">
      <c r="C233" s="15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ht="15.75" customHeight="1">
      <c r="C234" s="15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ht="15.75" customHeight="1">
      <c r="C235" s="15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ht="15.75" customHeight="1">
      <c r="C236" s="15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ht="15.75" customHeight="1">
      <c r="C237" s="15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ht="15.75" customHeight="1">
      <c r="C238" s="15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ht="15.75" customHeight="1">
      <c r="C239" s="15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ht="15.75" customHeight="1">
      <c r="C240" s="15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ht="15.75" customHeight="1">
      <c r="C241" s="15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ht="15.75" customHeight="1">
      <c r="C242" s="15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ht="15.75" customHeight="1">
      <c r="C243" s="15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ht="15.75" customHeight="1">
      <c r="C244" s="15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ht="15.75" customHeight="1">
      <c r="C245" s="15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ht="15.75" customHeight="1">
      <c r="C246" s="15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ht="15.75" customHeight="1">
      <c r="C247" s="15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ht="15.75" customHeight="1">
      <c r="C248" s="15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ht="15.75" customHeight="1">
      <c r="C249" s="15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ht="15.75" customHeight="1">
      <c r="C250" s="15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ht="15.75" customHeight="1">
      <c r="C251" s="15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ht="15.75" customHeight="1">
      <c r="C252" s="15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ht="15.75" customHeight="1">
      <c r="C253" s="15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ht="15.75" customHeight="1">
      <c r="C254" s="15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ht="15.75" customHeight="1">
      <c r="C255" s="15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ht="15.75" customHeight="1">
      <c r="C256" s="15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ht="15.75" customHeight="1">
      <c r="C257" s="15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ht="15.75" customHeight="1">
      <c r="C258" s="15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ht="15.75" customHeight="1">
      <c r="C259" s="15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ht="15.75" customHeight="1">
      <c r="C260" s="15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ht="15.75" customHeight="1">
      <c r="C261" s="15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ht="15.75" customHeight="1">
      <c r="C262" s="15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ht="15.75" customHeight="1">
      <c r="C263" s="15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ht="15.75" customHeight="1">
      <c r="C264" s="15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ht="15.75" customHeight="1">
      <c r="C265" s="15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ht="15.75" customHeight="1">
      <c r="C266" s="15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ht="15.75" customHeight="1">
      <c r="C267" s="15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ht="15.75" customHeight="1">
      <c r="C268" s="15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ht="15.75" customHeight="1">
      <c r="C269" s="15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ht="15.75" customHeight="1">
      <c r="C270" s="15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ht="15.75" customHeight="1">
      <c r="C271" s="15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ht="15.75" customHeight="1">
      <c r="C272" s="15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ht="15.75" customHeight="1">
      <c r="C273" s="15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ht="15.75" customHeight="1">
      <c r="C274" s="15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ht="15.75" customHeight="1">
      <c r="C275" s="15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ht="15.75" customHeight="1">
      <c r="C276" s="15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ht="15.75" customHeight="1">
      <c r="C277" s="15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ht="15.75" customHeight="1">
      <c r="C278" s="15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ht="15.75" customHeight="1">
      <c r="C279" s="15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ht="15.75" customHeight="1">
      <c r="C280" s="15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ht="15.75" customHeight="1">
      <c r="C281" s="15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ht="15.75" customHeight="1">
      <c r="C282" s="15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ht="15.75" customHeight="1">
      <c r="C283" s="15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ht="15.75" customHeight="1">
      <c r="C284" s="15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ht="15.75" customHeight="1">
      <c r="C285" s="15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ht="15.75" customHeight="1">
      <c r="C286" s="15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ht="15.75" customHeight="1">
      <c r="C287" s="15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ht="15.75" customHeight="1">
      <c r="C288" s="15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ht="15.75" customHeight="1">
      <c r="C289" s="15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ht="15.75" customHeight="1">
      <c r="C290" s="15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ht="15.75" customHeight="1">
      <c r="C291" s="15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ht="15.75" customHeight="1">
      <c r="C292" s="15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ht="15.75" customHeight="1">
      <c r="C293" s="15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ht="15.75" customHeight="1">
      <c r="C294" s="15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ht="15.75" customHeight="1">
      <c r="C295" s="15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ht="15.75" customHeight="1">
      <c r="C296" s="15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ht="15.75" customHeight="1">
      <c r="C297" s="15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ht="15.75" customHeight="1">
      <c r="C298" s="15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ht="15.75" customHeight="1">
      <c r="C299" s="15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ht="15.75" customHeight="1">
      <c r="C300" s="15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D1:F1"/>
    <mergeCell ref="G1:I1"/>
    <mergeCell ref="J1:L1"/>
    <mergeCell ref="M1:O1"/>
    <mergeCell ref="P1:R1"/>
    <mergeCell ref="S1:U1"/>
    <mergeCell ref="V1:X1"/>
    <mergeCell ref="AT1:AV1"/>
    <mergeCell ref="AW1:AY1"/>
    <mergeCell ref="AZ1:BB1"/>
    <mergeCell ref="BC1:BE1"/>
    <mergeCell ref="BF1:BH1"/>
    <mergeCell ref="Y1:AA1"/>
    <mergeCell ref="AB1:AD1"/>
    <mergeCell ref="AE1:AG1"/>
    <mergeCell ref="AH1:AJ1"/>
    <mergeCell ref="AK1:AM1"/>
    <mergeCell ref="AN1:AP1"/>
    <mergeCell ref="AQ1:AS1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7.63"/>
    <col customWidth="1" min="2" max="2" width="8.0"/>
    <col customWidth="1" min="3" max="3" width="9.0"/>
    <col customWidth="1" min="4" max="4" width="16.38"/>
    <col customWidth="1" min="5" max="5" width="13.88"/>
    <col customWidth="1" min="6" max="6" width="15.13"/>
    <col customWidth="1" min="7" max="8" width="13.75"/>
    <col customWidth="1" min="9" max="9" width="15.38"/>
    <col customWidth="1" min="10" max="10" width="13.75"/>
    <col customWidth="1" min="14" max="14" width="13.38"/>
    <col customWidth="1" min="15" max="15" width="17.75"/>
    <col customWidth="1" min="18" max="18" width="14.38"/>
    <col customWidth="1" min="21" max="21" width="13.88"/>
    <col customWidth="1" min="24" max="24" width="14.13"/>
    <col customWidth="1" min="26" max="26" width="13.88"/>
    <col customWidth="1" min="27" max="27" width="14.25"/>
    <col customWidth="1" min="29" max="29" width="13.75"/>
    <col customWidth="1" min="30" max="30" width="14.38"/>
    <col customWidth="1" min="32" max="32" width="14.0"/>
    <col customWidth="1" min="33" max="33" width="15.0"/>
    <col customWidth="1" min="36" max="36" width="13.25"/>
    <col customWidth="1" min="38" max="38" width="15.25"/>
    <col customWidth="1" min="39" max="39" width="16.38"/>
    <col customWidth="1" min="40" max="40" width="13.88"/>
    <col customWidth="1" min="42" max="42" width="14.38"/>
    <col customWidth="1" min="44" max="44" width="13.38"/>
    <col customWidth="1" min="45" max="45" width="14.13"/>
    <col customWidth="1" min="48" max="48" width="15.38"/>
    <col customWidth="1" min="50" max="50" width="14.88"/>
    <col customWidth="1" min="51" max="51" width="16.88"/>
    <col customWidth="1" min="53" max="53" width="14.75"/>
    <col customWidth="1" min="54" max="54" width="15.88"/>
    <col customWidth="1" min="63" max="63" width="17.38"/>
    <col customWidth="1" min="64" max="64" width="16.75"/>
    <col customWidth="1" min="65" max="65" width="16.63"/>
    <col customWidth="1" min="72" max="74" width="17.38"/>
    <col customWidth="1" min="75" max="75" width="15.25"/>
  </cols>
  <sheetData>
    <row r="1" ht="15.75" customHeight="1">
      <c r="A1" s="1" t="s">
        <v>0</v>
      </c>
      <c r="B1" s="1" t="s">
        <v>212</v>
      </c>
      <c r="C1" s="15" t="s">
        <v>235</v>
      </c>
      <c r="D1" s="25" t="s">
        <v>298</v>
      </c>
      <c r="E1" s="3" t="s">
        <v>2</v>
      </c>
      <c r="H1" s="3" t="s">
        <v>3</v>
      </c>
      <c r="K1" s="3" t="s">
        <v>4</v>
      </c>
      <c r="N1" s="3" t="s">
        <v>5</v>
      </c>
      <c r="Q1" s="3" t="s">
        <v>6</v>
      </c>
      <c r="T1" s="3" t="s">
        <v>7</v>
      </c>
      <c r="W1" s="3" t="s">
        <v>8</v>
      </c>
      <c r="Z1" s="3" t="s">
        <v>9</v>
      </c>
      <c r="AC1" s="3" t="s">
        <v>10</v>
      </c>
      <c r="AF1" s="3" t="s">
        <v>11</v>
      </c>
      <c r="AI1" s="3" t="s">
        <v>12</v>
      </c>
      <c r="AL1" s="3" t="s">
        <v>13</v>
      </c>
      <c r="AO1" s="3" t="s">
        <v>14</v>
      </c>
      <c r="AR1" s="3" t="s">
        <v>15</v>
      </c>
      <c r="AU1" s="3" t="s">
        <v>16</v>
      </c>
      <c r="AX1" s="3" t="s">
        <v>17</v>
      </c>
      <c r="BA1" s="3" t="s">
        <v>18</v>
      </c>
      <c r="BD1" s="3" t="s">
        <v>19</v>
      </c>
      <c r="BG1" s="3" t="s">
        <v>20</v>
      </c>
      <c r="BJ1" s="1"/>
      <c r="BL1" s="1"/>
      <c r="BM1" s="1"/>
      <c r="BN1" s="1"/>
      <c r="BO1" s="1"/>
      <c r="BP1" s="1"/>
      <c r="BQ1" s="1"/>
      <c r="BR1" s="1"/>
      <c r="BS1" s="1"/>
      <c r="BT1" s="1"/>
      <c r="BU1" s="1"/>
      <c r="BX1" s="1"/>
      <c r="BY1" s="1"/>
      <c r="BZ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</row>
    <row r="2" ht="15.75" customHeight="1">
      <c r="A2" s="1"/>
      <c r="B2" s="1"/>
      <c r="C2" s="15"/>
      <c r="D2" s="15"/>
      <c r="E2" s="1" t="s">
        <v>260</v>
      </c>
      <c r="F2" s="1" t="s">
        <v>261</v>
      </c>
      <c r="G2" s="4" t="s">
        <v>262</v>
      </c>
      <c r="H2" s="1" t="s">
        <v>263</v>
      </c>
      <c r="I2" s="1" t="s">
        <v>264</v>
      </c>
      <c r="J2" s="4" t="s">
        <v>265</v>
      </c>
      <c r="K2" s="1" t="s">
        <v>27</v>
      </c>
      <c r="L2" s="1" t="s">
        <v>28</v>
      </c>
      <c r="M2" s="5" t="s">
        <v>29</v>
      </c>
      <c r="N2" s="1" t="s">
        <v>30</v>
      </c>
      <c r="O2" s="1" t="s">
        <v>31</v>
      </c>
      <c r="P2" s="5" t="s">
        <v>32</v>
      </c>
      <c r="Q2" s="1" t="s">
        <v>266</v>
      </c>
      <c r="R2" s="1" t="s">
        <v>267</v>
      </c>
      <c r="S2" s="5" t="s">
        <v>268</v>
      </c>
      <c r="T2" s="1" t="s">
        <v>269</v>
      </c>
      <c r="U2" s="1" t="s">
        <v>270</v>
      </c>
      <c r="V2" s="5" t="s">
        <v>271</v>
      </c>
      <c r="W2" s="1" t="s">
        <v>39</v>
      </c>
      <c r="X2" s="1" t="s">
        <v>40</v>
      </c>
      <c r="Y2" s="5" t="s">
        <v>41</v>
      </c>
      <c r="Z2" s="1" t="s">
        <v>42</v>
      </c>
      <c r="AA2" s="1" t="s">
        <v>43</v>
      </c>
      <c r="AB2" s="5" t="s">
        <v>44</v>
      </c>
      <c r="AC2" s="1" t="s">
        <v>272</v>
      </c>
      <c r="AD2" s="1" t="s">
        <v>273</v>
      </c>
      <c r="AE2" s="5" t="s">
        <v>274</v>
      </c>
      <c r="AF2" s="1" t="s">
        <v>275</v>
      </c>
      <c r="AG2" s="1" t="s">
        <v>276</v>
      </c>
      <c r="AH2" s="5" t="s">
        <v>277</v>
      </c>
      <c r="AI2" s="1" t="s">
        <v>51</v>
      </c>
      <c r="AJ2" s="1" t="s">
        <v>52</v>
      </c>
      <c r="AK2" s="5" t="s">
        <v>53</v>
      </c>
      <c r="AL2" s="1" t="s">
        <v>54</v>
      </c>
      <c r="AM2" s="1" t="s">
        <v>55</v>
      </c>
      <c r="AN2" s="5" t="s">
        <v>56</v>
      </c>
      <c r="AO2" s="1" t="s">
        <v>278</v>
      </c>
      <c r="AP2" s="1" t="s">
        <v>279</v>
      </c>
      <c r="AQ2" s="5" t="s">
        <v>280</v>
      </c>
      <c r="AR2" s="1" t="s">
        <v>281</v>
      </c>
      <c r="AS2" s="1" t="s">
        <v>282</v>
      </c>
      <c r="AT2" s="5" t="s">
        <v>283</v>
      </c>
      <c r="AU2" s="1" t="s">
        <v>63</v>
      </c>
      <c r="AV2" s="1" t="s">
        <v>64</v>
      </c>
      <c r="AW2" s="5" t="s">
        <v>65</v>
      </c>
      <c r="AX2" s="1" t="s">
        <v>66</v>
      </c>
      <c r="AY2" s="1" t="s">
        <v>67</v>
      </c>
      <c r="AZ2" s="5" t="s">
        <v>68</v>
      </c>
      <c r="BA2" s="1" t="s">
        <v>284</v>
      </c>
      <c r="BB2" s="1" t="s">
        <v>285</v>
      </c>
      <c r="BC2" s="5" t="s">
        <v>286</v>
      </c>
      <c r="BD2" s="1" t="s">
        <v>72</v>
      </c>
      <c r="BE2" s="1" t="s">
        <v>73</v>
      </c>
      <c r="BF2" s="5" t="s">
        <v>74</v>
      </c>
      <c r="BG2" s="1" t="s">
        <v>75</v>
      </c>
      <c r="BH2" s="1" t="s">
        <v>76</v>
      </c>
      <c r="BI2" s="5" t="s">
        <v>77</v>
      </c>
      <c r="BJ2" s="1"/>
      <c r="BK2" s="1" t="s">
        <v>213</v>
      </c>
      <c r="BL2" s="1" t="s">
        <v>214</v>
      </c>
      <c r="BM2" s="1" t="s">
        <v>215</v>
      </c>
      <c r="BN2" s="1"/>
      <c r="BO2" s="1" t="s">
        <v>213</v>
      </c>
      <c r="BP2" s="1" t="s">
        <v>214</v>
      </c>
      <c r="BQ2" s="1" t="s">
        <v>215</v>
      </c>
      <c r="BR2" s="1"/>
      <c r="BS2" s="1" t="s">
        <v>216</v>
      </c>
      <c r="BT2" s="1" t="s">
        <v>217</v>
      </c>
      <c r="BU2" s="1" t="s">
        <v>218</v>
      </c>
      <c r="BV2" s="1" t="s">
        <v>219</v>
      </c>
      <c r="BX2" s="1"/>
      <c r="BY2" s="1"/>
      <c r="BZ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</row>
    <row r="3" ht="15.75" customHeight="1">
      <c r="A3" s="1" t="s">
        <v>84</v>
      </c>
      <c r="B3" s="17">
        <v>1460.0</v>
      </c>
      <c r="C3" s="17">
        <v>10.0</v>
      </c>
      <c r="D3" s="17" t="s">
        <v>299</v>
      </c>
      <c r="E3" s="9" t="s">
        <v>85</v>
      </c>
      <c r="F3" s="9" t="s">
        <v>85</v>
      </c>
      <c r="G3" s="9">
        <v>0.58</v>
      </c>
      <c r="H3" s="9" t="s">
        <v>85</v>
      </c>
      <c r="I3" s="9" t="s">
        <v>85</v>
      </c>
      <c r="J3" s="9">
        <v>0.1</v>
      </c>
      <c r="K3" s="9" t="s">
        <v>85</v>
      </c>
      <c r="L3" s="9" t="s">
        <v>85</v>
      </c>
      <c r="M3" s="9">
        <v>0.56</v>
      </c>
      <c r="N3" s="9" t="s">
        <v>85</v>
      </c>
      <c r="O3" s="9" t="s">
        <v>85</v>
      </c>
      <c r="P3" s="9">
        <v>0.59</v>
      </c>
      <c r="Q3" s="9" t="s">
        <v>85</v>
      </c>
      <c r="R3" s="9" t="s">
        <v>85</v>
      </c>
      <c r="S3" s="9">
        <v>0.76</v>
      </c>
      <c r="T3" s="9" t="s">
        <v>85</v>
      </c>
      <c r="U3" s="9" t="s">
        <v>85</v>
      </c>
      <c r="V3" s="9">
        <v>0.72</v>
      </c>
      <c r="W3" s="9" t="s">
        <v>85</v>
      </c>
      <c r="X3" s="9" t="s">
        <v>85</v>
      </c>
      <c r="Y3" s="9">
        <v>0.55</v>
      </c>
      <c r="Z3" s="9" t="s">
        <v>85</v>
      </c>
      <c r="AA3" s="9" t="s">
        <v>85</v>
      </c>
      <c r="AB3" s="9">
        <v>0.4</v>
      </c>
      <c r="AC3" s="10" t="s">
        <v>85</v>
      </c>
      <c r="AD3" s="10" t="s">
        <v>85</v>
      </c>
      <c r="AE3" s="9">
        <v>0.47</v>
      </c>
      <c r="AF3" s="9" t="s">
        <v>85</v>
      </c>
      <c r="AG3" s="9" t="s">
        <v>85</v>
      </c>
      <c r="AH3" s="9">
        <v>0.66</v>
      </c>
      <c r="AI3" s="9" t="s">
        <v>85</v>
      </c>
      <c r="AJ3" s="9" t="s">
        <v>85</v>
      </c>
      <c r="AK3" s="9">
        <v>0.5</v>
      </c>
      <c r="AL3" s="9" t="s">
        <v>85</v>
      </c>
      <c r="AM3" s="9" t="s">
        <v>85</v>
      </c>
      <c r="AN3" s="9">
        <v>0.38</v>
      </c>
      <c r="AO3" s="9" t="s">
        <v>85</v>
      </c>
      <c r="AP3" s="9" t="s">
        <v>85</v>
      </c>
      <c r="AQ3" s="9">
        <v>0.62</v>
      </c>
      <c r="AR3" s="9" t="s">
        <v>85</v>
      </c>
      <c r="AS3" s="9" t="s">
        <v>85</v>
      </c>
      <c r="AT3" s="9">
        <v>0.73</v>
      </c>
      <c r="AU3" s="9" t="s">
        <v>85</v>
      </c>
      <c r="AV3" s="9" t="s">
        <v>85</v>
      </c>
      <c r="AW3" s="9">
        <v>0.3</v>
      </c>
      <c r="AX3" s="9" t="s">
        <v>85</v>
      </c>
      <c r="AY3" s="9" t="s">
        <v>85</v>
      </c>
      <c r="AZ3" s="9">
        <v>0.49</v>
      </c>
      <c r="BA3" s="9" t="s">
        <v>85</v>
      </c>
      <c r="BB3" s="9" t="s">
        <v>85</v>
      </c>
      <c r="BC3" s="9">
        <v>0.68</v>
      </c>
      <c r="BD3" s="10" t="s">
        <v>85</v>
      </c>
      <c r="BE3" s="10" t="s">
        <v>85</v>
      </c>
      <c r="BF3" s="9">
        <v>0.22</v>
      </c>
      <c r="BG3" s="10" t="s">
        <v>85</v>
      </c>
      <c r="BH3" s="10" t="s">
        <v>85</v>
      </c>
      <c r="BI3" s="9" t="s">
        <v>85</v>
      </c>
      <c r="BJ3" s="6"/>
      <c r="BK3" s="6" t="str">
        <f t="shared" ref="BK3:BK100" si="2">INDEX($E$2:$BI$2,0,MATCH(MAX(E3:BI3),E3:BI3,0))</f>
        <v>8Bo_One_Acc</v>
      </c>
      <c r="BL3" s="6" t="str">
        <f t="shared" ref="BL3:BL100" si="3">INDEX($E$2:$BI$2,0,MATCH(LARGE(E3:BI3,2),E3:BI3,0))</f>
        <v>12BoN_One_Acc</v>
      </c>
      <c r="BM3" s="6" t="str">
        <f t="shared" ref="BM3:BM100" si="4">INDEX($E$2:$BI$2,0,MATCH(LARGE(E3:BI3,3),E3:BI3,0))</f>
        <v>8BoN_One_Acc</v>
      </c>
      <c r="BN3" s="6"/>
      <c r="BO3" s="6">
        <f t="shared" ref="BO3:BQ3" si="1">IF(ISNUMBER(SEARCH("5",BK3)),5,IF(ISNUMBER(SEARCH("*8*",BK3)),8,IF(ISNUMBER(SEARCH("*10*",BK3)),10,IF(ISNUMBER(SEARCH("*12*",BK3)),12,IF(ISNUMBER(SEARCH("*20*",BK3)),20)))))</f>
        <v>8</v>
      </c>
      <c r="BP3" s="6">
        <f t="shared" si="1"/>
        <v>12</v>
      </c>
      <c r="BQ3" s="6">
        <f t="shared" si="1"/>
        <v>8</v>
      </c>
      <c r="BR3" s="6"/>
      <c r="BS3" s="6">
        <f>COUNTA(BK3:BM100)</f>
        <v>294</v>
      </c>
      <c r="BT3" s="6">
        <f>COUNTIF(BK3:BM100,"*De*")</f>
        <v>0</v>
      </c>
      <c r="BU3" s="6">
        <f>COUNTIF(BK3:BM100,"*V*")</f>
        <v>158</v>
      </c>
      <c r="BV3" s="6">
        <f>MINUS(BS3,SUM(BT3,BU3))</f>
        <v>136</v>
      </c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</row>
    <row r="4" ht="15.75" customHeight="1">
      <c r="A4" s="1" t="s">
        <v>89</v>
      </c>
      <c r="B4" s="17">
        <v>176.0</v>
      </c>
      <c r="C4" s="17">
        <v>37.0</v>
      </c>
      <c r="D4" s="17" t="s">
        <v>300</v>
      </c>
      <c r="E4" s="9" t="s">
        <v>85</v>
      </c>
      <c r="F4" s="9" t="s">
        <v>85</v>
      </c>
      <c r="G4" s="9">
        <v>0.283887</v>
      </c>
      <c r="H4" s="9" t="s">
        <v>85</v>
      </c>
      <c r="I4" s="9" t="s">
        <v>85</v>
      </c>
      <c r="J4" s="9">
        <v>0.02046</v>
      </c>
      <c r="K4" s="9" t="s">
        <v>85</v>
      </c>
      <c r="L4" s="9" t="s">
        <v>85</v>
      </c>
      <c r="M4" s="9">
        <v>0.350384</v>
      </c>
      <c r="N4" s="9" t="s">
        <v>85</v>
      </c>
      <c r="O4" s="9" t="s">
        <v>85</v>
      </c>
      <c r="P4" s="9">
        <v>0.161125</v>
      </c>
      <c r="Q4" s="9" t="s">
        <v>85</v>
      </c>
      <c r="R4" s="9" t="s">
        <v>85</v>
      </c>
      <c r="S4" s="9">
        <v>0.365729</v>
      </c>
      <c r="T4" s="9" t="s">
        <v>85</v>
      </c>
      <c r="U4" s="9" t="s">
        <v>85</v>
      </c>
      <c r="V4" s="9">
        <v>0.296675</v>
      </c>
      <c r="W4" s="9" t="s">
        <v>85</v>
      </c>
      <c r="X4" s="9" t="s">
        <v>85</v>
      </c>
      <c r="Y4" s="9">
        <v>0.30179</v>
      </c>
      <c r="Z4" s="9" t="s">
        <v>85</v>
      </c>
      <c r="AA4" s="9" t="s">
        <v>85</v>
      </c>
      <c r="AB4" s="9">
        <v>0.242967</v>
      </c>
      <c r="AC4" s="10" t="s">
        <v>85</v>
      </c>
      <c r="AD4" s="10" t="s">
        <v>85</v>
      </c>
      <c r="AE4" s="9">
        <v>0.265985</v>
      </c>
      <c r="AF4" s="9" t="s">
        <v>85</v>
      </c>
      <c r="AG4" s="9" t="s">
        <v>85</v>
      </c>
      <c r="AH4" s="9">
        <v>0.409207</v>
      </c>
      <c r="AI4" s="9" t="s">
        <v>85</v>
      </c>
      <c r="AJ4" s="9" t="s">
        <v>85</v>
      </c>
      <c r="AK4" s="9">
        <v>0.332481</v>
      </c>
      <c r="AL4" s="9" t="s">
        <v>85</v>
      </c>
      <c r="AM4" s="9" t="s">
        <v>85</v>
      </c>
      <c r="AN4" s="9">
        <v>0.28133</v>
      </c>
      <c r="AO4" s="9" t="s">
        <v>85</v>
      </c>
      <c r="AP4" s="9" t="s">
        <v>85</v>
      </c>
      <c r="AQ4" s="9">
        <v>0.235294</v>
      </c>
      <c r="AR4" s="9" t="s">
        <v>85</v>
      </c>
      <c r="AS4" s="9" t="s">
        <v>85</v>
      </c>
      <c r="AT4" s="9">
        <v>0.381074</v>
      </c>
      <c r="AU4" s="9" t="s">
        <v>85</v>
      </c>
      <c r="AV4" s="9" t="s">
        <v>85</v>
      </c>
      <c r="AW4" s="9">
        <v>0.084399</v>
      </c>
      <c r="AX4" s="9" t="s">
        <v>85</v>
      </c>
      <c r="AY4" s="9" t="s">
        <v>85</v>
      </c>
      <c r="AZ4" s="9">
        <v>0.120205</v>
      </c>
      <c r="BA4" s="9" t="s">
        <v>85</v>
      </c>
      <c r="BB4" s="9" t="s">
        <v>85</v>
      </c>
      <c r="BC4" s="9">
        <v>0.263427</v>
      </c>
      <c r="BD4" s="10" t="s">
        <v>85</v>
      </c>
      <c r="BE4" s="10" t="s">
        <v>85</v>
      </c>
      <c r="BF4" s="9">
        <v>0.168798</v>
      </c>
      <c r="BG4" s="10" t="s">
        <v>85</v>
      </c>
      <c r="BH4" s="10" t="s">
        <v>85</v>
      </c>
      <c r="BI4" s="9" t="s">
        <v>85</v>
      </c>
      <c r="BJ4" s="6"/>
      <c r="BK4" s="6" t="str">
        <f t="shared" si="2"/>
        <v>10BoN_One_Acc</v>
      </c>
      <c r="BL4" s="6" t="str">
        <f t="shared" si="3"/>
        <v>12BoN_One_Acc</v>
      </c>
      <c r="BM4" s="6" t="str">
        <f t="shared" si="4"/>
        <v>8Bo_One_Acc</v>
      </c>
      <c r="BN4" s="6"/>
      <c r="BO4" s="6">
        <f t="shared" ref="BO4:BQ4" si="5">IF(ISNUMBER(SEARCH("5",BK4)),5,IF(ISNUMBER(SEARCH("*8*",BK4)),8,IF(ISNUMBER(SEARCH("*10*",BK4)),10,IF(ISNUMBER(SEARCH("*12*",BK4)),12,IF(ISNUMBER(SEARCH("*20*",BK4)),20)))))</f>
        <v>10</v>
      </c>
      <c r="BP4" s="6">
        <f t="shared" si="5"/>
        <v>12</v>
      </c>
      <c r="BQ4" s="6">
        <f t="shared" si="5"/>
        <v>8</v>
      </c>
      <c r="BR4" s="6"/>
      <c r="BS4" s="6"/>
      <c r="BT4" s="6"/>
      <c r="BU4" s="6"/>
      <c r="BV4" s="6"/>
      <c r="BW4" s="6"/>
      <c r="BX4" s="6"/>
      <c r="BY4" s="6"/>
      <c r="BZ4" s="6"/>
      <c r="CA4" s="6" t="s">
        <v>301</v>
      </c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2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</row>
    <row r="5" ht="15.75" customHeight="1">
      <c r="A5" s="1" t="s">
        <v>91</v>
      </c>
      <c r="B5" s="17">
        <v>251.0</v>
      </c>
      <c r="C5" s="17">
        <v>3.0</v>
      </c>
      <c r="D5" s="17" t="s">
        <v>300</v>
      </c>
      <c r="E5" s="9" t="s">
        <v>85</v>
      </c>
      <c r="F5" s="9" t="s">
        <v>85</v>
      </c>
      <c r="G5" s="9">
        <v>0.617143</v>
      </c>
      <c r="H5" s="9" t="s">
        <v>85</v>
      </c>
      <c r="I5" s="9" t="s">
        <v>85</v>
      </c>
      <c r="J5" s="9">
        <v>0.302857</v>
      </c>
      <c r="K5" s="9" t="s">
        <v>85</v>
      </c>
      <c r="L5" s="9" t="s">
        <v>85</v>
      </c>
      <c r="M5" s="9">
        <v>0.731429</v>
      </c>
      <c r="N5" s="9" t="s">
        <v>85</v>
      </c>
      <c r="O5" s="9" t="s">
        <v>85</v>
      </c>
      <c r="P5" s="9">
        <v>0.725714</v>
      </c>
      <c r="Q5" s="9" t="s">
        <v>85</v>
      </c>
      <c r="R5" s="9" t="s">
        <v>85</v>
      </c>
      <c r="S5" s="9">
        <v>0.657143</v>
      </c>
      <c r="T5" s="9" t="s">
        <v>85</v>
      </c>
      <c r="U5" s="9" t="s">
        <v>85</v>
      </c>
      <c r="V5" s="9">
        <v>0.725714</v>
      </c>
      <c r="W5" s="9" t="s">
        <v>85</v>
      </c>
      <c r="X5" s="9" t="s">
        <v>85</v>
      </c>
      <c r="Y5" s="9">
        <v>0.68</v>
      </c>
      <c r="Z5" s="9" t="s">
        <v>85</v>
      </c>
      <c r="AA5" s="9" t="s">
        <v>85</v>
      </c>
      <c r="AB5" s="9">
        <v>0.674286</v>
      </c>
      <c r="AC5" s="10" t="s">
        <v>85</v>
      </c>
      <c r="AD5" s="10" t="s">
        <v>85</v>
      </c>
      <c r="AE5" s="9">
        <v>0.737143</v>
      </c>
      <c r="AF5" s="9" t="s">
        <v>85</v>
      </c>
      <c r="AG5" s="9" t="s">
        <v>85</v>
      </c>
      <c r="AH5" s="9">
        <v>0.742857</v>
      </c>
      <c r="AI5" s="9" t="s">
        <v>85</v>
      </c>
      <c r="AJ5" s="9" t="s">
        <v>85</v>
      </c>
      <c r="AK5" s="9">
        <v>0.685714</v>
      </c>
      <c r="AL5" s="9" t="s">
        <v>85</v>
      </c>
      <c r="AM5" s="9" t="s">
        <v>85</v>
      </c>
      <c r="AN5" s="9">
        <v>0.64</v>
      </c>
      <c r="AO5" s="9" t="s">
        <v>85</v>
      </c>
      <c r="AP5" s="9" t="s">
        <v>85</v>
      </c>
      <c r="AQ5" s="9">
        <v>0.731429</v>
      </c>
      <c r="AR5" s="9" t="s">
        <v>85</v>
      </c>
      <c r="AS5" s="9" t="s">
        <v>85</v>
      </c>
      <c r="AT5" s="1" t="s">
        <v>85</v>
      </c>
      <c r="AU5" s="9" t="s">
        <v>85</v>
      </c>
      <c r="AV5" s="9" t="s">
        <v>85</v>
      </c>
      <c r="AW5" s="9">
        <v>0.72</v>
      </c>
      <c r="AX5" s="9" t="s">
        <v>85</v>
      </c>
      <c r="AY5" s="9" t="s">
        <v>85</v>
      </c>
      <c r="AZ5" s="9">
        <v>0.754286</v>
      </c>
      <c r="BA5" s="9" t="s">
        <v>85</v>
      </c>
      <c r="BB5" s="9" t="s">
        <v>85</v>
      </c>
      <c r="BC5" s="9">
        <v>0.788571</v>
      </c>
      <c r="BD5" s="10" t="s">
        <v>85</v>
      </c>
      <c r="BE5" s="10" t="s">
        <v>85</v>
      </c>
      <c r="BF5" s="9">
        <v>0.765714</v>
      </c>
      <c r="BG5" s="10" t="s">
        <v>85</v>
      </c>
      <c r="BH5" s="10" t="s">
        <v>85</v>
      </c>
      <c r="BI5" s="9" t="s">
        <v>85</v>
      </c>
      <c r="BJ5" s="6"/>
      <c r="BK5" s="6" t="str">
        <f t="shared" si="2"/>
        <v>20Bo_One_Acc</v>
      </c>
      <c r="BL5" s="6" t="str">
        <f t="shared" si="3"/>
        <v>20V_One_Acc</v>
      </c>
      <c r="BM5" s="6" t="str">
        <f t="shared" si="4"/>
        <v>12VB_One_Acc</v>
      </c>
      <c r="BN5" s="6"/>
      <c r="BO5" s="6">
        <f t="shared" ref="BO5:BQ5" si="6">IF(ISNUMBER(SEARCH("5",BK5)),5,IF(ISNUMBER(SEARCH("*8*",BK5)),8,IF(ISNUMBER(SEARCH("*10*",BK5)),10,IF(ISNUMBER(SEARCH("*12*",BK5)),12,IF(ISNUMBER(SEARCH("*20*",BK5)),20)))))</f>
        <v>20</v>
      </c>
      <c r="BP5" s="6">
        <f t="shared" si="6"/>
        <v>20</v>
      </c>
      <c r="BQ5" s="6">
        <f t="shared" si="6"/>
        <v>12</v>
      </c>
      <c r="BR5" s="6"/>
      <c r="BS5" s="1" t="s">
        <v>248</v>
      </c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</row>
    <row r="6" ht="15.75" customHeight="1">
      <c r="A6" s="1" t="s">
        <v>93</v>
      </c>
      <c r="B6" s="17">
        <v>470.0</v>
      </c>
      <c r="C6" s="17">
        <v>5.0</v>
      </c>
      <c r="D6" s="17" t="s">
        <v>302</v>
      </c>
      <c r="E6" s="9" t="s">
        <v>85</v>
      </c>
      <c r="F6" s="9" t="s">
        <v>85</v>
      </c>
      <c r="G6" s="9">
        <v>0.5</v>
      </c>
      <c r="H6" s="9" t="s">
        <v>85</v>
      </c>
      <c r="I6" s="9" t="s">
        <v>85</v>
      </c>
      <c r="J6" s="9">
        <v>0.233333</v>
      </c>
      <c r="K6" s="9" t="s">
        <v>85</v>
      </c>
      <c r="L6" s="9" t="s">
        <v>85</v>
      </c>
      <c r="M6" s="9">
        <v>0.433333</v>
      </c>
      <c r="N6" s="9" t="s">
        <v>85</v>
      </c>
      <c r="O6" s="9" t="s">
        <v>85</v>
      </c>
      <c r="P6" s="9">
        <v>0.366667</v>
      </c>
      <c r="Q6" s="9" t="s">
        <v>85</v>
      </c>
      <c r="R6" s="9" t="s">
        <v>85</v>
      </c>
      <c r="S6" s="9">
        <v>0.533333</v>
      </c>
      <c r="T6" s="9" t="s">
        <v>85</v>
      </c>
      <c r="U6" s="9" t="s">
        <v>85</v>
      </c>
      <c r="V6" s="9">
        <v>0.5</v>
      </c>
      <c r="W6" s="9" t="s">
        <v>85</v>
      </c>
      <c r="X6" s="9" t="s">
        <v>85</v>
      </c>
      <c r="Y6" s="9">
        <v>0.366667</v>
      </c>
      <c r="Z6" s="9" t="s">
        <v>85</v>
      </c>
      <c r="AA6" s="9" t="s">
        <v>85</v>
      </c>
      <c r="AB6" s="9">
        <v>0.533333</v>
      </c>
      <c r="AC6" s="10" t="s">
        <v>85</v>
      </c>
      <c r="AD6" s="10" t="s">
        <v>85</v>
      </c>
      <c r="AE6" s="9">
        <v>0.6</v>
      </c>
      <c r="AF6" s="9" t="s">
        <v>85</v>
      </c>
      <c r="AG6" s="9" t="s">
        <v>85</v>
      </c>
      <c r="AH6" s="9">
        <v>0.566667</v>
      </c>
      <c r="AI6" s="9" t="s">
        <v>85</v>
      </c>
      <c r="AJ6" s="9" t="s">
        <v>85</v>
      </c>
      <c r="AK6" s="9">
        <v>0.466667</v>
      </c>
      <c r="AL6" s="9" t="s">
        <v>85</v>
      </c>
      <c r="AM6" s="9" t="s">
        <v>85</v>
      </c>
      <c r="AN6" s="9">
        <v>0.433333</v>
      </c>
      <c r="AO6" s="9" t="s">
        <v>85</v>
      </c>
      <c r="AP6" s="9" t="s">
        <v>85</v>
      </c>
      <c r="AQ6" s="9">
        <v>0.433333</v>
      </c>
      <c r="AR6" s="9" t="s">
        <v>85</v>
      </c>
      <c r="AS6" s="9" t="s">
        <v>85</v>
      </c>
      <c r="AT6" s="9">
        <v>0.466667</v>
      </c>
      <c r="AU6" s="9" t="s">
        <v>85</v>
      </c>
      <c r="AV6" s="9" t="s">
        <v>85</v>
      </c>
      <c r="AW6" s="9">
        <v>0.433333</v>
      </c>
      <c r="AX6" s="9" t="s">
        <v>85</v>
      </c>
      <c r="AY6" s="9" t="s">
        <v>85</v>
      </c>
      <c r="AZ6" s="9">
        <v>0.366667</v>
      </c>
      <c r="BA6" s="9" t="s">
        <v>85</v>
      </c>
      <c r="BB6" s="9" t="s">
        <v>85</v>
      </c>
      <c r="BC6" s="9">
        <v>0.566667</v>
      </c>
      <c r="BD6" s="10" t="s">
        <v>85</v>
      </c>
      <c r="BE6" s="10" t="s">
        <v>85</v>
      </c>
      <c r="BF6" s="9">
        <v>0.5</v>
      </c>
      <c r="BG6" s="10" t="s">
        <v>85</v>
      </c>
      <c r="BH6" s="10" t="s">
        <v>85</v>
      </c>
      <c r="BI6" s="9" t="s">
        <v>85</v>
      </c>
      <c r="BJ6" s="6"/>
      <c r="BK6" s="6" t="str">
        <f t="shared" si="2"/>
        <v>10Bo_One_Acc</v>
      </c>
      <c r="BL6" s="6" t="str">
        <f t="shared" si="3"/>
        <v>10BoN_One_Acc</v>
      </c>
      <c r="BM6" s="6" t="str">
        <f t="shared" si="4"/>
        <v>10BoN_One_Acc</v>
      </c>
      <c r="BN6" s="6"/>
      <c r="BO6" s="6">
        <f t="shared" ref="BO6:BQ6" si="7">IF(ISNUMBER(SEARCH("5",BK6)),5,IF(ISNUMBER(SEARCH("*8*",BK6)),8,IF(ISNUMBER(SEARCH("*10*",BK6)),10,IF(ISNUMBER(SEARCH("*12*",BK6)),12,IF(ISNUMBER(SEARCH("*20*",BK6)),20)))))</f>
        <v>10</v>
      </c>
      <c r="BP6" s="6">
        <f t="shared" si="7"/>
        <v>10</v>
      </c>
      <c r="BQ6" s="6">
        <f t="shared" si="7"/>
        <v>10</v>
      </c>
      <c r="BR6" s="6"/>
      <c r="BS6" s="1" t="s">
        <v>213</v>
      </c>
      <c r="BT6" s="6" t="s">
        <v>249</v>
      </c>
      <c r="BU6" s="6"/>
      <c r="BV6" s="6"/>
      <c r="BW6" s="6"/>
      <c r="BX6" s="6"/>
      <c r="BY6" s="6"/>
      <c r="BZ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</row>
    <row r="7" ht="15.75" customHeight="1">
      <c r="A7" s="1" t="s">
        <v>95</v>
      </c>
      <c r="B7" s="17">
        <v>512.0</v>
      </c>
      <c r="C7" s="17">
        <v>2.0</v>
      </c>
      <c r="D7" s="17" t="s">
        <v>300</v>
      </c>
      <c r="E7" s="9" t="s">
        <v>85</v>
      </c>
      <c r="F7" s="9" t="s">
        <v>85</v>
      </c>
      <c r="G7" s="9">
        <v>0.85</v>
      </c>
      <c r="H7" s="9" t="s">
        <v>85</v>
      </c>
      <c r="I7" s="9" t="s">
        <v>85</v>
      </c>
      <c r="J7" s="9">
        <v>0.5</v>
      </c>
      <c r="K7" s="9" t="s">
        <v>85</v>
      </c>
      <c r="L7" s="9" t="s">
        <v>85</v>
      </c>
      <c r="M7" s="9">
        <v>0.9</v>
      </c>
      <c r="N7" s="9" t="s">
        <v>85</v>
      </c>
      <c r="O7" s="9" t="s">
        <v>85</v>
      </c>
      <c r="P7" s="9">
        <v>0.9</v>
      </c>
      <c r="Q7" s="9" t="s">
        <v>85</v>
      </c>
      <c r="R7" s="9" t="s">
        <v>85</v>
      </c>
      <c r="S7" s="9">
        <v>0.85</v>
      </c>
      <c r="T7" s="9" t="s">
        <v>85</v>
      </c>
      <c r="U7" s="9" t="s">
        <v>85</v>
      </c>
      <c r="V7" s="9">
        <v>0.85</v>
      </c>
      <c r="W7" s="9" t="s">
        <v>85</v>
      </c>
      <c r="X7" s="9" t="s">
        <v>85</v>
      </c>
      <c r="Y7" s="9">
        <v>0.6</v>
      </c>
      <c r="Z7" s="9" t="s">
        <v>85</v>
      </c>
      <c r="AA7" s="9" t="s">
        <v>85</v>
      </c>
      <c r="AB7" s="9">
        <v>0.6</v>
      </c>
      <c r="AC7" s="10" t="s">
        <v>85</v>
      </c>
      <c r="AD7" s="10" t="s">
        <v>85</v>
      </c>
      <c r="AE7" s="9">
        <v>0.9</v>
      </c>
      <c r="AF7" s="9" t="s">
        <v>85</v>
      </c>
      <c r="AG7" s="9" t="s">
        <v>85</v>
      </c>
      <c r="AH7" s="9">
        <v>0.9</v>
      </c>
      <c r="AI7" s="9" t="s">
        <v>85</v>
      </c>
      <c r="AJ7" s="9" t="s">
        <v>85</v>
      </c>
      <c r="AK7" s="9">
        <v>0.75</v>
      </c>
      <c r="AL7" s="9" t="s">
        <v>85</v>
      </c>
      <c r="AM7" s="9" t="s">
        <v>85</v>
      </c>
      <c r="AN7" s="9">
        <v>0.6</v>
      </c>
      <c r="AO7" s="9" t="s">
        <v>85</v>
      </c>
      <c r="AP7" s="9" t="s">
        <v>85</v>
      </c>
      <c r="AQ7" s="9">
        <v>0.8</v>
      </c>
      <c r="AR7" s="9" t="s">
        <v>85</v>
      </c>
      <c r="AS7" s="9" t="s">
        <v>85</v>
      </c>
      <c r="AT7" s="9">
        <v>0.7</v>
      </c>
      <c r="AU7" s="9" t="s">
        <v>85</v>
      </c>
      <c r="AV7" s="9" t="s">
        <v>85</v>
      </c>
      <c r="AW7" s="9">
        <v>0.85</v>
      </c>
      <c r="AX7" s="9" t="s">
        <v>85</v>
      </c>
      <c r="AY7" s="9" t="s">
        <v>85</v>
      </c>
      <c r="AZ7" s="9">
        <v>0.85</v>
      </c>
      <c r="BA7" s="9" t="s">
        <v>85</v>
      </c>
      <c r="BB7" s="9" t="s">
        <v>85</v>
      </c>
      <c r="BC7" s="9">
        <v>0.8</v>
      </c>
      <c r="BD7" s="10" t="s">
        <v>85</v>
      </c>
      <c r="BE7" s="10" t="s">
        <v>85</v>
      </c>
      <c r="BF7" s="9">
        <v>0.9</v>
      </c>
      <c r="BG7" s="10" t="s">
        <v>85</v>
      </c>
      <c r="BH7" s="10" t="s">
        <v>85</v>
      </c>
      <c r="BI7" s="9" t="s">
        <v>85</v>
      </c>
      <c r="BJ7" s="6"/>
      <c r="BK7" s="6" t="str">
        <f t="shared" si="2"/>
        <v>5V_One_Acc</v>
      </c>
      <c r="BL7" s="6" t="str">
        <f t="shared" si="3"/>
        <v>5V_One_Acc</v>
      </c>
      <c r="BM7" s="6" t="str">
        <f t="shared" si="4"/>
        <v>5V_One_Acc</v>
      </c>
      <c r="BN7" s="6"/>
      <c r="BO7" s="6">
        <f t="shared" ref="BO7:BQ7" si="8">IF(ISNUMBER(SEARCH("5",BK7)),5,IF(ISNUMBER(SEARCH("*8*",BK7)),8,IF(ISNUMBER(SEARCH("*10*",BK7)),10,IF(ISNUMBER(SEARCH("*12*",BK7)),12,IF(ISNUMBER(SEARCH("*20*",BK7)),20)))))</f>
        <v>5</v>
      </c>
      <c r="BP7" s="6">
        <f t="shared" si="8"/>
        <v>5</v>
      </c>
      <c r="BQ7" s="6">
        <f t="shared" si="8"/>
        <v>5</v>
      </c>
      <c r="BR7" s="6"/>
      <c r="BT7" s="6" t="s">
        <v>255</v>
      </c>
      <c r="BU7" s="6" t="s">
        <v>256</v>
      </c>
      <c r="BV7" s="6" t="s">
        <v>257</v>
      </c>
      <c r="BW7" s="6" t="s">
        <v>258</v>
      </c>
      <c r="BX7" s="6" t="s">
        <v>259</v>
      </c>
      <c r="BY7" s="6"/>
      <c r="BZ7" s="6"/>
      <c r="CA7" s="1" t="s">
        <v>213</v>
      </c>
      <c r="CB7" s="6" t="s">
        <v>236</v>
      </c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1" t="s">
        <v>213</v>
      </c>
      <c r="CO7" s="26" t="s">
        <v>212</v>
      </c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</row>
    <row r="8" ht="15.75" customHeight="1">
      <c r="A8" s="1" t="s">
        <v>97</v>
      </c>
      <c r="B8" s="17">
        <v>512.0</v>
      </c>
      <c r="C8" s="17">
        <v>2.0</v>
      </c>
      <c r="D8" s="17" t="s">
        <v>300</v>
      </c>
      <c r="E8" s="9" t="s">
        <v>85</v>
      </c>
      <c r="F8" s="9" t="s">
        <v>85</v>
      </c>
      <c r="G8" s="9">
        <v>0.75</v>
      </c>
      <c r="H8" s="9" t="s">
        <v>85</v>
      </c>
      <c r="I8" s="9" t="s">
        <v>85</v>
      </c>
      <c r="J8" s="9">
        <v>0.5</v>
      </c>
      <c r="K8" s="9" t="s">
        <v>85</v>
      </c>
      <c r="L8" s="9" t="s">
        <v>85</v>
      </c>
      <c r="M8" s="9">
        <v>0.8</v>
      </c>
      <c r="N8" s="9" t="s">
        <v>85</v>
      </c>
      <c r="O8" s="9" t="s">
        <v>85</v>
      </c>
      <c r="P8" s="9">
        <v>0.85</v>
      </c>
      <c r="Q8" s="9" t="s">
        <v>85</v>
      </c>
      <c r="R8" s="9" t="s">
        <v>85</v>
      </c>
      <c r="S8" s="9">
        <v>0.6</v>
      </c>
      <c r="T8" s="9" t="s">
        <v>85</v>
      </c>
      <c r="U8" s="9" t="s">
        <v>85</v>
      </c>
      <c r="V8" s="9">
        <v>0.75</v>
      </c>
      <c r="W8" s="9" t="s">
        <v>85</v>
      </c>
      <c r="X8" s="9" t="s">
        <v>85</v>
      </c>
      <c r="Y8" s="9">
        <v>0.7</v>
      </c>
      <c r="Z8" s="9" t="s">
        <v>85</v>
      </c>
      <c r="AA8" s="9" t="s">
        <v>85</v>
      </c>
      <c r="AB8" s="9">
        <v>0.75</v>
      </c>
      <c r="AC8" s="10" t="s">
        <v>85</v>
      </c>
      <c r="AD8" s="10" t="s">
        <v>85</v>
      </c>
      <c r="AE8" s="9">
        <v>0.65</v>
      </c>
      <c r="AF8" s="9" t="s">
        <v>85</v>
      </c>
      <c r="AG8" s="9" t="s">
        <v>85</v>
      </c>
      <c r="AH8" s="9">
        <v>0.8</v>
      </c>
      <c r="AI8" s="9" t="s">
        <v>85</v>
      </c>
      <c r="AJ8" s="9" t="s">
        <v>85</v>
      </c>
      <c r="AK8" s="9">
        <v>0.9</v>
      </c>
      <c r="AL8" s="9" t="s">
        <v>85</v>
      </c>
      <c r="AM8" s="9" t="s">
        <v>85</v>
      </c>
      <c r="AN8" s="9">
        <v>0.9</v>
      </c>
      <c r="AO8" s="9" t="s">
        <v>85</v>
      </c>
      <c r="AP8" s="9" t="s">
        <v>85</v>
      </c>
      <c r="AQ8" s="9">
        <v>0.7</v>
      </c>
      <c r="AR8" s="9" t="s">
        <v>85</v>
      </c>
      <c r="AS8" s="9" t="s">
        <v>85</v>
      </c>
      <c r="AT8" s="9">
        <v>0.7</v>
      </c>
      <c r="AU8" s="9" t="s">
        <v>85</v>
      </c>
      <c r="AV8" s="9" t="s">
        <v>85</v>
      </c>
      <c r="AW8" s="9">
        <v>0.75</v>
      </c>
      <c r="AX8" s="9" t="s">
        <v>85</v>
      </c>
      <c r="AY8" s="9" t="s">
        <v>85</v>
      </c>
      <c r="AZ8" s="9">
        <v>0.75</v>
      </c>
      <c r="BA8" s="9" t="s">
        <v>85</v>
      </c>
      <c r="BB8" s="9" t="s">
        <v>85</v>
      </c>
      <c r="BC8" s="9">
        <v>0.75</v>
      </c>
      <c r="BD8" s="10" t="s">
        <v>85</v>
      </c>
      <c r="BE8" s="10" t="s">
        <v>85</v>
      </c>
      <c r="BF8" s="9">
        <v>0.7</v>
      </c>
      <c r="BG8" s="10" t="s">
        <v>85</v>
      </c>
      <c r="BH8" s="10" t="s">
        <v>85</v>
      </c>
      <c r="BI8" s="9" t="s">
        <v>85</v>
      </c>
      <c r="BJ8" s="6"/>
      <c r="BK8" s="6" t="str">
        <f t="shared" si="2"/>
        <v>10V_One_Acc</v>
      </c>
      <c r="BL8" s="6" t="str">
        <f t="shared" si="3"/>
        <v>10V_One_Acc</v>
      </c>
      <c r="BM8" s="6" t="str">
        <f t="shared" si="4"/>
        <v>5VB_One_Acc</v>
      </c>
      <c r="BN8" s="6"/>
      <c r="BO8" s="6">
        <f t="shared" ref="BO8:BQ8" si="9">IF(ISNUMBER(SEARCH("5",BK8)),5,IF(ISNUMBER(SEARCH("*8*",BK8)),8,IF(ISNUMBER(SEARCH("*10*",BK8)),10,IF(ISNUMBER(SEARCH("*12*",BK8)),12,IF(ISNUMBER(SEARCH("*20*",BK8)),20)))))</f>
        <v>10</v>
      </c>
      <c r="BP8" s="6">
        <f t="shared" si="9"/>
        <v>10</v>
      </c>
      <c r="BQ8" s="6">
        <f t="shared" si="9"/>
        <v>5</v>
      </c>
      <c r="BR8" s="6"/>
      <c r="BS8" s="6"/>
      <c r="BT8" s="6">
        <f>COUNTIF(BK3:BK100,"*5*")</f>
        <v>29</v>
      </c>
      <c r="BU8" s="6">
        <f>COUNTIF(BK3:BK100,"*8*")</f>
        <v>18</v>
      </c>
      <c r="BV8" s="6">
        <f>COUNTIF(BK3:BK100,"*10*")</f>
        <v>14</v>
      </c>
      <c r="BW8" s="6">
        <f>COUNTIF(BK3:BK100,"*12*")</f>
        <v>23</v>
      </c>
      <c r="BX8" s="6">
        <f>COUNTIF(BK3:BK100,"*20*")</f>
        <v>14</v>
      </c>
      <c r="BY8" s="6"/>
      <c r="BZ8" s="6"/>
      <c r="CB8" s="27" t="s">
        <v>243</v>
      </c>
      <c r="CC8" s="28"/>
      <c r="CD8" s="27" t="s">
        <v>244</v>
      </c>
      <c r="CE8" s="28"/>
      <c r="CF8" s="27" t="s">
        <v>245</v>
      </c>
      <c r="CG8" s="28"/>
      <c r="CH8" s="6" t="s">
        <v>246</v>
      </c>
      <c r="CI8" s="6"/>
      <c r="CJ8" s="27" t="s">
        <v>247</v>
      </c>
      <c r="CK8" s="28"/>
      <c r="CL8" s="6"/>
      <c r="CM8" s="6"/>
      <c r="CO8" s="27" t="s">
        <v>221</v>
      </c>
      <c r="CP8" s="28"/>
      <c r="CQ8" s="27" t="s">
        <v>222</v>
      </c>
      <c r="CR8" s="28"/>
      <c r="CS8" s="27" t="s">
        <v>223</v>
      </c>
      <c r="CT8" s="28"/>
      <c r="CU8" s="6" t="s">
        <v>224</v>
      </c>
      <c r="CV8" s="6"/>
      <c r="CW8" s="27" t="s">
        <v>225</v>
      </c>
      <c r="CX8" s="28"/>
      <c r="CY8" s="6"/>
      <c r="CZ8" s="6"/>
    </row>
    <row r="9" ht="15.75" customHeight="1">
      <c r="A9" s="1" t="s">
        <v>98</v>
      </c>
      <c r="B9" s="17">
        <v>128.0</v>
      </c>
      <c r="C9" s="17">
        <v>3.0</v>
      </c>
      <c r="D9" s="17" t="s">
        <v>303</v>
      </c>
      <c r="E9" s="9" t="s">
        <v>85</v>
      </c>
      <c r="F9" s="9" t="s">
        <v>85</v>
      </c>
      <c r="G9" s="9">
        <v>0.9</v>
      </c>
      <c r="H9" s="9" t="s">
        <v>85</v>
      </c>
      <c r="I9" s="9" t="s">
        <v>85</v>
      </c>
      <c r="J9" s="9">
        <v>0.346667</v>
      </c>
      <c r="K9" s="9" t="s">
        <v>85</v>
      </c>
      <c r="L9" s="9" t="s">
        <v>85</v>
      </c>
      <c r="M9" s="9">
        <v>0.966667</v>
      </c>
      <c r="N9" s="9" t="s">
        <v>85</v>
      </c>
      <c r="O9" s="9" t="s">
        <v>85</v>
      </c>
      <c r="P9" s="9">
        <v>0.986667</v>
      </c>
      <c r="Q9" s="9" t="s">
        <v>85</v>
      </c>
      <c r="R9" s="9" t="s">
        <v>85</v>
      </c>
      <c r="S9" s="9">
        <v>0.9</v>
      </c>
      <c r="T9" s="9" t="s">
        <v>85</v>
      </c>
      <c r="U9" s="9" t="s">
        <v>85</v>
      </c>
      <c r="V9" s="9">
        <v>0.906667</v>
      </c>
      <c r="W9" s="9" t="s">
        <v>85</v>
      </c>
      <c r="X9" s="9" t="s">
        <v>85</v>
      </c>
      <c r="Y9" s="9">
        <v>0.973333</v>
      </c>
      <c r="Z9" s="9" t="s">
        <v>85</v>
      </c>
      <c r="AA9" s="9" t="s">
        <v>85</v>
      </c>
      <c r="AB9" s="9">
        <v>0.96</v>
      </c>
      <c r="AC9" s="10" t="s">
        <v>85</v>
      </c>
      <c r="AD9" s="10" t="s">
        <v>85</v>
      </c>
      <c r="AE9" s="9">
        <v>0.886667</v>
      </c>
      <c r="AF9" s="9" t="s">
        <v>85</v>
      </c>
      <c r="AG9" s="9" t="s">
        <v>85</v>
      </c>
      <c r="AH9" s="9">
        <v>0.9</v>
      </c>
      <c r="AI9" s="9" t="s">
        <v>85</v>
      </c>
      <c r="AJ9" s="9" t="s">
        <v>85</v>
      </c>
      <c r="AK9" s="9">
        <v>0.946667</v>
      </c>
      <c r="AL9" s="9" t="s">
        <v>85</v>
      </c>
      <c r="AM9" s="9" t="s">
        <v>85</v>
      </c>
      <c r="AN9" s="9">
        <v>0.9</v>
      </c>
      <c r="AO9" s="9" t="s">
        <v>85</v>
      </c>
      <c r="AP9" s="9" t="s">
        <v>85</v>
      </c>
      <c r="AQ9" s="9">
        <v>0.9</v>
      </c>
      <c r="AR9" s="9" t="s">
        <v>85</v>
      </c>
      <c r="AS9" s="9" t="s">
        <v>85</v>
      </c>
      <c r="AT9" s="9">
        <v>0.9</v>
      </c>
      <c r="AU9" s="9" t="s">
        <v>85</v>
      </c>
      <c r="AV9" s="9" t="s">
        <v>85</v>
      </c>
      <c r="AW9" s="9">
        <v>0.893333</v>
      </c>
      <c r="AX9" s="9" t="s">
        <v>85</v>
      </c>
      <c r="AY9" s="9" t="s">
        <v>85</v>
      </c>
      <c r="AZ9" s="9">
        <v>0.893333</v>
      </c>
      <c r="BA9" s="9" t="s">
        <v>85</v>
      </c>
      <c r="BB9" s="9" t="s">
        <v>85</v>
      </c>
      <c r="BC9" s="9">
        <v>0.86</v>
      </c>
      <c r="BD9" s="10" t="s">
        <v>85</v>
      </c>
      <c r="BE9" s="10" t="s">
        <v>85</v>
      </c>
      <c r="BF9" s="9">
        <v>0.94</v>
      </c>
      <c r="BG9" s="10" t="s">
        <v>85</v>
      </c>
      <c r="BH9" s="10" t="s">
        <v>85</v>
      </c>
      <c r="BI9" s="9" t="s">
        <v>85</v>
      </c>
      <c r="BJ9" s="6"/>
      <c r="BK9" s="6" t="str">
        <f t="shared" si="2"/>
        <v>5VB_One_Acc</v>
      </c>
      <c r="BL9" s="6" t="str">
        <f t="shared" si="3"/>
        <v>8V_One_Acc</v>
      </c>
      <c r="BM9" s="6" t="str">
        <f t="shared" si="4"/>
        <v>5V_One_Acc</v>
      </c>
      <c r="BN9" s="6"/>
      <c r="BO9" s="6">
        <f t="shared" ref="BO9:BQ9" si="10">IF(ISNUMBER(SEARCH("5",BK9)),5,IF(ISNUMBER(SEARCH("*8*",BK9)),8,IF(ISNUMBER(SEARCH("*10*",BK9)),10,IF(ISNUMBER(SEARCH("*12*",BK9)),12,IF(ISNUMBER(SEARCH("*20*",BK9)),20)))))</f>
        <v>5</v>
      </c>
      <c r="BP9" s="6">
        <f t="shared" si="10"/>
        <v>8</v>
      </c>
      <c r="BQ9" s="6">
        <f t="shared" si="10"/>
        <v>5</v>
      </c>
      <c r="BR9" s="6"/>
      <c r="BS9" s="6" t="s">
        <v>226</v>
      </c>
      <c r="BT9" s="18">
        <f t="shared" ref="BT9:BX9" si="11">MINUS(BT8,SUM(BT10,BT11))</f>
        <v>15</v>
      </c>
      <c r="BU9" s="18">
        <f t="shared" si="11"/>
        <v>6</v>
      </c>
      <c r="BV9" s="18">
        <f t="shared" si="11"/>
        <v>7</v>
      </c>
      <c r="BW9" s="18">
        <f t="shared" si="11"/>
        <v>8</v>
      </c>
      <c r="BX9" s="18">
        <f t="shared" si="11"/>
        <v>4</v>
      </c>
      <c r="BY9" s="6">
        <f t="shared" ref="BY9:BY11" si="13">SUM(BT9:BX9)</f>
        <v>40</v>
      </c>
      <c r="BZ9" s="6"/>
      <c r="CA9" s="6"/>
      <c r="CB9" s="6" t="s">
        <v>226</v>
      </c>
      <c r="CC9" s="6" t="s">
        <v>227</v>
      </c>
      <c r="CD9" s="6" t="s">
        <v>226</v>
      </c>
      <c r="CE9" s="6" t="s">
        <v>227</v>
      </c>
      <c r="CF9" s="6" t="s">
        <v>226</v>
      </c>
      <c r="CG9" s="6" t="s">
        <v>227</v>
      </c>
      <c r="CH9" s="6" t="s">
        <v>226</v>
      </c>
      <c r="CI9" s="6" t="s">
        <v>227</v>
      </c>
      <c r="CJ9" s="6" t="s">
        <v>226</v>
      </c>
      <c r="CK9" s="6" t="s">
        <v>227</v>
      </c>
      <c r="CL9" s="29" t="s">
        <v>304</v>
      </c>
      <c r="CM9" s="29"/>
      <c r="CN9" s="6"/>
      <c r="CO9" s="6" t="s">
        <v>226</v>
      </c>
      <c r="CP9" s="6" t="s">
        <v>227</v>
      </c>
      <c r="CQ9" s="6" t="s">
        <v>226</v>
      </c>
      <c r="CR9" s="6" t="s">
        <v>227</v>
      </c>
      <c r="CS9" s="6" t="s">
        <v>226</v>
      </c>
      <c r="CT9" s="6" t="s">
        <v>227</v>
      </c>
      <c r="CU9" s="6" t="s">
        <v>226</v>
      </c>
      <c r="CV9" s="6" t="s">
        <v>227</v>
      </c>
      <c r="CW9" s="6" t="s">
        <v>226</v>
      </c>
      <c r="CX9" s="6" t="s">
        <v>227</v>
      </c>
      <c r="CY9" s="29" t="s">
        <v>304</v>
      </c>
      <c r="CZ9" s="29"/>
    </row>
    <row r="10" ht="15.75" customHeight="1">
      <c r="A10" s="1" t="s">
        <v>99</v>
      </c>
      <c r="B10" s="17">
        <v>577.0</v>
      </c>
      <c r="C10" s="17">
        <v>4.0</v>
      </c>
      <c r="D10" s="17" t="s">
        <v>305</v>
      </c>
      <c r="E10" s="9" t="s">
        <v>85</v>
      </c>
      <c r="F10" s="9" t="s">
        <v>85</v>
      </c>
      <c r="G10" s="9">
        <v>0.55</v>
      </c>
      <c r="H10" s="9" t="s">
        <v>85</v>
      </c>
      <c r="I10" s="9" t="s">
        <v>85</v>
      </c>
      <c r="J10" s="9">
        <v>0.2</v>
      </c>
      <c r="K10" s="9" t="s">
        <v>85</v>
      </c>
      <c r="L10" s="9" t="s">
        <v>85</v>
      </c>
      <c r="M10" s="9">
        <v>0.683333</v>
      </c>
      <c r="N10" s="9" t="s">
        <v>85</v>
      </c>
      <c r="O10" s="9" t="s">
        <v>85</v>
      </c>
      <c r="P10" s="9">
        <v>0.666667</v>
      </c>
      <c r="Q10" s="9" t="s">
        <v>85</v>
      </c>
      <c r="R10" s="9" t="s">
        <v>85</v>
      </c>
      <c r="S10" s="9">
        <v>0.583333</v>
      </c>
      <c r="T10" s="9" t="s">
        <v>85</v>
      </c>
      <c r="U10" s="9" t="s">
        <v>85</v>
      </c>
      <c r="V10" s="9">
        <v>0.583333</v>
      </c>
      <c r="W10" s="9" t="s">
        <v>85</v>
      </c>
      <c r="X10" s="9" t="s">
        <v>85</v>
      </c>
      <c r="Y10" s="9">
        <v>0.716667</v>
      </c>
      <c r="Z10" s="9" t="s">
        <v>85</v>
      </c>
      <c r="AA10" s="9" t="s">
        <v>85</v>
      </c>
      <c r="AB10" s="9">
        <v>0.666667</v>
      </c>
      <c r="AC10" s="10" t="s">
        <v>85</v>
      </c>
      <c r="AD10" s="10" t="s">
        <v>85</v>
      </c>
      <c r="AE10" s="9">
        <v>0.583333</v>
      </c>
      <c r="AF10" s="9" t="s">
        <v>85</v>
      </c>
      <c r="AG10" s="9" t="s">
        <v>85</v>
      </c>
      <c r="AH10" s="9">
        <v>0.55</v>
      </c>
      <c r="AI10" s="9" t="s">
        <v>85</v>
      </c>
      <c r="AJ10" s="9" t="s">
        <v>85</v>
      </c>
      <c r="AK10" s="9">
        <v>0.65</v>
      </c>
      <c r="AL10" s="9" t="s">
        <v>85</v>
      </c>
      <c r="AM10" s="9" t="s">
        <v>85</v>
      </c>
      <c r="AN10" s="9">
        <v>0.7</v>
      </c>
      <c r="AO10" s="9" t="s">
        <v>85</v>
      </c>
      <c r="AP10" s="9" t="s">
        <v>85</v>
      </c>
      <c r="AQ10" s="9">
        <v>0.633333</v>
      </c>
      <c r="AR10" s="9" t="s">
        <v>85</v>
      </c>
      <c r="AS10" s="9" t="s">
        <v>85</v>
      </c>
      <c r="AT10" s="9">
        <v>0.6</v>
      </c>
      <c r="AU10" s="9" t="s">
        <v>85</v>
      </c>
      <c r="AV10" s="9" t="s">
        <v>85</v>
      </c>
      <c r="AW10" s="9">
        <v>0.766667</v>
      </c>
      <c r="AX10" s="9" t="s">
        <v>85</v>
      </c>
      <c r="AY10" s="9" t="s">
        <v>85</v>
      </c>
      <c r="AZ10" s="9">
        <v>0.7</v>
      </c>
      <c r="BA10" s="9" t="s">
        <v>85</v>
      </c>
      <c r="BB10" s="9" t="s">
        <v>85</v>
      </c>
      <c r="BC10" s="9">
        <v>0.55</v>
      </c>
      <c r="BD10" s="10" t="s">
        <v>85</v>
      </c>
      <c r="BE10" s="10" t="s">
        <v>85</v>
      </c>
      <c r="BF10" s="9">
        <v>0.683333</v>
      </c>
      <c r="BG10" s="10" t="s">
        <v>85</v>
      </c>
      <c r="BH10" s="10" t="s">
        <v>85</v>
      </c>
      <c r="BI10" s="9" t="s">
        <v>85</v>
      </c>
      <c r="BJ10" s="6"/>
      <c r="BK10" s="6" t="str">
        <f t="shared" si="2"/>
        <v>12V_One_Acc</v>
      </c>
      <c r="BL10" s="6" t="str">
        <f t="shared" si="3"/>
        <v>8V_One_Acc</v>
      </c>
      <c r="BM10" s="6" t="str">
        <f t="shared" si="4"/>
        <v>10VB_One_Acc</v>
      </c>
      <c r="BN10" s="6"/>
      <c r="BO10" s="6">
        <f t="shared" ref="BO10:BQ10" si="12">IF(ISNUMBER(SEARCH("5",BK10)),5,IF(ISNUMBER(SEARCH("*8*",BK10)),8,IF(ISNUMBER(SEARCH("*10*",BK10)),10,IF(ISNUMBER(SEARCH("*12*",BK10)),12,IF(ISNUMBER(SEARCH("*20*",BK10)),20)))))</f>
        <v>12</v>
      </c>
      <c r="BP10" s="6">
        <f t="shared" si="12"/>
        <v>8</v>
      </c>
      <c r="BQ10" s="6">
        <f t="shared" si="12"/>
        <v>10</v>
      </c>
      <c r="BR10" s="6"/>
      <c r="BS10" s="6" t="s">
        <v>227</v>
      </c>
      <c r="BT10" s="18">
        <f>COUNTIFS(BK3:BK100,"*V*",BK3:BK100,"*5*")</f>
        <v>14</v>
      </c>
      <c r="BU10" s="19">
        <f>COUNTIFS(BK3:BK100,"*V*",BK3:BK100,"*8*")</f>
        <v>12</v>
      </c>
      <c r="BV10" s="18">
        <f>COUNTIFS(BK3:BK100,"*V*",BK3:BK100,"*10*")</f>
        <v>7</v>
      </c>
      <c r="BW10" s="18">
        <f>COUNTIFS(BK3:BK100,"*V*",BK3:BK100,"*12*")</f>
        <v>15</v>
      </c>
      <c r="BX10" s="18">
        <f>COUNTIFS(BK3:BK100,"*V*",BK3:BK100,"*20*")</f>
        <v>10</v>
      </c>
      <c r="BY10" s="6">
        <f t="shared" si="13"/>
        <v>58</v>
      </c>
      <c r="BZ10" s="6"/>
      <c r="CA10" s="6" t="s">
        <v>255</v>
      </c>
      <c r="CB10" s="18">
        <f>COUNTIFS(BK3:BK100,"*Bo*",BK3:BK100,"*5*",C3:C100,"&lt;=2")</f>
        <v>9</v>
      </c>
      <c r="CC10" s="18">
        <f>COUNTIFS(BK3:BK100,"*V*",BK3:BK100,"*5*",C3:C100,"&lt;=2")</f>
        <v>5</v>
      </c>
      <c r="CD10" s="18">
        <f>COUNTIFS(BK3:BK100,"*Bo*",BK3:BK100,"*5*",C3:C100,"&gt;=3",C3:C100,"&lt;=5")</f>
        <v>4</v>
      </c>
      <c r="CE10" s="18">
        <f>COUNTIFS(BK3:BK100,"*V*",BK3:BK100,"*5*",C3:C100,"&gt;=3",C3:C100,"&lt;=5")</f>
        <v>4</v>
      </c>
      <c r="CF10" s="18">
        <f>COUNTIFS(BK3:BK100,"*Bo*",BK3:BK100,"*5*",C3:C100,"&gt;5",C3:C100,"&lt;=10")</f>
        <v>0</v>
      </c>
      <c r="CG10" s="18">
        <f>COUNTIFS(BK3:BK100,"*V*",BK3:BK100,"*5*",C3:C100,"&gt;5",C3:C100,"&lt;=10")</f>
        <v>4</v>
      </c>
      <c r="CH10" s="18">
        <f>COUNTIFS(BK3:BK100,"*Bo*",BK3:BK100,"*5*",C3:C100,"&gt;10",C3:C100,"&lt;30")</f>
        <v>0</v>
      </c>
      <c r="CI10" s="18">
        <f>COUNTIFS(BK3:BK100,"*V*",BK3:BK100,"*5*",C3:C100,"&gt;10",C3:C100,"&lt;30")</f>
        <v>0</v>
      </c>
      <c r="CJ10" s="18">
        <f>COUNTIFS(BK3:BK100,"*Bo*",BK3:BK100,"*5*",C3:C100,"&gt;=30")</f>
        <v>2</v>
      </c>
      <c r="CK10" s="18">
        <f>COUNTIFS(BK3:BK100,"*V*",BK3:BK100,"*5*",C3:C100,"&gt;=30")</f>
        <v>1</v>
      </c>
      <c r="CL10" s="6">
        <f t="shared" ref="CL10:CL14" si="15">SUM(CB10:CK10)</f>
        <v>29</v>
      </c>
      <c r="CM10" s="6"/>
      <c r="CN10" s="6" t="s">
        <v>255</v>
      </c>
      <c r="CO10" s="18">
        <f>COUNTIFS($BK$3:$BK$100,"*Bo*",$BK$3:$BK$100,"*5*",$B$3:$B$100,"&lt;=100")</f>
        <v>1</v>
      </c>
      <c r="CP10" s="18">
        <f>COUNTIFS($BK$3:$BK$100,"*V*",$BK$3:$BK$100,"*5*",$B$3:$B$100,"&lt;=100")</f>
        <v>5</v>
      </c>
      <c r="CQ10" s="18">
        <f>COUNTIFS($BK$3:$BK$100,"*Bo*",$BK$3:$BK$100,"*5*",$B$3:$B$100,"&gt;100",$B$3:$B$100,"&lt;=200")</f>
        <v>3</v>
      </c>
      <c r="CR10" s="18">
        <f>COUNTIFS($BK$3:$BK$100,"*V*",$BK$3:$BK$100,"*5*",$B$3:$B$100,"&gt;100",$B$3:$B$100,"&lt;=200")</f>
        <v>4</v>
      </c>
      <c r="CS10" s="18">
        <f>COUNTIFS($BK$3:$BK$100,"*Bo*",$BK$3:$BK$100,"*5*",$B$3:$B$100,"&gt;200",$B$3:$B$100,"&lt;500")</f>
        <v>3</v>
      </c>
      <c r="CT10" s="18">
        <f>COUNTIFS($BK$3:$BK$100,"*V*",$BK$3:$BK$100,"*5*",$B$3:$B$100,"&gt;200",$B$3:$B$100,"&lt;500")</f>
        <v>1</v>
      </c>
      <c r="CU10" s="18">
        <f>COUNTIFS($BK$3:$BK$100,"*Bo*",$BK$3:$BK$100,"*5*",$B$3:$B$100,"&gt;=500",$B$3:$B$100,"&lt;1000")</f>
        <v>6</v>
      </c>
      <c r="CV10" s="18">
        <f>COUNTIFS($BK$3:$BK$100,"*V*",$BK$3:$BK$100,"*5*",$B$3:$B$100,"&gt;=500",$B$3:$B$100,"&lt;1000")</f>
        <v>1</v>
      </c>
      <c r="CW10" s="18">
        <f>COUNTIFS($BK$3:$BK$100,"*Bo*",$BK$3:$BK$100,"*5*",$B$3:$B$100,"&gt;=1000")</f>
        <v>2</v>
      </c>
      <c r="CX10" s="18">
        <f>COUNTIFS($BK$3:$BK$100,"*V*",$BK$3:$BK$100,"*5*",$B$3:$B$100,"&gt;=1000")</f>
        <v>3</v>
      </c>
      <c r="CY10" s="6">
        <f t="shared" ref="CY10:CY14" si="16">SUM(CO10:CX10)</f>
        <v>29</v>
      </c>
      <c r="CZ10" s="6"/>
    </row>
    <row r="11" ht="15.75" customHeight="1">
      <c r="A11" s="1" t="s">
        <v>101</v>
      </c>
      <c r="B11" s="17">
        <v>128.0</v>
      </c>
      <c r="C11" s="17">
        <v>3.0</v>
      </c>
      <c r="D11" s="17" t="s">
        <v>303</v>
      </c>
      <c r="E11" s="9" t="s">
        <v>85</v>
      </c>
      <c r="F11" s="9" t="s">
        <v>85</v>
      </c>
      <c r="G11" s="9">
        <v>0.955556</v>
      </c>
      <c r="H11" s="9" t="s">
        <v>85</v>
      </c>
      <c r="I11" s="9" t="s">
        <v>85</v>
      </c>
      <c r="J11" s="9">
        <v>0.331111</v>
      </c>
      <c r="K11" s="9" t="s">
        <v>85</v>
      </c>
      <c r="L11" s="9" t="s">
        <v>85</v>
      </c>
      <c r="M11" s="9">
        <v>0.984444</v>
      </c>
      <c r="N11" s="9" t="s">
        <v>85</v>
      </c>
      <c r="O11" s="9" t="s">
        <v>85</v>
      </c>
      <c r="P11" s="9">
        <v>0.975556</v>
      </c>
      <c r="Q11" s="9" t="s">
        <v>85</v>
      </c>
      <c r="R11" s="9" t="s">
        <v>85</v>
      </c>
      <c r="S11" s="9">
        <v>0.935556</v>
      </c>
      <c r="T11" s="9" t="s">
        <v>85</v>
      </c>
      <c r="U11" s="9" t="s">
        <v>85</v>
      </c>
      <c r="V11" s="9">
        <v>0.938889</v>
      </c>
      <c r="W11" s="9" t="s">
        <v>85</v>
      </c>
      <c r="X11" s="9" t="s">
        <v>85</v>
      </c>
      <c r="Y11" s="9">
        <v>0.945556</v>
      </c>
      <c r="Z11" s="9" t="s">
        <v>85</v>
      </c>
      <c r="AA11" s="9" t="s">
        <v>85</v>
      </c>
      <c r="AB11" s="9">
        <v>0.956667</v>
      </c>
      <c r="AC11" s="10" t="s">
        <v>85</v>
      </c>
      <c r="AD11" s="10" t="s">
        <v>85</v>
      </c>
      <c r="AE11" s="9">
        <v>0.965556</v>
      </c>
      <c r="AF11" s="9" t="s">
        <v>85</v>
      </c>
      <c r="AG11" s="9" t="s">
        <v>85</v>
      </c>
      <c r="AH11" s="9">
        <v>0.96</v>
      </c>
      <c r="AI11" s="9" t="s">
        <v>85</v>
      </c>
      <c r="AJ11" s="9" t="s">
        <v>85</v>
      </c>
      <c r="AK11" s="9">
        <v>0.974444</v>
      </c>
      <c r="AL11" s="9" t="s">
        <v>85</v>
      </c>
      <c r="AM11" s="9" t="s">
        <v>85</v>
      </c>
      <c r="AN11" s="9">
        <v>0.975556</v>
      </c>
      <c r="AO11" s="9" t="s">
        <v>85</v>
      </c>
      <c r="AP11" s="9" t="s">
        <v>85</v>
      </c>
      <c r="AQ11" s="9">
        <v>0.961111</v>
      </c>
      <c r="AR11" s="9" t="s">
        <v>85</v>
      </c>
      <c r="AS11" s="9" t="s">
        <v>85</v>
      </c>
      <c r="AT11" s="1" t="s">
        <v>85</v>
      </c>
      <c r="AU11" s="9" t="s">
        <v>85</v>
      </c>
      <c r="AV11" s="9" t="s">
        <v>85</v>
      </c>
      <c r="AW11" s="9">
        <v>0.933333</v>
      </c>
      <c r="AX11" s="9" t="s">
        <v>85</v>
      </c>
      <c r="AY11" s="9" t="s">
        <v>85</v>
      </c>
      <c r="AZ11" s="9">
        <v>0.948889</v>
      </c>
      <c r="BA11" s="9" t="s">
        <v>85</v>
      </c>
      <c r="BB11" s="9" t="s">
        <v>85</v>
      </c>
      <c r="BC11" s="9">
        <v>0.971111</v>
      </c>
      <c r="BD11" s="10" t="s">
        <v>85</v>
      </c>
      <c r="BE11" s="10" t="s">
        <v>85</v>
      </c>
      <c r="BF11" s="9">
        <v>0.94</v>
      </c>
      <c r="BG11" s="10" t="s">
        <v>85</v>
      </c>
      <c r="BH11" s="10" t="s">
        <v>85</v>
      </c>
      <c r="BI11" s="9" t="s">
        <v>85</v>
      </c>
      <c r="BJ11" s="6"/>
      <c r="BK11" s="6" t="str">
        <f t="shared" si="2"/>
        <v>5V_One_Acc</v>
      </c>
      <c r="BL11" s="6" t="str">
        <f t="shared" si="3"/>
        <v>5VB_One_Acc</v>
      </c>
      <c r="BM11" s="6" t="str">
        <f t="shared" si="4"/>
        <v>5VB_One_Acc</v>
      </c>
      <c r="BN11" s="6"/>
      <c r="BO11" s="6">
        <f t="shared" ref="BO11:BQ11" si="14">IF(ISNUMBER(SEARCH("5",BK11)),5,IF(ISNUMBER(SEARCH("*8*",BK11)),8,IF(ISNUMBER(SEARCH("*10*",BK11)),10,IF(ISNUMBER(SEARCH("*12*",BK11)),12,IF(ISNUMBER(SEARCH("*20*",BK11)),20)))))</f>
        <v>5</v>
      </c>
      <c r="BP11" s="6">
        <f t="shared" si="14"/>
        <v>5</v>
      </c>
      <c r="BQ11" s="6">
        <f t="shared" si="14"/>
        <v>5</v>
      </c>
      <c r="BR11" s="6"/>
      <c r="BS11" s="6" t="s">
        <v>20</v>
      </c>
      <c r="BT11" s="18">
        <f>COUNTIFS(BK3:BK100,"*De*")</f>
        <v>0</v>
      </c>
      <c r="BU11" s="19">
        <f>COUNTIFS(BK3:BK100,"*De*",BK3:BK100,"*8*")</f>
        <v>0</v>
      </c>
      <c r="BV11" s="18">
        <f>COUNTIFS(BK3:BK100,"*De*",BK3:BK100,"*10*")</f>
        <v>0</v>
      </c>
      <c r="BW11" s="18">
        <f>COUNTIFS(BK3:BK100,"*De*",BK3:BK100,"*12*")</f>
        <v>0</v>
      </c>
      <c r="BX11" s="18">
        <f>COUNTIFS(BK3:BK100,"*De*",BK3:BK100,"*20*")</f>
        <v>0</v>
      </c>
      <c r="BY11" s="6">
        <f t="shared" si="13"/>
        <v>0</v>
      </c>
      <c r="BZ11" s="6"/>
      <c r="CA11" s="6" t="s">
        <v>256</v>
      </c>
      <c r="CB11" s="18">
        <f>COUNTIFS(BK3:BK101,"*Bo*",BK3:BK101,"*8*",C3:C101,"&lt;=2")</f>
        <v>2</v>
      </c>
      <c r="CC11" s="18">
        <f>COUNTIFS(BK3:BK101,"*V*",BK3:BK101,"*8*",C3:C101,"&lt;=2")</f>
        <v>4</v>
      </c>
      <c r="CD11" s="18">
        <f>COUNTIFS(BK3:BK101,"*Bo*",BK3:BK101,"*8*",C3:C101,"&gt;=3",C3:C101,"&lt;=5")</f>
        <v>1</v>
      </c>
      <c r="CE11" s="18">
        <f>COUNTIFS(BK3:BK101,"*V*",BK3:BK101,"*8*",C3:C101,"&gt;=3",C3:C101,"&lt;=5")</f>
        <v>2</v>
      </c>
      <c r="CF11" s="18">
        <f>COUNTIFS(BK3:BK101,"*Bo*",BK3:BK101,"*8*",C3:C101,"&gt;5",C3:C101,"&lt;=10")</f>
        <v>3</v>
      </c>
      <c r="CG11" s="18">
        <f>COUNTIFS(BK3:BK101,"*V*",BK3:BK101,"*8*",C3:C101,"&gt;5",C3:C101,"&lt;=10")</f>
        <v>3</v>
      </c>
      <c r="CH11" s="18">
        <f>COUNTIFS(BK3:BK101,"*Bo*",BK3:BK101,"*8*",C3:C101,"&gt;10",C3:C101,"&lt;30")</f>
        <v>0</v>
      </c>
      <c r="CI11" s="18">
        <f>COUNTIFS(BK3:BK101,"*V*",BK3:BK101,"*8*",C3:C101,"&gt;10",C3:C101,"&lt;30")</f>
        <v>2</v>
      </c>
      <c r="CJ11" s="18">
        <f>COUNTIFS(BK3:BK101,"*Bo*",BK3:BK101,"*8*",C3:C101,"&gt;=30")</f>
        <v>0</v>
      </c>
      <c r="CK11" s="18">
        <f>COUNTIFS(BK3:BK101,"*V*",BK3:BK101,"*8*",C3:C101,"&gt;=30")</f>
        <v>1</v>
      </c>
      <c r="CL11" s="6">
        <f t="shared" si="15"/>
        <v>18</v>
      </c>
      <c r="CM11" s="6"/>
      <c r="CN11" s="6" t="s">
        <v>256</v>
      </c>
      <c r="CO11" s="18">
        <f>COUNTIFS($BK$3:$BK$100,"*Bo*",$BK$3:$BK$100,"*8*",$B$3:$B$100,"&lt;=100")</f>
        <v>1</v>
      </c>
      <c r="CP11" s="18">
        <f>COUNTIFS($BK$3:$BK$100,"*V*",$BK$3:$BK$100,"*8*",$B$3:$B$100,"&lt;=100")</f>
        <v>2</v>
      </c>
      <c r="CQ11" s="18">
        <f>COUNTIFS($BK$3:$BK$100,"*Bo*",$BK$3:$BK$100,"*8*",$B$3:$B$100,"&gt;100",$B$3:$B$100,"&lt;=200")</f>
        <v>2</v>
      </c>
      <c r="CR11" s="18">
        <f>COUNTIFS($BK$3:$BK$100,"*V*",$BK$3:$BK$100,"*8*",$B$3:$B$100,"&gt;100",$B$3:$B$100,"&lt;=200")</f>
        <v>3</v>
      </c>
      <c r="CS11" s="18">
        <f>COUNTIFS($BK$3:$BK$100,"*Bo*",$BK$3:$BK$100,"*8*",$B$3:$B$100,"&gt;200",$B$3:$B$100,"&lt;500")</f>
        <v>0</v>
      </c>
      <c r="CT11" s="18">
        <f>COUNTIFS($BK$3:$BK$100,"*V*",$BK$3:$BK$100,"*8*",$B$3:$B$100,"&gt;200",$B$3:$B$100,"&lt;500")</f>
        <v>5</v>
      </c>
      <c r="CU11" s="18">
        <f>COUNTIFS($BK$3:$BK$100,"*Bo*",$BK$3:$BK$100,"*8*",$B$3:$B$100,"&gt;=500",$B$3:$B$100,"&lt;1000")</f>
        <v>2</v>
      </c>
      <c r="CV11" s="18">
        <f>COUNTIFS($BK$3:$BK$100,"*V*",$BK$3:$BK$100,"*8*",$B$3:$B$100,"&gt;=500",$B$3:$B$100,"&lt;1000")</f>
        <v>1</v>
      </c>
      <c r="CW11" s="18">
        <f>COUNTIFS($BK$3:$BK$100,"*Bo*",$BK$3:$BK$100,"*8*",$B$3:$B$100,"&gt;=1000")</f>
        <v>1</v>
      </c>
      <c r="CX11" s="18">
        <f>COUNTIFS($BK$3:$BK$100,"*V*",$BK$3:$BK$100,"*8*",$B$3:$B$100,"&gt;=1000")</f>
        <v>1</v>
      </c>
      <c r="CY11" s="6">
        <f t="shared" si="16"/>
        <v>18</v>
      </c>
      <c r="CZ11" s="6"/>
    </row>
    <row r="12" ht="15.75" customHeight="1">
      <c r="A12" s="1" t="s">
        <v>103</v>
      </c>
      <c r="B12" s="17">
        <v>24.0</v>
      </c>
      <c r="C12" s="17">
        <v>2.0</v>
      </c>
      <c r="D12" s="17" t="s">
        <v>306</v>
      </c>
      <c r="E12" s="9" t="s">
        <v>85</v>
      </c>
      <c r="F12" s="9" t="s">
        <v>85</v>
      </c>
      <c r="G12" s="9">
        <v>0.976676</v>
      </c>
      <c r="H12" s="9" t="s">
        <v>85</v>
      </c>
      <c r="I12" s="9" t="s">
        <v>85</v>
      </c>
      <c r="J12" s="9">
        <v>0.717201</v>
      </c>
      <c r="K12" s="9" t="s">
        <v>85</v>
      </c>
      <c r="L12" s="9" t="s">
        <v>85</v>
      </c>
      <c r="M12" s="9">
        <v>0.962099</v>
      </c>
      <c r="N12" s="9" t="s">
        <v>85</v>
      </c>
      <c r="O12" s="9" t="s">
        <v>85</v>
      </c>
      <c r="P12" s="9">
        <v>0.965015</v>
      </c>
      <c r="Q12" s="9" t="s">
        <v>85</v>
      </c>
      <c r="R12" s="9" t="s">
        <v>85</v>
      </c>
      <c r="S12" s="9">
        <v>0.96793</v>
      </c>
      <c r="T12" s="9" t="s">
        <v>85</v>
      </c>
      <c r="U12" s="9" t="s">
        <v>85</v>
      </c>
      <c r="V12" s="9">
        <v>0.979592</v>
      </c>
      <c r="W12" s="9" t="s">
        <v>85</v>
      </c>
      <c r="X12" s="9" t="s">
        <v>85</v>
      </c>
      <c r="Y12" s="9">
        <v>0.944606</v>
      </c>
      <c r="Z12" s="9" t="s">
        <v>85</v>
      </c>
      <c r="AA12" s="9" t="s">
        <v>85</v>
      </c>
      <c r="AB12" s="9">
        <v>0.944606</v>
      </c>
      <c r="AC12" s="10" t="s">
        <v>85</v>
      </c>
      <c r="AD12" s="10" t="s">
        <v>85</v>
      </c>
      <c r="AE12" s="9">
        <v>0.982507</v>
      </c>
      <c r="AF12" s="9" t="s">
        <v>85</v>
      </c>
      <c r="AG12" s="9" t="s">
        <v>85</v>
      </c>
      <c r="AH12" s="9">
        <v>0.982507</v>
      </c>
      <c r="AI12" s="9" t="s">
        <v>85</v>
      </c>
      <c r="AJ12" s="9" t="s">
        <v>85</v>
      </c>
      <c r="AK12" s="9">
        <v>0.947522</v>
      </c>
      <c r="AL12" s="9" t="s">
        <v>85</v>
      </c>
      <c r="AM12" s="9" t="s">
        <v>85</v>
      </c>
      <c r="AN12" s="9">
        <v>0.932945</v>
      </c>
      <c r="AO12" s="9" t="s">
        <v>85</v>
      </c>
      <c r="AP12" s="9" t="s">
        <v>85</v>
      </c>
      <c r="AQ12" s="9">
        <v>0.979592</v>
      </c>
      <c r="AR12" s="9" t="s">
        <v>85</v>
      </c>
      <c r="AS12" s="9" t="s">
        <v>85</v>
      </c>
      <c r="AT12" s="9">
        <v>0.982507</v>
      </c>
      <c r="AU12" s="9" t="s">
        <v>85</v>
      </c>
      <c r="AV12" s="9" t="s">
        <v>85</v>
      </c>
      <c r="AW12" s="9">
        <v>0.932945</v>
      </c>
      <c r="AX12" s="9" t="s">
        <v>85</v>
      </c>
      <c r="AY12" s="9" t="s">
        <v>85</v>
      </c>
      <c r="AZ12" s="9">
        <v>0.956268</v>
      </c>
      <c r="BA12" s="9" t="s">
        <v>85</v>
      </c>
      <c r="BB12" s="9" t="s">
        <v>85</v>
      </c>
      <c r="BC12" s="9">
        <v>0.947522</v>
      </c>
      <c r="BD12" s="10" t="s">
        <v>85</v>
      </c>
      <c r="BE12" s="10" t="s">
        <v>85</v>
      </c>
      <c r="BF12" s="9">
        <v>0.947522</v>
      </c>
      <c r="BG12" s="10" t="s">
        <v>85</v>
      </c>
      <c r="BH12" s="10" t="s">
        <v>85</v>
      </c>
      <c r="BI12" s="9" t="s">
        <v>85</v>
      </c>
      <c r="BJ12" s="6"/>
      <c r="BK12" s="6" t="str">
        <f t="shared" si="2"/>
        <v>10Bo_One_Acc</v>
      </c>
      <c r="BL12" s="6" t="str">
        <f t="shared" si="3"/>
        <v>10Bo_One_Acc</v>
      </c>
      <c r="BM12" s="6" t="str">
        <f t="shared" si="4"/>
        <v>10Bo_One_Acc</v>
      </c>
      <c r="BN12" s="6"/>
      <c r="BO12" s="6">
        <f t="shared" ref="BO12:BQ12" si="17">IF(ISNUMBER(SEARCH("5",BK12)),5,IF(ISNUMBER(SEARCH("*8*",BK12)),8,IF(ISNUMBER(SEARCH("*10*",BK12)),10,IF(ISNUMBER(SEARCH("*12*",BK12)),12,IF(ISNUMBER(SEARCH("*20*",BK12)),20)))))</f>
        <v>10</v>
      </c>
      <c r="BP12" s="6">
        <f t="shared" si="17"/>
        <v>10</v>
      </c>
      <c r="BQ12" s="6">
        <f t="shared" si="17"/>
        <v>10</v>
      </c>
      <c r="BR12" s="6"/>
      <c r="BS12" s="6"/>
      <c r="BT12" s="6"/>
      <c r="BU12" s="6"/>
      <c r="BV12" s="6"/>
      <c r="BW12" s="6"/>
      <c r="BX12" s="6"/>
      <c r="BY12" s="6"/>
      <c r="BZ12" s="6"/>
      <c r="CA12" s="6" t="s">
        <v>257</v>
      </c>
      <c r="CB12" s="18">
        <f>COUNTIFS(BK3:BK102,"*Bo*",BK3:BK102,"*10*",C3:C102,"&lt;=2")</f>
        <v>2</v>
      </c>
      <c r="CC12" s="18">
        <f>COUNTIFS(BK3:BK102,"*V*",BK3:BK102,"*10*",C3:C102,"&lt;=2")</f>
        <v>3</v>
      </c>
      <c r="CD12" s="18">
        <f>COUNTIFS(BK3:BK102,"*Bo*",BK3:BK102,"*10*",C3:C102,"&gt;=3",C3:C102,"&lt;=5")</f>
        <v>1</v>
      </c>
      <c r="CE12" s="18">
        <f>COUNTIFS(BK3:BK102,"*V*",BK3:BK102,"*10*",C3:C102,"&gt;=3",C3:C102,"&lt;=5")</f>
        <v>4</v>
      </c>
      <c r="CF12" s="18">
        <f>COUNTIFS(BK3:BK102,"*Bo*",BK3:BK102,"*10*",C3:C102,"&gt;5",C3:C102,"&lt;=10")</f>
        <v>0</v>
      </c>
      <c r="CG12" s="18">
        <f>COUNTIFS(BK3:BK102,"*V*",BK3:BK102,"*10*",C3:C102,"&gt;5",C3:C102,"&lt;=10")</f>
        <v>0</v>
      </c>
      <c r="CH12" s="18">
        <f>COUNTIFS(BK3:BK102,"*Bo*",BK3:BK102,"*10*",C3:C102,"&gt;10",C3:C102,"&lt;30")</f>
        <v>1</v>
      </c>
      <c r="CI12" s="18">
        <f>COUNTIFS(BK3:BK102,"*V*",BK3:BK102,"*10*",C3:C102,"&gt;10",C3:C102,"&lt;30")</f>
        <v>0</v>
      </c>
      <c r="CJ12" s="18">
        <f>COUNTIFS(BK3:BK102,"*Bo*",BK3:BK102,"*10*",C3:C102,"&gt;=30")</f>
        <v>3</v>
      </c>
      <c r="CK12" s="18">
        <f>COUNTIFS(BK3:BK102,"*V*",BK3:BK102,"*10*",C3:C102,"&gt;=30")</f>
        <v>0</v>
      </c>
      <c r="CL12" s="6">
        <f t="shared" si="15"/>
        <v>14</v>
      </c>
      <c r="CM12" s="6"/>
      <c r="CN12" s="6" t="s">
        <v>257</v>
      </c>
      <c r="CO12" s="18">
        <f>COUNTIFS($BK$3:$BK$100,"*Bo*",$BK$3:$BK$100,"*10*",$B$3:$B$100,"&lt;=100")</f>
        <v>1</v>
      </c>
      <c r="CP12" s="18">
        <f>COUNTIFS($BK$3:$BK$100,"*V*",$BK$3:$BK$100,"*10*",$B$3:$B$100,"&lt;=100")</f>
        <v>2</v>
      </c>
      <c r="CQ12" s="18">
        <f>COUNTIFS($BK$3:$BK$100,"*Bo*",$BK$3:$BK$100,"*10*",$B$3:$B$100,"&gt;100",$B$3:$B$100,"&lt;=200")</f>
        <v>2</v>
      </c>
      <c r="CR12" s="18">
        <f>COUNTIFS($BK$3:$BK$100,"*V*",$BK$3:$BK$100,"*10*",$B$3:$B$100,"&gt;100",$B$3:$B$100,"&lt;=200")</f>
        <v>0</v>
      </c>
      <c r="CS12" s="18">
        <f>COUNTIFS($BK$3:$BK$100,"*Bo*",$BK$3:$BK$100,"*10*",$B$3:$B$100,"&gt;200",$B$3:$B$100,"&lt;500")</f>
        <v>2</v>
      </c>
      <c r="CT12" s="18">
        <f>COUNTIFS($BK$3:$BK$100,"*V*",$BK$3:$BK$100,"*10*",$B$3:$B$100,"&gt;200",$B$3:$B$100,"&lt;500")</f>
        <v>2</v>
      </c>
      <c r="CU12" s="18">
        <f>COUNTIFS($BK$3:$BK$100,"*Bo*",$BK$3:$BK$100,"*10*",$B$3:$B$100,"&gt;=500",$B$3:$B$100,"&lt;1000")</f>
        <v>2</v>
      </c>
      <c r="CV12" s="18">
        <f>COUNTIFS($BK$3:$BK$100,"*V*",$BK$3:$BK$100,"*10*",$B$3:$B$100,"&gt;=500",$B$3:$B$100,"&lt;1000")</f>
        <v>1</v>
      </c>
      <c r="CW12" s="18">
        <f>COUNTIFS($BK$3:$BK$100,"*Bo*",$BK$3:$BK$100,"*10*",$B$3:$B$100,"&gt;=1000")</f>
        <v>0</v>
      </c>
      <c r="CX12" s="18">
        <f>COUNTIFS($BK$3:$BK$100,"*V*",$BK$3:$BK$100,"*10*",$B$3:$B$100,"&gt;=1000")</f>
        <v>2</v>
      </c>
      <c r="CY12" s="6">
        <f t="shared" si="16"/>
        <v>14</v>
      </c>
      <c r="CZ12" s="6"/>
    </row>
    <row r="13" ht="15.75" customHeight="1">
      <c r="A13" s="1" t="s">
        <v>105</v>
      </c>
      <c r="B13" s="17">
        <v>166.0</v>
      </c>
      <c r="C13" s="17">
        <v>3.0</v>
      </c>
      <c r="D13" s="17" t="s">
        <v>303</v>
      </c>
      <c r="E13" s="9" t="s">
        <v>85</v>
      </c>
      <c r="F13" s="9" t="s">
        <v>85</v>
      </c>
      <c r="G13" s="9">
        <v>0.547917</v>
      </c>
      <c r="H13" s="9" t="s">
        <v>85</v>
      </c>
      <c r="I13" s="9" t="s">
        <v>85</v>
      </c>
      <c r="J13" s="9">
        <v>0.532552</v>
      </c>
      <c r="K13" s="9" t="s">
        <v>85</v>
      </c>
      <c r="L13" s="9" t="s">
        <v>85</v>
      </c>
      <c r="M13" s="9">
        <v>0.532552</v>
      </c>
      <c r="N13" s="9" t="s">
        <v>85</v>
      </c>
      <c r="O13" s="9" t="s">
        <v>85</v>
      </c>
      <c r="P13" s="9">
        <v>0.532552</v>
      </c>
      <c r="Q13" s="9" t="s">
        <v>85</v>
      </c>
      <c r="R13" s="9" t="s">
        <v>85</v>
      </c>
      <c r="S13" s="9">
        <v>0.535677</v>
      </c>
      <c r="T13" s="9" t="s">
        <v>85</v>
      </c>
      <c r="U13" s="9" t="s">
        <v>85</v>
      </c>
      <c r="V13" s="9">
        <v>0.532552</v>
      </c>
      <c r="W13" s="9" t="s">
        <v>85</v>
      </c>
      <c r="X13" s="9" t="s">
        <v>85</v>
      </c>
      <c r="Y13" s="9">
        <v>0.56276</v>
      </c>
      <c r="Z13" s="9" t="s">
        <v>85</v>
      </c>
      <c r="AA13" s="9" t="s">
        <v>85</v>
      </c>
      <c r="AB13" s="9">
        <v>0.532552</v>
      </c>
      <c r="AC13" s="10" t="s">
        <v>85</v>
      </c>
      <c r="AD13" s="10" t="s">
        <v>85</v>
      </c>
      <c r="AE13" s="9">
        <v>0.579427</v>
      </c>
      <c r="AF13" s="9" t="s">
        <v>85</v>
      </c>
      <c r="AG13" s="9" t="s">
        <v>85</v>
      </c>
      <c r="AH13" s="9">
        <v>0.532552</v>
      </c>
      <c r="AI13" s="9" t="s">
        <v>85</v>
      </c>
      <c r="AJ13" s="9" t="s">
        <v>85</v>
      </c>
      <c r="AK13" s="9">
        <v>0.532552</v>
      </c>
      <c r="AL13" s="9" t="s">
        <v>85</v>
      </c>
      <c r="AM13" s="9" t="s">
        <v>85</v>
      </c>
      <c r="AN13" s="9">
        <v>0.532552</v>
      </c>
      <c r="AO13" s="9" t="s">
        <v>85</v>
      </c>
      <c r="AP13" s="9" t="s">
        <v>85</v>
      </c>
      <c r="AQ13" s="9">
        <v>0.579427</v>
      </c>
      <c r="AR13" s="9" t="s">
        <v>85</v>
      </c>
      <c r="AS13" s="9" t="s">
        <v>85</v>
      </c>
      <c r="AT13" s="9">
        <v>0.578385</v>
      </c>
      <c r="AU13" s="9" t="s">
        <v>85</v>
      </c>
      <c r="AV13" s="9" t="s">
        <v>85</v>
      </c>
      <c r="AW13" s="9">
        <v>0.59974</v>
      </c>
      <c r="AX13" s="9" t="s">
        <v>85</v>
      </c>
      <c r="AY13" s="9" t="s">
        <v>85</v>
      </c>
      <c r="AZ13" s="9">
        <v>0.532552</v>
      </c>
      <c r="BA13" s="9" t="s">
        <v>85</v>
      </c>
      <c r="BB13" s="9" t="s">
        <v>85</v>
      </c>
      <c r="BC13" s="9">
        <v>0.588542</v>
      </c>
      <c r="BD13" s="10" t="s">
        <v>85</v>
      </c>
      <c r="BE13" s="10" t="s">
        <v>85</v>
      </c>
      <c r="BF13" s="9">
        <v>0.532552</v>
      </c>
      <c r="BG13" s="10" t="s">
        <v>85</v>
      </c>
      <c r="BH13" s="10" t="s">
        <v>85</v>
      </c>
      <c r="BI13" s="9" t="s">
        <v>85</v>
      </c>
      <c r="BJ13" s="6"/>
      <c r="BK13" s="6" t="str">
        <f t="shared" si="2"/>
        <v>12V_One_Acc</v>
      </c>
      <c r="BL13" s="6" t="str">
        <f t="shared" si="3"/>
        <v>20Bo_One_Acc</v>
      </c>
      <c r="BM13" s="6" t="str">
        <f t="shared" si="4"/>
        <v>10Bo_One_Acc</v>
      </c>
      <c r="BN13" s="6"/>
      <c r="BO13" s="6">
        <f t="shared" ref="BO13:BQ13" si="18">IF(ISNUMBER(SEARCH("5",BK13)),5,IF(ISNUMBER(SEARCH("*8*",BK13)),8,IF(ISNUMBER(SEARCH("*10*",BK13)),10,IF(ISNUMBER(SEARCH("*12*",BK13)),12,IF(ISNUMBER(SEARCH("*20*",BK13)),20)))))</f>
        <v>12</v>
      </c>
      <c r="BP13" s="6">
        <f t="shared" si="18"/>
        <v>20</v>
      </c>
      <c r="BQ13" s="6">
        <f t="shared" si="18"/>
        <v>10</v>
      </c>
      <c r="BR13" s="6"/>
      <c r="BS13" s="6"/>
      <c r="BT13" s="6"/>
      <c r="BU13" s="6"/>
      <c r="BV13" s="6"/>
      <c r="BW13" s="6"/>
      <c r="BX13" s="6"/>
      <c r="BY13" s="6"/>
      <c r="BZ13" s="6"/>
      <c r="CA13" s="6" t="s">
        <v>258</v>
      </c>
      <c r="CB13" s="18">
        <f>COUNTIFS(BK3:BK103,"*Bo*",BK3:BK103,"*12*",C3:C103,"&lt;=2")</f>
        <v>2</v>
      </c>
      <c r="CC13" s="18">
        <f>COUNTIFS(BK3:BK103,"*V*",BK3:BK103,"*12*",C3:C103,"&lt;=2")</f>
        <v>7</v>
      </c>
      <c r="CD13" s="18">
        <f>COUNTIFS(BK3:BK103,"*Bo*",BK3:BK103,"*12*",C3:C103,"&gt;=3",C3:C103,"&lt;=5")</f>
        <v>2</v>
      </c>
      <c r="CE13" s="18">
        <f>COUNTIFS(BK3:BK103,"*V*",BK3:BK103,"*12*",C3:C103,"&gt;=3",C3:C103,"&lt;=5")</f>
        <v>6</v>
      </c>
      <c r="CF13" s="18">
        <f>COUNTIFS(BK3:BK103,"*Bo*",BK3:BK103,"*12*",C3:C103,"&gt;5",C3:C103,"&lt;=10")</f>
        <v>3</v>
      </c>
      <c r="CG13" s="18">
        <f>COUNTIFS(BK3:BK103,"*V*",BK3:BK103,"*12*",C3:C103,"&gt;5",C3:C103,"&lt;=10")</f>
        <v>1</v>
      </c>
      <c r="CH13" s="18">
        <f>COUNTIFS(BK3:BK103,"*Bo*",BK3:BK103,"*12*",C3:C103,"&gt;10",C3:C103,"&lt;30")</f>
        <v>1</v>
      </c>
      <c r="CI13" s="18">
        <f>COUNTIFS(BK3:BK103,"*V*",BK3:BK103,"*12*",C3:C103,"&gt;10",C3:C103,"&lt;30")</f>
        <v>1</v>
      </c>
      <c r="CJ13" s="18">
        <f>COUNTIFS(BK3:BK103,"*Bo*",BK3:BK103,"*12*",C3:C103,"&gt;=30")</f>
        <v>0</v>
      </c>
      <c r="CK13" s="18">
        <f>COUNTIFS(BK3:BK103,"*V*",BK3:BK103,"*12*",C3:C103,"&gt;=30")</f>
        <v>0</v>
      </c>
      <c r="CL13" s="6">
        <f t="shared" si="15"/>
        <v>23</v>
      </c>
      <c r="CM13" s="6"/>
      <c r="CN13" s="6" t="s">
        <v>258</v>
      </c>
      <c r="CO13" s="18">
        <f>COUNTIFS($BK$3:$BK$100,"*Bo*",$BK$3:$BK$100,"*12*",$B$3:$B$100,"&lt;=100")</f>
        <v>1</v>
      </c>
      <c r="CP13" s="18">
        <f>COUNTIFS($BK$3:$BK$100,"*V*",$BK$3:$BK$100,"*12*",$B$3:$B$100,"&lt;=100")</f>
        <v>5</v>
      </c>
      <c r="CQ13" s="18">
        <f>COUNTIFS($BK$3:$BK$100,"*Bo*",$BK$3:$BK$100,"*12*",$B$3:$B$100,"&gt;100",$B$3:$B$100,"&lt;=200")</f>
        <v>0</v>
      </c>
      <c r="CR13" s="18">
        <f>COUNTIFS($BK$3:$BK$100,"*V*",$BK$3:$BK$100,"*12*",$B$3:$B$100,"&gt;100",$B$3:$B$100,"&lt;=200")</f>
        <v>3</v>
      </c>
      <c r="CS13" s="18">
        <f>COUNTIFS($BK$3:$BK$100,"*Bo*",$BK$3:$BK$100,"*12*",$B$3:$B$100,"&gt;200",$B$3:$B$100,"&lt;500")</f>
        <v>2</v>
      </c>
      <c r="CT13" s="18">
        <f>COUNTIFS($BK$3:$BK$100,"*V*",$BK$3:$BK$100,"*12*",$B$3:$B$100,"&gt;200",$B$3:$B$100,"&lt;500")</f>
        <v>3</v>
      </c>
      <c r="CU13" s="18">
        <f>COUNTIFS($BK$3:$BK$100,"*Bo*",$BK$3:$BK$100,"*12*",$B$3:$B$100,"&gt;=500",$B$3:$B$100,"&lt;1000")</f>
        <v>3</v>
      </c>
      <c r="CV13" s="18">
        <f>COUNTIFS($BK$3:$BK$100,"*V*",$BK$3:$BK$100,"*12*",$B$3:$B$100,"&gt;=500",$B$3:$B$100,"&lt;1000")</f>
        <v>2</v>
      </c>
      <c r="CW13" s="18">
        <f>COUNTIFS($BK$3:$BK$100,"*Bo*",$BK$3:$BK$100,"*12*",$B$3:$B$100,"&gt;=1000")</f>
        <v>2</v>
      </c>
      <c r="CX13" s="18">
        <f>COUNTIFS($BK$3:$BK$100,"*V*",$BK$3:$BK$100,"*12*",$B$3:$B$100,"&gt;=1000")</f>
        <v>2</v>
      </c>
      <c r="CY13" s="6">
        <f t="shared" si="16"/>
        <v>23</v>
      </c>
      <c r="CZ13" s="6"/>
    </row>
    <row r="14" ht="15.75" customHeight="1">
      <c r="A14" s="1" t="s">
        <v>107</v>
      </c>
      <c r="B14" s="17">
        <v>1639.0</v>
      </c>
      <c r="C14" s="17">
        <v>4.0</v>
      </c>
      <c r="D14" s="17" t="s">
        <v>307</v>
      </c>
      <c r="E14" s="9" t="s">
        <v>85</v>
      </c>
      <c r="F14" s="9" t="s">
        <v>85</v>
      </c>
      <c r="G14" s="9">
        <v>0.435507</v>
      </c>
      <c r="H14" s="9" t="s">
        <v>85</v>
      </c>
      <c r="I14" s="9" t="s">
        <v>85</v>
      </c>
      <c r="J14" s="9">
        <v>0.247826</v>
      </c>
      <c r="K14" s="9" t="s">
        <v>85</v>
      </c>
      <c r="L14" s="9" t="s">
        <v>85</v>
      </c>
      <c r="M14" s="9">
        <v>0.496377</v>
      </c>
      <c r="N14" s="9" t="s">
        <v>85</v>
      </c>
      <c r="O14" s="9" t="s">
        <v>85</v>
      </c>
      <c r="P14" s="9">
        <v>0.494203</v>
      </c>
      <c r="Q14" s="9" t="s">
        <v>85</v>
      </c>
      <c r="R14" s="9" t="s">
        <v>85</v>
      </c>
      <c r="S14" s="9">
        <v>0.643478</v>
      </c>
      <c r="T14" s="9" t="s">
        <v>85</v>
      </c>
      <c r="U14" s="9" t="s">
        <v>85</v>
      </c>
      <c r="V14" s="9">
        <v>0.603623</v>
      </c>
      <c r="W14" s="9" t="s">
        <v>85</v>
      </c>
      <c r="X14" s="9" t="s">
        <v>85</v>
      </c>
      <c r="Y14" s="9">
        <v>0.628261</v>
      </c>
      <c r="Z14" s="9" t="s">
        <v>85</v>
      </c>
      <c r="AA14" s="9" t="s">
        <v>85</v>
      </c>
      <c r="AB14" s="9">
        <v>0.602899</v>
      </c>
      <c r="AC14" s="10" t="s">
        <v>85</v>
      </c>
      <c r="AD14" s="10" t="s">
        <v>85</v>
      </c>
      <c r="AE14" s="9">
        <v>0.656522</v>
      </c>
      <c r="AF14" s="9" t="s">
        <v>85</v>
      </c>
      <c r="AG14" s="9" t="s">
        <v>85</v>
      </c>
      <c r="AH14" s="9">
        <v>0.668841</v>
      </c>
      <c r="AI14" s="9" t="s">
        <v>85</v>
      </c>
      <c r="AJ14" s="9" t="s">
        <v>85</v>
      </c>
      <c r="AK14" s="9">
        <v>0.641304</v>
      </c>
      <c r="AL14" s="9" t="s">
        <v>85</v>
      </c>
      <c r="AM14" s="9" t="s">
        <v>85</v>
      </c>
      <c r="AN14" s="9">
        <v>0.634058</v>
      </c>
      <c r="AO14" s="9" t="s">
        <v>85</v>
      </c>
      <c r="AP14" s="9" t="s">
        <v>85</v>
      </c>
      <c r="AQ14" s="9">
        <v>0.63913</v>
      </c>
      <c r="AR14" s="9" t="s">
        <v>85</v>
      </c>
      <c r="AS14" s="9" t="s">
        <v>85</v>
      </c>
      <c r="AT14" s="9">
        <v>0.646377</v>
      </c>
      <c r="AU14" s="9" t="s">
        <v>85</v>
      </c>
      <c r="AV14" s="9" t="s">
        <v>85</v>
      </c>
      <c r="AW14" s="9">
        <v>0.697826</v>
      </c>
      <c r="AX14" s="9" t="s">
        <v>85</v>
      </c>
      <c r="AY14" s="9" t="s">
        <v>85</v>
      </c>
      <c r="AZ14" s="9">
        <v>0.742029</v>
      </c>
      <c r="BA14" s="9" t="s">
        <v>85</v>
      </c>
      <c r="BB14" s="9" t="s">
        <v>85</v>
      </c>
      <c r="BC14" s="9">
        <v>0.787681</v>
      </c>
      <c r="BD14" s="10" t="s">
        <v>85</v>
      </c>
      <c r="BE14" s="10" t="s">
        <v>85</v>
      </c>
      <c r="BF14" s="9">
        <v>0.797101</v>
      </c>
      <c r="BG14" s="10" t="s">
        <v>85</v>
      </c>
      <c r="BH14" s="10" t="s">
        <v>85</v>
      </c>
      <c r="BI14" s="9" t="s">
        <v>85</v>
      </c>
      <c r="BJ14" s="6"/>
      <c r="BK14" s="6" t="str">
        <f t="shared" si="2"/>
        <v>20V_One_Acc</v>
      </c>
      <c r="BL14" s="6" t="str">
        <f t="shared" si="3"/>
        <v>20Bo_One_Acc</v>
      </c>
      <c r="BM14" s="6" t="str">
        <f t="shared" si="4"/>
        <v>12VB_One_Acc</v>
      </c>
      <c r="BN14" s="6"/>
      <c r="BO14" s="6">
        <f t="shared" ref="BO14:BQ14" si="19">IF(ISNUMBER(SEARCH("5",BK14)),5,IF(ISNUMBER(SEARCH("*8*",BK14)),8,IF(ISNUMBER(SEARCH("*10*",BK14)),10,IF(ISNUMBER(SEARCH("*12*",BK14)),12,IF(ISNUMBER(SEARCH("*20*",BK14)),20)))))</f>
        <v>20</v>
      </c>
      <c r="BP14" s="6">
        <f t="shared" si="19"/>
        <v>20</v>
      </c>
      <c r="BQ14" s="6">
        <f t="shared" si="19"/>
        <v>12</v>
      </c>
      <c r="BR14" s="6"/>
      <c r="BS14" s="6"/>
      <c r="BT14" s="6"/>
      <c r="BU14" s="6"/>
      <c r="BV14" s="6"/>
      <c r="BW14" s="6"/>
      <c r="BX14" s="6"/>
      <c r="BY14" s="6"/>
      <c r="BZ14" s="6"/>
      <c r="CA14" s="6" t="s">
        <v>259</v>
      </c>
      <c r="CB14" s="18">
        <f>COUNTIFS(BK3:BK104,"*Bo*",BK3:BK104,"*20*",C3:C104,"&lt;=2")</f>
        <v>1</v>
      </c>
      <c r="CC14" s="18">
        <f>COUNTIFS(BK3:BK104,"*V*",BK3:BK104,"*20*",C3:C104,"&lt;=2")</f>
        <v>3</v>
      </c>
      <c r="CD14" s="18">
        <f>COUNTIFS(BK3:BK104,"*Bo*",BK3:BK104,"*20*",C3:C104,"&gt;=3",C3:C104,"&lt;=5")</f>
        <v>2</v>
      </c>
      <c r="CE14" s="18">
        <f>COUNTIFS(BK3:BK104,"*V*",BK3:BK104,"*20*",C3:C104,"&gt;=3",C3:C104,"&lt;=5")</f>
        <v>6</v>
      </c>
      <c r="CF14" s="18">
        <f>COUNTIFS(BK3:BK104,"*Bo*",BK3:BK104,"*20*",C3:C104,"&gt;5",C3:C104,"&lt;=10")</f>
        <v>1</v>
      </c>
      <c r="CG14" s="18">
        <f>COUNTIFS(BK3:BK104,"*V*",BK3:BK104,"*20*",C3:C104,"&gt;5",C3:C104,"&lt;=10")</f>
        <v>1</v>
      </c>
      <c r="CH14" s="18">
        <f>COUNTIFS(BK3:BK104,"*Bo*",BK3:BK104,"*20*",C3:C104,"&gt;10",C3:C104,"&lt;30")</f>
        <v>0</v>
      </c>
      <c r="CI14" s="18">
        <f>COUNTIFS(BK3:BK104,"*V*",BK3:BK104,"*20*",C3:C104,"&gt;10",C3:C104,"&lt;30")</f>
        <v>0</v>
      </c>
      <c r="CJ14" s="18">
        <f>COUNTIFS(BK3:BK104,"*Bo*",BK3:BK104,"*20*",C3:C104,"&gt;=30")</f>
        <v>0</v>
      </c>
      <c r="CK14" s="18">
        <f>COUNTIFS(BK3:BK104,"*V*",BK3:BK104,"*20*",C3:C104,"&gt;=30")</f>
        <v>0</v>
      </c>
      <c r="CL14" s="6">
        <f t="shared" si="15"/>
        <v>14</v>
      </c>
      <c r="CM14" s="6"/>
      <c r="CN14" s="6" t="s">
        <v>259</v>
      </c>
      <c r="CO14" s="18">
        <f>COUNTIFS($BK$3:$BK$100,"*Bo*",$BK$3:$BK$100,"*20*",$B$3:$B$100,"&lt;=100")</f>
        <v>2</v>
      </c>
      <c r="CP14" s="18">
        <f>COUNTIFS($BK$3:$BK$100,"*V*",$BK$3:$BK$100,"*20*",$B$3:$B$100,"&lt;=100")</f>
        <v>2</v>
      </c>
      <c r="CQ14" s="18">
        <f>COUNTIFS($BK$3:$BK$100,"*Bo*",$BK$3:$BK$100,"*20*",$B$3:$B$100,"&gt;100",$B$3:$B$100,"&lt;=200")</f>
        <v>0</v>
      </c>
      <c r="CR14" s="18">
        <f>COUNTIFS($BK$3:$BK$100,"*V*",$BK$3:$BK$100,"*20*",$B$3:$B$100,"&gt;100",$B$3:$B$100,"&lt;=200")</f>
        <v>0</v>
      </c>
      <c r="CS14" s="18">
        <f>COUNTIFS($BK$3:$BK$100,"*Bo*",$BK$3:$BK$100,"*20*",$B$3:$B$100,"&gt;200",$B$3:$B$100,"&lt;500")</f>
        <v>2</v>
      </c>
      <c r="CT14" s="18">
        <f>COUNTIFS($BK$3:$BK$100,"*V*",$BK$3:$BK$100,"*20*",$B$3:$B$100,"&gt;200",$B$3:$B$100,"&lt;500")</f>
        <v>1</v>
      </c>
      <c r="CU14" s="18">
        <f>COUNTIFS($BK$3:$BK$100,"*Bo*",$BK$3:$BK$100,"*20*",$B$3:$B$100,"&gt;=500",$B$3:$B$100,"&lt;1000")</f>
        <v>0</v>
      </c>
      <c r="CV14" s="18">
        <f>COUNTIFS($BK$3:$BK$100,"*V*",$BK$3:$BK$100,"*20*",$B$3:$B$100,"&gt;=500",$B$3:$B$100,"&lt;1000")</f>
        <v>2</v>
      </c>
      <c r="CW14" s="18">
        <f>COUNTIFS($BK$3:$BK$100,"*Bo*",$BK$3:$BK$100,"*20*",$B$3:$B$100,"&gt;=1000")</f>
        <v>0</v>
      </c>
      <c r="CX14" s="18">
        <f>COUNTIFS($BK$3:$BK$100,"*V*",$BK$3:$BK$100,"*20*",$B$3:$B$100,"&gt;=1000")</f>
        <v>5</v>
      </c>
      <c r="CY14" s="6">
        <f t="shared" si="16"/>
        <v>14</v>
      </c>
      <c r="CZ14" s="6"/>
    </row>
    <row r="15" ht="15.75" customHeight="1">
      <c r="A15" s="1" t="s">
        <v>109</v>
      </c>
      <c r="B15" s="17">
        <v>286.0</v>
      </c>
      <c r="C15" s="17">
        <v>2.0</v>
      </c>
      <c r="D15" s="17" t="s">
        <v>302</v>
      </c>
      <c r="E15" s="9" t="s">
        <v>85</v>
      </c>
      <c r="F15" s="9" t="s">
        <v>85</v>
      </c>
      <c r="G15" s="9">
        <v>0.75</v>
      </c>
      <c r="H15" s="9" t="s">
        <v>85</v>
      </c>
      <c r="I15" s="9" t="s">
        <v>85</v>
      </c>
      <c r="J15" s="9">
        <v>0.464286</v>
      </c>
      <c r="K15" s="9" t="s">
        <v>85</v>
      </c>
      <c r="L15" s="9" t="s">
        <v>85</v>
      </c>
      <c r="M15" s="9">
        <v>0.821429</v>
      </c>
      <c r="N15" s="9" t="s">
        <v>85</v>
      </c>
      <c r="O15" s="9" t="s">
        <v>85</v>
      </c>
      <c r="P15" s="9">
        <v>0.75</v>
      </c>
      <c r="Q15" s="9" t="s">
        <v>85</v>
      </c>
      <c r="R15" s="9" t="s">
        <v>85</v>
      </c>
      <c r="S15" s="9">
        <v>0.714286</v>
      </c>
      <c r="T15" s="9" t="s">
        <v>85</v>
      </c>
      <c r="U15" s="9" t="s">
        <v>85</v>
      </c>
      <c r="V15" s="9">
        <v>0.75</v>
      </c>
      <c r="W15" s="9" t="s">
        <v>85</v>
      </c>
      <c r="X15" s="9" t="s">
        <v>85</v>
      </c>
      <c r="Y15" s="9">
        <v>0.964286</v>
      </c>
      <c r="Z15" s="9" t="s">
        <v>85</v>
      </c>
      <c r="AA15" s="9" t="s">
        <v>85</v>
      </c>
      <c r="AB15" s="9">
        <v>1.0</v>
      </c>
      <c r="AC15" s="10" t="s">
        <v>85</v>
      </c>
      <c r="AD15" s="10" t="s">
        <v>85</v>
      </c>
      <c r="AE15" s="9">
        <v>0.857143</v>
      </c>
      <c r="AF15" s="9" t="s">
        <v>85</v>
      </c>
      <c r="AG15" s="9" t="s">
        <v>85</v>
      </c>
      <c r="AH15" s="9">
        <v>0.857143</v>
      </c>
      <c r="AI15" s="9" t="s">
        <v>85</v>
      </c>
      <c r="AJ15" s="9" t="s">
        <v>85</v>
      </c>
      <c r="AK15" s="9">
        <v>0.857143</v>
      </c>
      <c r="AL15" s="9" t="s">
        <v>85</v>
      </c>
      <c r="AM15" s="9" t="s">
        <v>85</v>
      </c>
      <c r="AN15" s="9">
        <v>0.857143</v>
      </c>
      <c r="AO15" s="9" t="s">
        <v>85</v>
      </c>
      <c r="AP15" s="9" t="s">
        <v>85</v>
      </c>
      <c r="AQ15" s="9">
        <v>0.928571</v>
      </c>
      <c r="AR15" s="9" t="s">
        <v>85</v>
      </c>
      <c r="AS15" s="9" t="s">
        <v>85</v>
      </c>
      <c r="AT15" s="9">
        <v>0.928571</v>
      </c>
      <c r="AU15" s="9" t="s">
        <v>85</v>
      </c>
      <c r="AV15" s="9" t="s">
        <v>85</v>
      </c>
      <c r="AW15" s="9">
        <v>0.964286</v>
      </c>
      <c r="AX15" s="9" t="s">
        <v>85</v>
      </c>
      <c r="AY15" s="9" t="s">
        <v>85</v>
      </c>
      <c r="AZ15" s="9">
        <v>0.964286</v>
      </c>
      <c r="BA15" s="9" t="s">
        <v>85</v>
      </c>
      <c r="BB15" s="9" t="s">
        <v>85</v>
      </c>
      <c r="BC15" s="9">
        <v>0.928571</v>
      </c>
      <c r="BD15" s="10" t="s">
        <v>85</v>
      </c>
      <c r="BE15" s="10" t="s">
        <v>85</v>
      </c>
      <c r="BF15" s="9">
        <v>0.964286</v>
      </c>
      <c r="BG15" s="10" t="s">
        <v>85</v>
      </c>
      <c r="BH15" s="10" t="s">
        <v>85</v>
      </c>
      <c r="BI15" s="9" t="s">
        <v>85</v>
      </c>
      <c r="BJ15" s="6"/>
      <c r="BK15" s="6" t="str">
        <f t="shared" si="2"/>
        <v>8VB_One_Acc</v>
      </c>
      <c r="BL15" s="6" t="str">
        <f t="shared" si="3"/>
        <v>8V_One_Acc</v>
      </c>
      <c r="BM15" s="6" t="str">
        <f t="shared" si="4"/>
        <v>8V_One_Acc</v>
      </c>
      <c r="BN15" s="6"/>
      <c r="BO15" s="6">
        <f t="shared" ref="BO15:BQ15" si="20">IF(ISNUMBER(SEARCH("5",BK15)),5,IF(ISNUMBER(SEARCH("*8*",BK15)),8,IF(ISNUMBER(SEARCH("*10*",BK15)),10,IF(ISNUMBER(SEARCH("*12*",BK15)),12,IF(ISNUMBER(SEARCH("*20*",BK15)),20)))))</f>
        <v>8</v>
      </c>
      <c r="BP15" s="6">
        <f t="shared" si="20"/>
        <v>8</v>
      </c>
      <c r="BQ15" s="6">
        <f t="shared" si="20"/>
        <v>8</v>
      </c>
      <c r="BR15" s="6"/>
      <c r="BS15" s="1" t="s">
        <v>214</v>
      </c>
      <c r="BT15" s="6" t="s">
        <v>249</v>
      </c>
      <c r="BU15" s="6"/>
      <c r="BV15" s="6"/>
      <c r="BW15" s="6"/>
      <c r="BX15" s="6"/>
      <c r="BY15" s="6"/>
      <c r="BZ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 t="s">
        <v>216</v>
      </c>
      <c r="CM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 t="s">
        <v>216</v>
      </c>
      <c r="CZ15" s="6"/>
    </row>
    <row r="16" ht="15.75" customHeight="1">
      <c r="A16" s="1" t="s">
        <v>110</v>
      </c>
      <c r="B16" s="17">
        <v>720.0</v>
      </c>
      <c r="C16" s="17">
        <v>2.0</v>
      </c>
      <c r="D16" s="17" t="s">
        <v>299</v>
      </c>
      <c r="E16" s="9" t="s">
        <v>85</v>
      </c>
      <c r="F16" s="9" t="s">
        <v>85</v>
      </c>
      <c r="G16" s="9">
        <v>0.812</v>
      </c>
      <c r="H16" s="9" t="s">
        <v>85</v>
      </c>
      <c r="I16" s="9" t="s">
        <v>85</v>
      </c>
      <c r="J16" s="9">
        <v>0.5</v>
      </c>
      <c r="K16" s="9" t="s">
        <v>85</v>
      </c>
      <c r="L16" s="9" t="s">
        <v>85</v>
      </c>
      <c r="M16" s="9">
        <v>0.684</v>
      </c>
      <c r="N16" s="9" t="s">
        <v>85</v>
      </c>
      <c r="O16" s="9" t="s">
        <v>85</v>
      </c>
      <c r="P16" s="9">
        <v>0.672</v>
      </c>
      <c r="Q16" s="9" t="s">
        <v>85</v>
      </c>
      <c r="R16" s="9" t="s">
        <v>85</v>
      </c>
      <c r="S16" s="9">
        <v>0.836</v>
      </c>
      <c r="T16" s="9" t="s">
        <v>85</v>
      </c>
      <c r="U16" s="9" t="s">
        <v>85</v>
      </c>
      <c r="V16" s="9">
        <v>0.824</v>
      </c>
      <c r="W16" s="9" t="s">
        <v>85</v>
      </c>
      <c r="X16" s="9" t="s">
        <v>85</v>
      </c>
      <c r="Y16" s="9">
        <v>0.712</v>
      </c>
      <c r="Z16" s="9" t="s">
        <v>85</v>
      </c>
      <c r="AA16" s="9" t="s">
        <v>85</v>
      </c>
      <c r="AB16" s="9">
        <v>0.692</v>
      </c>
      <c r="AC16" s="10" t="s">
        <v>85</v>
      </c>
      <c r="AD16" s="10" t="s">
        <v>85</v>
      </c>
      <c r="AE16" s="9">
        <v>0.824</v>
      </c>
      <c r="AF16" s="9" t="s">
        <v>85</v>
      </c>
      <c r="AG16" s="9" t="s">
        <v>85</v>
      </c>
      <c r="AH16" s="9">
        <v>0.828</v>
      </c>
      <c r="AI16" s="9" t="s">
        <v>85</v>
      </c>
      <c r="AJ16" s="9" t="s">
        <v>85</v>
      </c>
      <c r="AK16" s="9">
        <v>0.616</v>
      </c>
      <c r="AL16" s="9" t="s">
        <v>85</v>
      </c>
      <c r="AM16" s="9" t="s">
        <v>85</v>
      </c>
      <c r="AN16" s="9">
        <v>0.676</v>
      </c>
      <c r="AO16" s="9" t="s">
        <v>85</v>
      </c>
      <c r="AP16" s="9" t="s">
        <v>85</v>
      </c>
      <c r="AQ16" s="9">
        <v>0.8</v>
      </c>
      <c r="AR16" s="9" t="s">
        <v>85</v>
      </c>
      <c r="AS16" s="9" t="s">
        <v>85</v>
      </c>
      <c r="AT16" s="9">
        <v>0.812</v>
      </c>
      <c r="AU16" s="9" t="s">
        <v>85</v>
      </c>
      <c r="AV16" s="9" t="s">
        <v>85</v>
      </c>
      <c r="AW16" s="9">
        <v>0.648</v>
      </c>
      <c r="AX16" s="9" t="s">
        <v>85</v>
      </c>
      <c r="AY16" s="9" t="s">
        <v>85</v>
      </c>
      <c r="AZ16" s="9">
        <v>0.644</v>
      </c>
      <c r="BA16" s="9" t="s">
        <v>85</v>
      </c>
      <c r="BB16" s="9" t="s">
        <v>85</v>
      </c>
      <c r="BC16" s="9">
        <v>0.784</v>
      </c>
      <c r="BD16" s="10" t="s">
        <v>85</v>
      </c>
      <c r="BE16" s="10" t="s">
        <v>85</v>
      </c>
      <c r="BF16" s="9">
        <v>0.684</v>
      </c>
      <c r="BG16" s="10" t="s">
        <v>85</v>
      </c>
      <c r="BH16" s="10" t="s">
        <v>85</v>
      </c>
      <c r="BI16" s="9" t="s">
        <v>85</v>
      </c>
      <c r="BJ16" s="6"/>
      <c r="BK16" s="6" t="str">
        <f t="shared" si="2"/>
        <v>8Bo_One_Acc</v>
      </c>
      <c r="BL16" s="6" t="str">
        <f t="shared" si="3"/>
        <v>10BoN_One_Acc</v>
      </c>
      <c r="BM16" s="6" t="str">
        <f t="shared" si="4"/>
        <v>8BoN_One_Acc</v>
      </c>
      <c r="BN16" s="6"/>
      <c r="BO16" s="6">
        <f t="shared" ref="BO16:BQ16" si="21">IF(ISNUMBER(SEARCH("5",BK16)),5,IF(ISNUMBER(SEARCH("*8*",BK16)),8,IF(ISNUMBER(SEARCH("*10*",BK16)),10,IF(ISNUMBER(SEARCH("*12*",BK16)),12,IF(ISNUMBER(SEARCH("*20*",BK16)),20)))))</f>
        <v>8</v>
      </c>
      <c r="BP16" s="6">
        <f t="shared" si="21"/>
        <v>10</v>
      </c>
      <c r="BQ16" s="6">
        <f t="shared" si="21"/>
        <v>8</v>
      </c>
      <c r="BR16" s="6"/>
      <c r="BT16" s="6" t="s">
        <v>255</v>
      </c>
      <c r="BU16" s="6" t="s">
        <v>256</v>
      </c>
      <c r="BV16" s="6" t="s">
        <v>257</v>
      </c>
      <c r="BW16" s="6" t="s">
        <v>258</v>
      </c>
      <c r="BX16" s="6" t="s">
        <v>259</v>
      </c>
      <c r="BY16" s="6"/>
      <c r="BZ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>
        <f>SUM(CL10:CL15)</f>
        <v>98</v>
      </c>
      <c r="CM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>
        <f>SUM(CY10:CY15)</f>
        <v>98</v>
      </c>
      <c r="CZ16" s="6"/>
    </row>
    <row r="17" ht="15.75" customHeight="1">
      <c r="A17" s="1" t="s">
        <v>111</v>
      </c>
      <c r="B17" s="17">
        <v>46.0</v>
      </c>
      <c r="C17" s="17">
        <v>24.0</v>
      </c>
      <c r="D17" s="17" t="s">
        <v>300</v>
      </c>
      <c r="E17" s="9" t="s">
        <v>85</v>
      </c>
      <c r="F17" s="9" t="s">
        <v>85</v>
      </c>
      <c r="G17" s="9">
        <v>0.445952</v>
      </c>
      <c r="H17" s="9" t="s">
        <v>85</v>
      </c>
      <c r="I17" s="9" t="s">
        <v>85</v>
      </c>
      <c r="J17" s="9">
        <v>0.041667</v>
      </c>
      <c r="K17" s="9" t="s">
        <v>85</v>
      </c>
      <c r="L17" s="9" t="s">
        <v>85</v>
      </c>
      <c r="M17" s="9">
        <v>0.253274</v>
      </c>
      <c r="N17" s="9" t="s">
        <v>85</v>
      </c>
      <c r="O17" s="9" t="s">
        <v>85</v>
      </c>
      <c r="P17" s="9">
        <v>0.37631</v>
      </c>
      <c r="Q17" s="9" t="s">
        <v>85</v>
      </c>
      <c r="R17" s="9" t="s">
        <v>85</v>
      </c>
      <c r="S17" s="9">
        <v>0.352976</v>
      </c>
      <c r="T17" s="9" t="s">
        <v>85</v>
      </c>
      <c r="U17" s="9" t="s">
        <v>85</v>
      </c>
      <c r="V17" s="9">
        <v>0.471131</v>
      </c>
      <c r="W17" s="9" t="s">
        <v>85</v>
      </c>
      <c r="X17" s="9" t="s">
        <v>85</v>
      </c>
      <c r="Y17" s="9">
        <v>0.489762</v>
      </c>
      <c r="Z17" s="9" t="s">
        <v>85</v>
      </c>
      <c r="AA17" s="9" t="s">
        <v>85</v>
      </c>
      <c r="AB17" s="9">
        <v>0.255119</v>
      </c>
      <c r="AC17" s="10" t="s">
        <v>85</v>
      </c>
      <c r="AD17" s="10" t="s">
        <v>85</v>
      </c>
      <c r="AE17" s="9">
        <v>0.475595</v>
      </c>
      <c r="AF17" s="9" t="s">
        <v>85</v>
      </c>
      <c r="AG17" s="9" t="s">
        <v>85</v>
      </c>
      <c r="AH17" s="9">
        <v>0.224286</v>
      </c>
      <c r="AI17" s="9" t="s">
        <v>85</v>
      </c>
      <c r="AJ17" s="9" t="s">
        <v>85</v>
      </c>
      <c r="AK17" s="9">
        <v>0.407679</v>
      </c>
      <c r="AL17" s="9" t="s">
        <v>85</v>
      </c>
      <c r="AM17" s="9" t="s">
        <v>85</v>
      </c>
      <c r="AN17" s="9">
        <v>0.2325</v>
      </c>
      <c r="AO17" s="9" t="s">
        <v>85</v>
      </c>
      <c r="AP17" s="9" t="s">
        <v>85</v>
      </c>
      <c r="AQ17" s="9">
        <v>0.560119</v>
      </c>
      <c r="AR17" s="9" t="s">
        <v>85</v>
      </c>
      <c r="AS17" s="9" t="s">
        <v>85</v>
      </c>
      <c r="AT17" s="9">
        <v>0.472381</v>
      </c>
      <c r="AU17" s="9" t="s">
        <v>85</v>
      </c>
      <c r="AV17" s="9" t="s">
        <v>85</v>
      </c>
      <c r="AW17" s="9">
        <v>0.593988</v>
      </c>
      <c r="AX17" s="9" t="s">
        <v>85</v>
      </c>
      <c r="AY17" s="9" t="s">
        <v>85</v>
      </c>
      <c r="AZ17" s="9">
        <v>0.354048</v>
      </c>
      <c r="BA17" s="9" t="s">
        <v>85</v>
      </c>
      <c r="BB17" s="9" t="s">
        <v>85</v>
      </c>
      <c r="BC17" s="9">
        <v>0.49875</v>
      </c>
      <c r="BD17" s="10" t="s">
        <v>85</v>
      </c>
      <c r="BE17" s="10" t="s">
        <v>85</v>
      </c>
      <c r="BF17" s="9">
        <v>0.254405</v>
      </c>
      <c r="BG17" s="10" t="s">
        <v>85</v>
      </c>
      <c r="BH17" s="10" t="s">
        <v>85</v>
      </c>
      <c r="BI17" s="9" t="s">
        <v>85</v>
      </c>
      <c r="BJ17" s="6"/>
      <c r="BK17" s="6" t="str">
        <f t="shared" si="2"/>
        <v>12V_One_Acc</v>
      </c>
      <c r="BL17" s="6" t="str">
        <f t="shared" si="3"/>
        <v>12Bo_One_Acc</v>
      </c>
      <c r="BM17" s="6" t="str">
        <f t="shared" si="4"/>
        <v>20Bo_One_Acc</v>
      </c>
      <c r="BN17" s="6"/>
      <c r="BO17" s="6">
        <f t="shared" ref="BO17:BQ17" si="22">IF(ISNUMBER(SEARCH("5",BK17)),5,IF(ISNUMBER(SEARCH("*8*",BK17)),8,IF(ISNUMBER(SEARCH("*10*",BK17)),10,IF(ISNUMBER(SEARCH("*12*",BK17)),12,IF(ISNUMBER(SEARCH("*20*",BK17)),20)))))</f>
        <v>12</v>
      </c>
      <c r="BP17" s="6">
        <f t="shared" si="22"/>
        <v>12</v>
      </c>
      <c r="BQ17" s="6">
        <f t="shared" si="22"/>
        <v>20</v>
      </c>
      <c r="BR17" s="6"/>
      <c r="BS17" s="6"/>
      <c r="BT17" s="6">
        <f>COUNTIF(BL3:BL100,"*5*")</f>
        <v>28</v>
      </c>
      <c r="BU17" s="6">
        <f>COUNTIF(BL3:BL100,"*8*")</f>
        <v>24</v>
      </c>
      <c r="BV17" s="6">
        <f>COUNTIF(BL3:BL100,"*10*")</f>
        <v>17</v>
      </c>
      <c r="BW17" s="6">
        <f>COUNTIF(BL3:BL100,"*12*")</f>
        <v>19</v>
      </c>
      <c r="BX17" s="6">
        <f>COUNTIF(BL3:BL100,"*20*")</f>
        <v>10</v>
      </c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</row>
    <row r="18" ht="15.75" customHeight="1">
      <c r="A18" s="1" t="s">
        <v>112</v>
      </c>
      <c r="B18" s="17">
        <v>345.0</v>
      </c>
      <c r="C18" s="17">
        <v>4.0</v>
      </c>
      <c r="D18" s="17" t="s">
        <v>300</v>
      </c>
      <c r="E18" s="9" t="s">
        <v>85</v>
      </c>
      <c r="F18" s="9" t="s">
        <v>85</v>
      </c>
      <c r="G18" s="9">
        <v>0.905229</v>
      </c>
      <c r="H18" s="9" t="s">
        <v>85</v>
      </c>
      <c r="I18" s="9" t="s">
        <v>85</v>
      </c>
      <c r="J18" s="9">
        <v>0.300654</v>
      </c>
      <c r="K18" s="9" t="s">
        <v>85</v>
      </c>
      <c r="L18" s="9" t="s">
        <v>85</v>
      </c>
      <c r="M18" s="9">
        <v>0.892157</v>
      </c>
      <c r="N18" s="9" t="s">
        <v>85</v>
      </c>
      <c r="O18" s="9" t="s">
        <v>85</v>
      </c>
      <c r="P18" s="9">
        <v>0.892157</v>
      </c>
      <c r="Q18" s="9" t="s">
        <v>85</v>
      </c>
      <c r="R18" s="9" t="s">
        <v>85</v>
      </c>
      <c r="S18" s="9">
        <v>0.892157</v>
      </c>
      <c r="T18" s="9" t="s">
        <v>85</v>
      </c>
      <c r="U18" s="9" t="s">
        <v>85</v>
      </c>
      <c r="V18" s="9">
        <v>0.905229</v>
      </c>
      <c r="W18" s="9" t="s">
        <v>85</v>
      </c>
      <c r="X18" s="9" t="s">
        <v>85</v>
      </c>
      <c r="Y18" s="9">
        <v>0.892157</v>
      </c>
      <c r="Z18" s="9" t="s">
        <v>85</v>
      </c>
      <c r="AA18" s="9" t="s">
        <v>85</v>
      </c>
      <c r="AB18" s="9">
        <v>0.892157</v>
      </c>
      <c r="AC18" s="10" t="s">
        <v>85</v>
      </c>
      <c r="AD18" s="10" t="s">
        <v>85</v>
      </c>
      <c r="AE18" s="9">
        <v>0.875817</v>
      </c>
      <c r="AF18" s="9" t="s">
        <v>85</v>
      </c>
      <c r="AG18" s="9" t="s">
        <v>85</v>
      </c>
      <c r="AH18" s="9">
        <v>0.885621</v>
      </c>
      <c r="AI18" s="9" t="s">
        <v>85</v>
      </c>
      <c r="AJ18" s="9" t="s">
        <v>85</v>
      </c>
      <c r="AK18" s="9">
        <v>0.915033</v>
      </c>
      <c r="AL18" s="9" t="s">
        <v>85</v>
      </c>
      <c r="AM18" s="9" t="s">
        <v>85</v>
      </c>
      <c r="AN18" s="9">
        <v>0.892157</v>
      </c>
      <c r="AO18" s="9" t="s">
        <v>85</v>
      </c>
      <c r="AP18" s="9" t="s">
        <v>85</v>
      </c>
      <c r="AQ18" s="9">
        <v>0.888889</v>
      </c>
      <c r="AR18" s="9" t="s">
        <v>85</v>
      </c>
      <c r="AS18" s="9" t="s">
        <v>85</v>
      </c>
      <c r="AT18" s="9">
        <v>0.901961</v>
      </c>
      <c r="AU18" s="9" t="s">
        <v>85</v>
      </c>
      <c r="AV18" s="9" t="s">
        <v>85</v>
      </c>
      <c r="AW18" s="9">
        <v>0.888889</v>
      </c>
      <c r="AX18" s="9" t="s">
        <v>85</v>
      </c>
      <c r="AY18" s="9" t="s">
        <v>85</v>
      </c>
      <c r="AZ18" s="9">
        <v>0.888889</v>
      </c>
      <c r="BA18" s="9" t="s">
        <v>85</v>
      </c>
      <c r="BB18" s="9" t="s">
        <v>85</v>
      </c>
      <c r="BC18" s="9">
        <v>0.898693</v>
      </c>
      <c r="BD18" s="10" t="s">
        <v>85</v>
      </c>
      <c r="BE18" s="10" t="s">
        <v>85</v>
      </c>
      <c r="BF18" s="9">
        <v>0.895425</v>
      </c>
      <c r="BG18" s="10" t="s">
        <v>85</v>
      </c>
      <c r="BH18" s="10" t="s">
        <v>85</v>
      </c>
      <c r="BI18" s="9" t="s">
        <v>85</v>
      </c>
      <c r="BJ18" s="6"/>
      <c r="BK18" s="6" t="str">
        <f t="shared" si="2"/>
        <v>10V_One_Acc</v>
      </c>
      <c r="BL18" s="6" t="str">
        <f t="shared" si="3"/>
        <v>5Bo_One_Acc</v>
      </c>
      <c r="BM18" s="6" t="str">
        <f t="shared" si="4"/>
        <v>5Bo_One_Acc</v>
      </c>
      <c r="BN18" s="6"/>
      <c r="BO18" s="6">
        <f t="shared" ref="BO18:BQ18" si="23">IF(ISNUMBER(SEARCH("5",BK18)),5,IF(ISNUMBER(SEARCH("*8*",BK18)),8,IF(ISNUMBER(SEARCH("*10*",BK18)),10,IF(ISNUMBER(SEARCH("*12*",BK18)),12,IF(ISNUMBER(SEARCH("*20*",BK18)),20)))))</f>
        <v>10</v>
      </c>
      <c r="BP18" s="6">
        <f t="shared" si="23"/>
        <v>5</v>
      </c>
      <c r="BQ18" s="6">
        <f t="shared" si="23"/>
        <v>5</v>
      </c>
      <c r="BR18" s="6"/>
      <c r="BS18" s="6" t="s">
        <v>226</v>
      </c>
      <c r="BT18" s="18">
        <f t="shared" ref="BT18:BX18" si="24">MINUS(BT17,SUM(BT19,BT20))</f>
        <v>14</v>
      </c>
      <c r="BU18" s="18">
        <f t="shared" si="24"/>
        <v>9</v>
      </c>
      <c r="BV18" s="18">
        <f t="shared" si="24"/>
        <v>7</v>
      </c>
      <c r="BW18" s="18">
        <f t="shared" si="24"/>
        <v>11</v>
      </c>
      <c r="BX18" s="18">
        <f t="shared" si="24"/>
        <v>5</v>
      </c>
      <c r="BY18" s="6">
        <f t="shared" ref="BY18:BY20" si="26">SUM(BT18:BX18)</f>
        <v>46</v>
      </c>
      <c r="BZ18" s="6"/>
      <c r="CA18" s="6"/>
      <c r="CB18" s="1" t="s">
        <v>213</v>
      </c>
      <c r="CC18" s="6" t="s">
        <v>308</v>
      </c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</row>
    <row r="19" ht="15.75" customHeight="1">
      <c r="A19" s="1" t="s">
        <v>113</v>
      </c>
      <c r="B19" s="17">
        <v>80.0</v>
      </c>
      <c r="C19" s="17">
        <v>3.0</v>
      </c>
      <c r="D19" s="17" t="s">
        <v>300</v>
      </c>
      <c r="E19" s="9" t="s">
        <v>85</v>
      </c>
      <c r="F19" s="9" t="s">
        <v>85</v>
      </c>
      <c r="G19" s="9">
        <v>0.625899</v>
      </c>
      <c r="H19" s="9" t="s">
        <v>85</v>
      </c>
      <c r="I19" s="9" t="s">
        <v>85</v>
      </c>
      <c r="J19" s="9">
        <v>0.467626</v>
      </c>
      <c r="K19" s="9" t="s">
        <v>85</v>
      </c>
      <c r="L19" s="9" t="s">
        <v>85</v>
      </c>
      <c r="M19" s="9">
        <v>0.733813</v>
      </c>
      <c r="N19" s="9" t="s">
        <v>85</v>
      </c>
      <c r="O19" s="9" t="s">
        <v>85</v>
      </c>
      <c r="P19" s="9">
        <v>0.654676</v>
      </c>
      <c r="Q19" s="9" t="s">
        <v>85</v>
      </c>
      <c r="R19" s="9" t="s">
        <v>85</v>
      </c>
      <c r="S19" s="9">
        <v>0.640288</v>
      </c>
      <c r="T19" s="9" t="s">
        <v>85</v>
      </c>
      <c r="U19" s="9" t="s">
        <v>85</v>
      </c>
      <c r="V19" s="9">
        <v>0.705036</v>
      </c>
      <c r="W19" s="9" t="s">
        <v>85</v>
      </c>
      <c r="X19" s="9" t="s">
        <v>85</v>
      </c>
      <c r="Y19" s="9">
        <v>0.726619</v>
      </c>
      <c r="Z19" s="9" t="s">
        <v>85</v>
      </c>
      <c r="AA19" s="9" t="s">
        <v>85</v>
      </c>
      <c r="AB19" s="9">
        <v>0.705036</v>
      </c>
      <c r="AC19" s="10" t="s">
        <v>85</v>
      </c>
      <c r="AD19" s="10" t="s">
        <v>85</v>
      </c>
      <c r="AE19" s="9">
        <v>0.676259</v>
      </c>
      <c r="AF19" s="9" t="s">
        <v>85</v>
      </c>
      <c r="AG19" s="9" t="s">
        <v>85</v>
      </c>
      <c r="AH19" s="9">
        <v>0.669065</v>
      </c>
      <c r="AI19" s="9" t="s">
        <v>85</v>
      </c>
      <c r="AJ19" s="9" t="s">
        <v>85</v>
      </c>
      <c r="AK19" s="9">
        <v>0.669065</v>
      </c>
      <c r="AL19" s="9" t="s">
        <v>85</v>
      </c>
      <c r="AM19" s="9" t="s">
        <v>85</v>
      </c>
      <c r="AN19" s="9">
        <v>0.719424</v>
      </c>
      <c r="AO19" s="9" t="s">
        <v>85</v>
      </c>
      <c r="AP19" s="9" t="s">
        <v>85</v>
      </c>
      <c r="AQ19" s="9">
        <v>0.690647</v>
      </c>
      <c r="AR19" s="9" t="s">
        <v>85</v>
      </c>
      <c r="AS19" s="9" t="s">
        <v>85</v>
      </c>
      <c r="AT19" s="9">
        <v>0.66187</v>
      </c>
      <c r="AU19" s="9" t="s">
        <v>85</v>
      </c>
      <c r="AV19" s="9" t="s">
        <v>85</v>
      </c>
      <c r="AW19" s="9">
        <v>0.733813</v>
      </c>
      <c r="AX19" s="9" t="s">
        <v>85</v>
      </c>
      <c r="AY19" s="9" t="s">
        <v>85</v>
      </c>
      <c r="AZ19" s="9">
        <v>0.748201</v>
      </c>
      <c r="BA19" s="9" t="s">
        <v>85</v>
      </c>
      <c r="BB19" s="9" t="s">
        <v>85</v>
      </c>
      <c r="BC19" s="9">
        <v>0.71223</v>
      </c>
      <c r="BD19" s="10" t="s">
        <v>85</v>
      </c>
      <c r="BE19" s="10" t="s">
        <v>85</v>
      </c>
      <c r="BF19" s="9">
        <v>0.654676</v>
      </c>
      <c r="BG19" s="10" t="s">
        <v>85</v>
      </c>
      <c r="BH19" s="10" t="s">
        <v>85</v>
      </c>
      <c r="BI19" s="9" t="s">
        <v>85</v>
      </c>
      <c r="BJ19" s="6"/>
      <c r="BK19" s="6" t="str">
        <f t="shared" si="2"/>
        <v>12VB_One_Acc</v>
      </c>
      <c r="BL19" s="6" t="str">
        <f t="shared" si="3"/>
        <v>5V_One_Acc</v>
      </c>
      <c r="BM19" s="6" t="str">
        <f t="shared" si="4"/>
        <v>5V_One_Acc</v>
      </c>
      <c r="BN19" s="6"/>
      <c r="BO19" s="6">
        <f t="shared" ref="BO19:BQ19" si="25">IF(ISNUMBER(SEARCH("5",BK19)),5,IF(ISNUMBER(SEARCH("*8*",BK19)),8,IF(ISNUMBER(SEARCH("*10*",BK19)),10,IF(ISNUMBER(SEARCH("*12*",BK19)),12,IF(ISNUMBER(SEARCH("*20*",BK19)),20)))))</f>
        <v>12</v>
      </c>
      <c r="BP19" s="6">
        <f t="shared" si="25"/>
        <v>5</v>
      </c>
      <c r="BQ19" s="6">
        <f t="shared" si="25"/>
        <v>5</v>
      </c>
      <c r="BR19" s="6"/>
      <c r="BS19" s="6" t="s">
        <v>227</v>
      </c>
      <c r="BT19" s="18">
        <f>COUNTIFS(BL3:BL100,"*V*",BL3:BL100,"*5*")</f>
        <v>14</v>
      </c>
      <c r="BU19" s="19">
        <f>COUNTIFS(BL3:BL100,"*V*",BL3:BL100,"*8*")</f>
        <v>15</v>
      </c>
      <c r="BV19" s="18">
        <f>COUNTIFS(BL3:BL100,"*V*",BL3:BL100,"*10*")</f>
        <v>10</v>
      </c>
      <c r="BW19" s="18">
        <f>COUNTIFS(BL3:BL100,"*V*",BL3:BL100,"*12*")</f>
        <v>8</v>
      </c>
      <c r="BX19" s="18">
        <f>COUNTIFS(BL3:BL100,"*V*",BL3:BL100,"*20*")</f>
        <v>5</v>
      </c>
      <c r="BY19" s="6">
        <f t="shared" si="26"/>
        <v>52</v>
      </c>
      <c r="BZ19" s="6"/>
      <c r="CA19" s="6"/>
      <c r="CC19" s="6" t="s">
        <v>299</v>
      </c>
      <c r="CD19" s="6" t="s">
        <v>307</v>
      </c>
      <c r="CE19" s="6" t="s">
        <v>309</v>
      </c>
      <c r="CF19" s="6" t="s">
        <v>310</v>
      </c>
      <c r="CG19" s="6" t="s">
        <v>300</v>
      </c>
      <c r="CH19" s="6" t="s">
        <v>311</v>
      </c>
      <c r="CI19" s="6" t="s">
        <v>305</v>
      </c>
      <c r="CJ19" s="6" t="s">
        <v>303</v>
      </c>
      <c r="CK19" s="6" t="s">
        <v>312</v>
      </c>
      <c r="CL19" s="6" t="s">
        <v>302</v>
      </c>
      <c r="CM19" s="6" t="s">
        <v>306</v>
      </c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</row>
    <row r="20" ht="15.75" customHeight="1">
      <c r="A20" s="1" t="s">
        <v>114</v>
      </c>
      <c r="B20" s="17">
        <v>80.0</v>
      </c>
      <c r="C20" s="17">
        <v>2.0</v>
      </c>
      <c r="D20" s="17" t="s">
        <v>300</v>
      </c>
      <c r="E20" s="9" t="s">
        <v>85</v>
      </c>
      <c r="F20" s="9" t="s">
        <v>85</v>
      </c>
      <c r="G20" s="9">
        <v>0.724638</v>
      </c>
      <c r="H20" s="9" t="s">
        <v>85</v>
      </c>
      <c r="I20" s="9" t="s">
        <v>85</v>
      </c>
      <c r="J20" s="9">
        <v>0.583333</v>
      </c>
      <c r="K20" s="9" t="s">
        <v>85</v>
      </c>
      <c r="L20" s="9" t="s">
        <v>85</v>
      </c>
      <c r="M20" s="9">
        <v>0.768116</v>
      </c>
      <c r="N20" s="9" t="s">
        <v>85</v>
      </c>
      <c r="O20" s="9" t="s">
        <v>85</v>
      </c>
      <c r="P20" s="9">
        <v>0.764493</v>
      </c>
      <c r="Q20" s="9" t="s">
        <v>85</v>
      </c>
      <c r="R20" s="9" t="s">
        <v>85</v>
      </c>
      <c r="S20" s="9">
        <v>0.713768</v>
      </c>
      <c r="T20" s="9" t="s">
        <v>85</v>
      </c>
      <c r="U20" s="9" t="s">
        <v>85</v>
      </c>
      <c r="V20" s="9">
        <v>0.695652</v>
      </c>
      <c r="W20" s="9" t="s">
        <v>85</v>
      </c>
      <c r="X20" s="9" t="s">
        <v>85</v>
      </c>
      <c r="Y20" s="9">
        <v>0.76087</v>
      </c>
      <c r="Z20" s="9" t="s">
        <v>85</v>
      </c>
      <c r="AA20" s="9" t="s">
        <v>85</v>
      </c>
      <c r="AB20" s="9">
        <v>0.757246</v>
      </c>
      <c r="AC20" s="10" t="s">
        <v>85</v>
      </c>
      <c r="AD20" s="10" t="s">
        <v>85</v>
      </c>
      <c r="AE20" s="9">
        <v>0.75</v>
      </c>
      <c r="AF20" s="9" t="s">
        <v>85</v>
      </c>
      <c r="AG20" s="9" t="s">
        <v>85</v>
      </c>
      <c r="AH20" s="9">
        <v>0.742754</v>
      </c>
      <c r="AI20" s="9" t="s">
        <v>85</v>
      </c>
      <c r="AJ20" s="9" t="s">
        <v>85</v>
      </c>
      <c r="AK20" s="9">
        <v>0.75</v>
      </c>
      <c r="AL20" s="9" t="s">
        <v>85</v>
      </c>
      <c r="AM20" s="9" t="s">
        <v>85</v>
      </c>
      <c r="AN20" s="9">
        <v>0.75</v>
      </c>
      <c r="AO20" s="9" t="s">
        <v>85</v>
      </c>
      <c r="AP20" s="9" t="s">
        <v>85</v>
      </c>
      <c r="AQ20" s="9">
        <v>0.764493</v>
      </c>
      <c r="AR20" s="9" t="s">
        <v>85</v>
      </c>
      <c r="AS20" s="9" t="s">
        <v>85</v>
      </c>
      <c r="AT20" s="9">
        <v>0.753623</v>
      </c>
      <c r="AU20" s="9" t="s">
        <v>85</v>
      </c>
      <c r="AV20" s="9" t="s">
        <v>85</v>
      </c>
      <c r="AW20" s="9">
        <v>0.771739</v>
      </c>
      <c r="AX20" s="9" t="s">
        <v>85</v>
      </c>
      <c r="AY20" s="9" t="s">
        <v>85</v>
      </c>
      <c r="AZ20" s="9">
        <v>0.753623</v>
      </c>
      <c r="BA20" s="9" t="s">
        <v>85</v>
      </c>
      <c r="BB20" s="9" t="s">
        <v>85</v>
      </c>
      <c r="BC20" s="9">
        <v>0.753623</v>
      </c>
      <c r="BD20" s="10" t="s">
        <v>85</v>
      </c>
      <c r="BE20" s="10" t="s">
        <v>85</v>
      </c>
      <c r="BF20" s="9">
        <v>0.735507</v>
      </c>
      <c r="BG20" s="10" t="s">
        <v>85</v>
      </c>
      <c r="BH20" s="10" t="s">
        <v>85</v>
      </c>
      <c r="BI20" s="9" t="s">
        <v>85</v>
      </c>
      <c r="BJ20" s="6"/>
      <c r="BK20" s="6" t="str">
        <f t="shared" si="2"/>
        <v>12V_One_Acc</v>
      </c>
      <c r="BL20" s="6" t="str">
        <f t="shared" si="3"/>
        <v>5V_One_Acc</v>
      </c>
      <c r="BM20" s="6" t="str">
        <f t="shared" si="4"/>
        <v>5VB_One_Acc</v>
      </c>
      <c r="BN20" s="6"/>
      <c r="BO20" s="6">
        <f t="shared" ref="BO20:BQ20" si="27">IF(ISNUMBER(SEARCH("5",BK20)),5,IF(ISNUMBER(SEARCH("*8*",BK20)),8,IF(ISNUMBER(SEARCH("*10*",BK20)),10,IF(ISNUMBER(SEARCH("*12*",BK20)),12,IF(ISNUMBER(SEARCH("*20*",BK20)),20)))))</f>
        <v>12</v>
      </c>
      <c r="BP20" s="6">
        <f t="shared" si="27"/>
        <v>5</v>
      </c>
      <c r="BQ20" s="6">
        <f t="shared" si="27"/>
        <v>5</v>
      </c>
      <c r="BR20" s="6"/>
      <c r="BS20" s="6" t="s">
        <v>20</v>
      </c>
      <c r="BT20" s="18">
        <f>COUNTIFS(BL3:BL100,"*De*",BL3:BL100,"*5*")</f>
        <v>0</v>
      </c>
      <c r="BU20" s="19">
        <f>COUNTIFS(BL3:BL100,"*De*",BL3:BL100,"*8*")</f>
        <v>0</v>
      </c>
      <c r="BV20" s="18">
        <f>COUNTIFS(BL3:BL100,"*De*",BL3:BL100,"*10*")</f>
        <v>0</v>
      </c>
      <c r="BW20" s="18">
        <f>COUNTIFS(BL3:BL100,"*De*",BL3:BL100,"*12*")</f>
        <v>0</v>
      </c>
      <c r="BX20" s="18">
        <f>COUNTIFS(BL3:BL100,"*De*",BL3:BL100,"*20*")</f>
        <v>0</v>
      </c>
      <c r="BY20" s="6">
        <f t="shared" si="26"/>
        <v>0</v>
      </c>
      <c r="BZ20" s="6"/>
      <c r="CA20" s="6"/>
      <c r="CB20" s="6"/>
      <c r="CC20" s="6">
        <f>COUNTIF($D$3:$D$100,"*DEVICE*")</f>
        <v>7</v>
      </c>
      <c r="CD20" s="6">
        <f>COUNTIF($D$3:$D$100,"*ECG*")</f>
        <v>5</v>
      </c>
      <c r="CE20" s="6">
        <f>COUNTIF($D$3:$D$100,"*EPG*")</f>
        <v>2</v>
      </c>
      <c r="CF20" s="6">
        <f>COUNTIF($D$3:$D$100,"*HEMODYNAMICS*")</f>
        <v>3</v>
      </c>
      <c r="CG20" s="6">
        <f>COUNTIF($D$3:$D$100,"*IMAGE*")</f>
        <v>31</v>
      </c>
      <c r="CH20" s="6">
        <f>COUNTIF($D$3:$D$100,"*MOTION*")</f>
        <v>11</v>
      </c>
      <c r="CI20" s="6">
        <f>COUNTIF($D$3:$D$100,"*SENSOR*")</f>
        <v>16</v>
      </c>
      <c r="CJ20" s="6">
        <f>COUNTIF($D$3:$D$100,"*SIMULATED*")</f>
        <v>9</v>
      </c>
      <c r="CK20" s="6">
        <f>COUNTIF($D$3:$D$100,"*SOUND*")</f>
        <v>1</v>
      </c>
      <c r="CL20" s="6">
        <f>COUNTIF($D$3:$D$100,"*SPECTRO*")</f>
        <v>12</v>
      </c>
      <c r="CM20" s="6">
        <f>COUNTIF($D$3:$D$100,"*Traffic*")</f>
        <v>1</v>
      </c>
      <c r="CN20" s="6"/>
      <c r="CO20" s="6" t="s">
        <v>313</v>
      </c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</row>
    <row r="21" ht="15.75" customHeight="1">
      <c r="A21" s="1" t="s">
        <v>115</v>
      </c>
      <c r="B21" s="17">
        <v>80.0</v>
      </c>
      <c r="C21" s="17">
        <v>6.0</v>
      </c>
      <c r="D21" s="17" t="s">
        <v>300</v>
      </c>
      <c r="E21" s="9" t="s">
        <v>85</v>
      </c>
      <c r="F21" s="9" t="s">
        <v>85</v>
      </c>
      <c r="G21" s="9">
        <v>0.582734</v>
      </c>
      <c r="H21" s="9" t="s">
        <v>85</v>
      </c>
      <c r="I21" s="9" t="s">
        <v>85</v>
      </c>
      <c r="J21" s="9">
        <v>0.302158</v>
      </c>
      <c r="K21" s="9" t="s">
        <v>85</v>
      </c>
      <c r="L21" s="9" t="s">
        <v>85</v>
      </c>
      <c r="M21" s="9">
        <v>0.669065</v>
      </c>
      <c r="N21" s="9" t="s">
        <v>85</v>
      </c>
      <c r="O21" s="9" t="s">
        <v>85</v>
      </c>
      <c r="P21" s="9">
        <v>0.676259</v>
      </c>
      <c r="Q21" s="9" t="s">
        <v>85</v>
      </c>
      <c r="R21" s="9" t="s">
        <v>85</v>
      </c>
      <c r="S21" s="9">
        <v>0.640288</v>
      </c>
      <c r="T21" s="9" t="s">
        <v>85</v>
      </c>
      <c r="U21" s="9" t="s">
        <v>85</v>
      </c>
      <c r="V21" s="9">
        <v>0.597122</v>
      </c>
      <c r="W21" s="9" t="s">
        <v>85</v>
      </c>
      <c r="X21" s="9" t="s">
        <v>85</v>
      </c>
      <c r="Y21" s="9">
        <v>0.669065</v>
      </c>
      <c r="Z21" s="9" t="s">
        <v>85</v>
      </c>
      <c r="AA21" s="9" t="s">
        <v>85</v>
      </c>
      <c r="AB21" s="9">
        <v>0.669065</v>
      </c>
      <c r="AC21" s="10" t="s">
        <v>85</v>
      </c>
      <c r="AD21" s="10" t="s">
        <v>85</v>
      </c>
      <c r="AE21" s="9">
        <v>0.654676</v>
      </c>
      <c r="AF21" s="9" t="s">
        <v>85</v>
      </c>
      <c r="AG21" s="9" t="s">
        <v>85</v>
      </c>
      <c r="AH21" s="9">
        <v>0.633094</v>
      </c>
      <c r="AI21" s="9" t="s">
        <v>85</v>
      </c>
      <c r="AJ21" s="9" t="s">
        <v>85</v>
      </c>
      <c r="AK21" s="9">
        <v>0.654676</v>
      </c>
      <c r="AL21" s="9" t="s">
        <v>85</v>
      </c>
      <c r="AM21" s="9" t="s">
        <v>85</v>
      </c>
      <c r="AN21" s="9">
        <v>0.582734</v>
      </c>
      <c r="AO21" s="9" t="s">
        <v>85</v>
      </c>
      <c r="AP21" s="9" t="s">
        <v>85</v>
      </c>
      <c r="AQ21" s="9">
        <v>0.690647</v>
      </c>
      <c r="AR21" s="9" t="s">
        <v>85</v>
      </c>
      <c r="AS21" s="9" t="s">
        <v>85</v>
      </c>
      <c r="AT21" s="9">
        <v>0.654676</v>
      </c>
      <c r="AU21" s="9" t="s">
        <v>85</v>
      </c>
      <c r="AV21" s="9" t="s">
        <v>85</v>
      </c>
      <c r="AW21" s="9">
        <v>0.676259</v>
      </c>
      <c r="AX21" s="9" t="s">
        <v>85</v>
      </c>
      <c r="AY21" s="9" t="s">
        <v>85</v>
      </c>
      <c r="AZ21" s="9">
        <v>0.654676</v>
      </c>
      <c r="BA21" s="9" t="s">
        <v>85</v>
      </c>
      <c r="BB21" s="9" t="s">
        <v>85</v>
      </c>
      <c r="BC21" s="9">
        <v>0.625899</v>
      </c>
      <c r="BD21" s="10" t="s">
        <v>85</v>
      </c>
      <c r="BE21" s="10" t="s">
        <v>85</v>
      </c>
      <c r="BF21" s="9">
        <v>0.625899</v>
      </c>
      <c r="BG21" s="10" t="s">
        <v>85</v>
      </c>
      <c r="BH21" s="10" t="s">
        <v>85</v>
      </c>
      <c r="BI21" s="9" t="s">
        <v>85</v>
      </c>
      <c r="BJ21" s="6"/>
      <c r="BK21" s="6" t="str">
        <f t="shared" si="2"/>
        <v>12Bo_One_Acc</v>
      </c>
      <c r="BL21" s="6" t="str">
        <f t="shared" si="3"/>
        <v>5VB_One_Acc</v>
      </c>
      <c r="BM21" s="6" t="str">
        <f t="shared" si="4"/>
        <v>5VB_One_Acc</v>
      </c>
      <c r="BN21" s="6"/>
      <c r="BO21" s="6">
        <f t="shared" ref="BO21:BQ21" si="28">IF(ISNUMBER(SEARCH("5",BK21)),5,IF(ISNUMBER(SEARCH("*8*",BK21)),8,IF(ISNUMBER(SEARCH("*10*",BK21)),10,IF(ISNUMBER(SEARCH("*12*",BK21)),12,IF(ISNUMBER(SEARCH("*20*",BK21)),20)))))</f>
        <v>12</v>
      </c>
      <c r="BP21" s="6">
        <f t="shared" si="28"/>
        <v>5</v>
      </c>
      <c r="BQ21" s="6">
        <f t="shared" si="28"/>
        <v>5</v>
      </c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 t="s">
        <v>226</v>
      </c>
      <c r="CC21" s="18">
        <f>COUNTIFS($D$3:$D$100,"*DEVICE*",$BK$3:$BK$100,"*Bo*")</f>
        <v>6</v>
      </c>
      <c r="CD21" s="18">
        <f>COUNTIFS($D$3:$D$100,"*ECG*",$BK$3:$BK$100,"*Bo*")</f>
        <v>1</v>
      </c>
      <c r="CE21" s="18">
        <f>COUNTIFS($D$3:$D$100,"*EPG*",$BK$3:$BK$100,"*Bo*")</f>
        <v>1</v>
      </c>
      <c r="CF21" s="18">
        <f>COUNTIFS($D$3:$D$100,"*HEMODYNAMICS*",$BK$3:$BK$100,"*Bo*")</f>
        <v>2</v>
      </c>
      <c r="CG21" s="18">
        <f>COUNTIFS($D$3:$D$100,"*IMAGE*",$BK$3:$BK$100,"*Bo*")</f>
        <v>9</v>
      </c>
      <c r="CH21" s="18">
        <f>COUNTIFS($D$3:$D$100,"*MOTION*",$BK$3:$BK$100,"*Bo*")</f>
        <v>7</v>
      </c>
      <c r="CI21" s="18">
        <f>COUNTIFS($D$3:$D$100,"*SENSOR*",$BK$3:$BK$100,"*Bo*")</f>
        <v>8</v>
      </c>
      <c r="CJ21" s="18">
        <f>COUNTIFS($D$3:$D$100,"*SIMULATED*",$BK$3:$BK$100,"*Bo*")</f>
        <v>2</v>
      </c>
      <c r="CK21" s="18">
        <f>COUNTIFS($D$3:$D$100,"*SOUND*",$BK$3:$BK$100,"*Bo*")</f>
        <v>0</v>
      </c>
      <c r="CL21" s="18">
        <f>COUNTIFS($D$3:$D$100,"*SPECTRO*",$BK$3:$BK$100,"*Bo*")</f>
        <v>3</v>
      </c>
      <c r="CM21" s="18">
        <f>COUNTIFS($D$3:$D$100,"*Traffic*",$BK$3:$BK$100,"*Bo*")</f>
        <v>1</v>
      </c>
      <c r="CN21" s="6"/>
      <c r="CO21" s="6" t="s">
        <v>314</v>
      </c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</row>
    <row r="22" ht="15.75" customHeight="1">
      <c r="A22" s="1" t="s">
        <v>116</v>
      </c>
      <c r="B22" s="17">
        <v>512.0</v>
      </c>
      <c r="C22" s="17">
        <v>2.0</v>
      </c>
      <c r="D22" s="17" t="s">
        <v>305</v>
      </c>
      <c r="E22" s="9" t="s">
        <v>85</v>
      </c>
      <c r="F22" s="9" t="s">
        <v>85</v>
      </c>
      <c r="G22" s="9">
        <v>0.741007</v>
      </c>
      <c r="H22" s="9" t="s">
        <v>85</v>
      </c>
      <c r="I22" s="9" t="s">
        <v>85</v>
      </c>
      <c r="J22" s="9">
        <v>0.748201</v>
      </c>
      <c r="K22" s="9" t="s">
        <v>85</v>
      </c>
      <c r="L22" s="9" t="s">
        <v>85</v>
      </c>
      <c r="M22" s="9">
        <v>0.748201</v>
      </c>
      <c r="N22" s="9" t="s">
        <v>85</v>
      </c>
      <c r="O22" s="9" t="s">
        <v>85</v>
      </c>
      <c r="P22" s="9">
        <v>0.748201</v>
      </c>
      <c r="Q22" s="9" t="s">
        <v>85</v>
      </c>
      <c r="R22" s="9" t="s">
        <v>85</v>
      </c>
      <c r="S22" s="9">
        <v>0.748201</v>
      </c>
      <c r="T22" s="9" t="s">
        <v>85</v>
      </c>
      <c r="U22" s="9" t="s">
        <v>85</v>
      </c>
      <c r="V22" s="9">
        <v>0.748201</v>
      </c>
      <c r="W22" s="9" t="s">
        <v>85</v>
      </c>
      <c r="X22" s="9" t="s">
        <v>85</v>
      </c>
      <c r="Y22" s="9">
        <v>0.748201</v>
      </c>
      <c r="Z22" s="9" t="s">
        <v>85</v>
      </c>
      <c r="AA22" s="9" t="s">
        <v>85</v>
      </c>
      <c r="AB22" s="9">
        <v>0.748201</v>
      </c>
      <c r="AC22" s="10" t="s">
        <v>85</v>
      </c>
      <c r="AD22" s="10" t="s">
        <v>85</v>
      </c>
      <c r="AE22" s="9">
        <v>0.741007</v>
      </c>
      <c r="AF22" s="9" t="s">
        <v>85</v>
      </c>
      <c r="AG22" s="9" t="s">
        <v>85</v>
      </c>
      <c r="AH22" s="9">
        <v>0.748201</v>
      </c>
      <c r="AI22" s="9" t="s">
        <v>85</v>
      </c>
      <c r="AJ22" s="9" t="s">
        <v>85</v>
      </c>
      <c r="AK22" s="9">
        <v>0.748201</v>
      </c>
      <c r="AL22" s="9" t="s">
        <v>85</v>
      </c>
      <c r="AM22" s="9" t="s">
        <v>85</v>
      </c>
      <c r="AN22" s="9">
        <v>0.748201</v>
      </c>
      <c r="AO22" s="9" t="s">
        <v>85</v>
      </c>
      <c r="AP22" s="9" t="s">
        <v>85</v>
      </c>
      <c r="AQ22" s="9">
        <v>0.705036</v>
      </c>
      <c r="AR22" s="9" t="s">
        <v>85</v>
      </c>
      <c r="AS22" s="9" t="s">
        <v>85</v>
      </c>
      <c r="AT22" s="9">
        <v>0.748201</v>
      </c>
      <c r="AU22" s="9" t="s">
        <v>85</v>
      </c>
      <c r="AV22" s="9" t="s">
        <v>85</v>
      </c>
      <c r="AW22" s="9">
        <v>0.748201</v>
      </c>
      <c r="AX22" s="9" t="s">
        <v>85</v>
      </c>
      <c r="AY22" s="9" t="s">
        <v>85</v>
      </c>
      <c r="AZ22" s="9">
        <v>0.748201</v>
      </c>
      <c r="BA22" s="9" t="s">
        <v>85</v>
      </c>
      <c r="BB22" s="9" t="s">
        <v>85</v>
      </c>
      <c r="BC22" s="9">
        <v>0.748201</v>
      </c>
      <c r="BD22" s="10" t="s">
        <v>85</v>
      </c>
      <c r="BE22" s="10" t="s">
        <v>85</v>
      </c>
      <c r="BF22" s="9">
        <v>0.748201</v>
      </c>
      <c r="BG22" s="10" t="s">
        <v>85</v>
      </c>
      <c r="BH22" s="10" t="s">
        <v>85</v>
      </c>
      <c r="BI22" s="9" t="s">
        <v>85</v>
      </c>
      <c r="BJ22" s="6"/>
      <c r="BK22" s="6" t="str">
        <f t="shared" si="2"/>
        <v>5BoN_One_Acc</v>
      </c>
      <c r="BL22" s="6" t="str">
        <f t="shared" si="3"/>
        <v>5BoN_One_Acc</v>
      </c>
      <c r="BM22" s="6" t="str">
        <f t="shared" si="4"/>
        <v>5BoN_One_Acc</v>
      </c>
      <c r="BN22" s="6"/>
      <c r="BO22" s="6">
        <f t="shared" ref="BO22:BQ22" si="29">IF(ISNUMBER(SEARCH("5",BK22)),5,IF(ISNUMBER(SEARCH("*8*",BK22)),8,IF(ISNUMBER(SEARCH("*10*",BK22)),10,IF(ISNUMBER(SEARCH("*12*",BK22)),12,IF(ISNUMBER(SEARCH("*20*",BK22)),20)))))</f>
        <v>5</v>
      </c>
      <c r="BP22" s="6">
        <f t="shared" si="29"/>
        <v>5</v>
      </c>
      <c r="BQ22" s="6">
        <f t="shared" si="29"/>
        <v>5</v>
      </c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 t="s">
        <v>227</v>
      </c>
      <c r="CC22" s="18">
        <f>COUNTIFS($D$3:$D$100,"*DEVICE*",$BK$3:$BK$100,"*V*")</f>
        <v>1</v>
      </c>
      <c r="CD22" s="18">
        <f>COUNTIFS($D$3:$D$100,"*ECG*",$BK$3:$BK$100,"*V*")</f>
        <v>4</v>
      </c>
      <c r="CE22" s="18">
        <f>COUNTIFS($D$3:$D$100,"*EPG*",$BK$3:$BK$100,"*V*")</f>
        <v>1</v>
      </c>
      <c r="CF22" s="18">
        <f>COUNTIFS($D$3:$D$100,"*HEMODYNAMICS*",$BK$3:$BK$100,"*V*")</f>
        <v>1</v>
      </c>
      <c r="CG22" s="18">
        <f>COUNTIFS($D$3:$D$100,"*IMAGE*",$BK$3:$BK$100,"*V*")</f>
        <v>22</v>
      </c>
      <c r="CH22" s="18">
        <f>COUNTIFS($D$3:$D$100,"*MOTION*",$BK$3:$BK$100,"*V*")</f>
        <v>4</v>
      </c>
      <c r="CI22" s="18">
        <f>COUNTIFS($D$3:$D$100,"*SENSOR*",$BK$3:$BK$100,"*V*")</f>
        <v>8</v>
      </c>
      <c r="CJ22" s="18">
        <f>COUNTIFS($D$3:$D$100,"*SIMULATED*",$BK$3:$BK$100,"*V*")</f>
        <v>7</v>
      </c>
      <c r="CK22" s="18">
        <f>COUNTIFS($D$3:$D$100,"*SOUND*",$BK$3:$BK$100,"*V*")</f>
        <v>1</v>
      </c>
      <c r="CL22" s="18">
        <f>COUNTIFS($D$3:$D$100,"*SPECTRO*",$BK$3:$BK$100,"*V*")</f>
        <v>9</v>
      </c>
      <c r="CM22" s="18">
        <f>COUNTIFS($D$3:$D$100,"*Traffic*",$BK$3:$BK$100,"*V*")</f>
        <v>0</v>
      </c>
      <c r="CN22" s="6"/>
      <c r="CO22" s="6" t="s">
        <v>315</v>
      </c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</row>
    <row r="23" ht="15.75" customHeight="1">
      <c r="A23" s="1" t="s">
        <v>117</v>
      </c>
      <c r="B23" s="17">
        <v>96.0</v>
      </c>
      <c r="C23" s="17">
        <v>2.0</v>
      </c>
      <c r="D23" s="17" t="s">
        <v>307</v>
      </c>
      <c r="E23" s="9" t="s">
        <v>85</v>
      </c>
      <c r="F23" s="9" t="s">
        <v>85</v>
      </c>
      <c r="G23" s="9">
        <v>0.64</v>
      </c>
      <c r="H23" s="9" t="s">
        <v>85</v>
      </c>
      <c r="I23" s="9" t="s">
        <v>85</v>
      </c>
      <c r="J23" s="9">
        <v>0.64</v>
      </c>
      <c r="K23" s="9" t="s">
        <v>85</v>
      </c>
      <c r="L23" s="9" t="s">
        <v>85</v>
      </c>
      <c r="M23" s="9">
        <v>0.64</v>
      </c>
      <c r="N23" s="9" t="s">
        <v>85</v>
      </c>
      <c r="O23" s="9" t="s">
        <v>85</v>
      </c>
      <c r="P23" s="9">
        <v>0.64</v>
      </c>
      <c r="Q23" s="9" t="s">
        <v>85</v>
      </c>
      <c r="R23" s="9" t="s">
        <v>85</v>
      </c>
      <c r="S23" s="9">
        <v>0.64</v>
      </c>
      <c r="T23" s="9" t="s">
        <v>85</v>
      </c>
      <c r="U23" s="9" t="s">
        <v>85</v>
      </c>
      <c r="V23" s="9">
        <v>0.64</v>
      </c>
      <c r="W23" s="9" t="s">
        <v>85</v>
      </c>
      <c r="X23" s="9" t="s">
        <v>85</v>
      </c>
      <c r="Y23" s="9">
        <v>0.64</v>
      </c>
      <c r="Z23" s="9" t="s">
        <v>85</v>
      </c>
      <c r="AA23" s="9" t="s">
        <v>85</v>
      </c>
      <c r="AB23" s="9">
        <v>0.64</v>
      </c>
      <c r="AC23" s="10" t="s">
        <v>85</v>
      </c>
      <c r="AD23" s="10" t="s">
        <v>85</v>
      </c>
      <c r="AE23" s="9">
        <v>0.64</v>
      </c>
      <c r="AF23" s="9" t="s">
        <v>85</v>
      </c>
      <c r="AG23" s="9" t="s">
        <v>85</v>
      </c>
      <c r="AH23" s="9">
        <v>0.64</v>
      </c>
      <c r="AI23" s="9" t="s">
        <v>85</v>
      </c>
      <c r="AJ23" s="9" t="s">
        <v>85</v>
      </c>
      <c r="AK23" s="9">
        <v>0.64</v>
      </c>
      <c r="AL23" s="9" t="s">
        <v>85</v>
      </c>
      <c r="AM23" s="9" t="s">
        <v>85</v>
      </c>
      <c r="AN23" s="9">
        <v>0.64</v>
      </c>
      <c r="AO23" s="9" t="s">
        <v>85</v>
      </c>
      <c r="AP23" s="9" t="s">
        <v>85</v>
      </c>
      <c r="AQ23" s="9">
        <v>0.64</v>
      </c>
      <c r="AR23" s="9" t="s">
        <v>85</v>
      </c>
      <c r="AS23" s="9" t="s">
        <v>85</v>
      </c>
      <c r="AT23" s="9">
        <v>0.64</v>
      </c>
      <c r="AU23" s="9" t="s">
        <v>85</v>
      </c>
      <c r="AV23" s="9" t="s">
        <v>85</v>
      </c>
      <c r="AW23" s="9">
        <v>0.64</v>
      </c>
      <c r="AX23" s="9" t="s">
        <v>85</v>
      </c>
      <c r="AY23" s="9" t="s">
        <v>85</v>
      </c>
      <c r="AZ23" s="9">
        <v>0.64</v>
      </c>
      <c r="BA23" s="9" t="s">
        <v>85</v>
      </c>
      <c r="BB23" s="9" t="s">
        <v>85</v>
      </c>
      <c r="BC23" s="9">
        <v>0.64</v>
      </c>
      <c r="BD23" s="10" t="s">
        <v>85</v>
      </c>
      <c r="BE23" s="10" t="s">
        <v>85</v>
      </c>
      <c r="BF23" s="9">
        <v>0.64</v>
      </c>
      <c r="BG23" s="10" t="s">
        <v>85</v>
      </c>
      <c r="BH23" s="10" t="s">
        <v>85</v>
      </c>
      <c r="BI23" s="9" t="s">
        <v>85</v>
      </c>
      <c r="BJ23" s="6"/>
      <c r="BK23" s="6" t="str">
        <f t="shared" si="2"/>
        <v>5Bo_One_Acc</v>
      </c>
      <c r="BL23" s="6" t="str">
        <f t="shared" si="3"/>
        <v>5Bo_One_Acc</v>
      </c>
      <c r="BM23" s="6" t="str">
        <f t="shared" si="4"/>
        <v>5Bo_One_Acc</v>
      </c>
      <c r="BN23" s="6"/>
      <c r="BO23" s="6">
        <f t="shared" ref="BO23:BQ23" si="30">IF(ISNUMBER(SEARCH("5",BK23)),5,IF(ISNUMBER(SEARCH("*8*",BK23)),8,IF(ISNUMBER(SEARCH("*10*",BK23)),10,IF(ISNUMBER(SEARCH("*12*",BK23)),12,IF(ISNUMBER(SEARCH("*20*",BK23)),20)))))</f>
        <v>5</v>
      </c>
      <c r="BP23" s="6">
        <f t="shared" si="30"/>
        <v>5</v>
      </c>
      <c r="BQ23" s="6">
        <f t="shared" si="30"/>
        <v>5</v>
      </c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 t="s">
        <v>20</v>
      </c>
      <c r="CC23" s="18">
        <f>COUNTIFS($D$3:$D$100,"*DEVICE*",$BK$3:$BK$100,"*De*")</f>
        <v>0</v>
      </c>
      <c r="CD23" s="18">
        <f>COUNTIFS($D$3:$D$100,"*ECG*",$BK$3:$BK$100,"*De*")</f>
        <v>0</v>
      </c>
      <c r="CE23" s="18">
        <f>COUNTIFS($D$3:$D$100,"*EPG*",$BK$3:$BK$100,"*De*")</f>
        <v>0</v>
      </c>
      <c r="CF23" s="18">
        <f>COUNTIFS($D$3:$D$100,"*HEMODYNAMICS*",$BK$3:$BK$100,"*De*")</f>
        <v>0</v>
      </c>
      <c r="CG23" s="18">
        <f>COUNTIFS($D$3:$D$100,"*IMAGE*",$BK$3:$BK$100,"*De*")</f>
        <v>0</v>
      </c>
      <c r="CH23" s="18">
        <f>COUNTIFS($D$3:$D$100,"*MOTION*",$BK$3:$BK$100,"*De*")</f>
        <v>0</v>
      </c>
      <c r="CI23" s="18">
        <f>COUNTIFS($D$3:$D$100,"*SENSOR*",$BK$3:$BK$100,"*De*")</f>
        <v>0</v>
      </c>
      <c r="CJ23" s="18">
        <f>COUNTIFS($D$3:$D$100,"*SIMULATED*",$BK$3:$BK$100,"*De*")</f>
        <v>0</v>
      </c>
      <c r="CK23" s="18">
        <f>COUNTIFS($D$3:$D$100,"*SOUND*",$BK$3:$BK$100,"*De*")</f>
        <v>0</v>
      </c>
      <c r="CL23" s="18">
        <f>COUNTIFS($D$3:$D$100,"*SPECTRO*",$BK$3:$BK$100,"*De*")</f>
        <v>0</v>
      </c>
      <c r="CM23" s="18">
        <f>COUNTIFS($D$3:$D$100,"*Traffic*",$BK$3:$BK$100,"*De*")</f>
        <v>0</v>
      </c>
      <c r="CN23" s="6"/>
      <c r="CO23" s="6" t="s">
        <v>316</v>
      </c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</row>
    <row r="24" ht="15.75" customHeight="1">
      <c r="A24" s="1" t="s">
        <v>118</v>
      </c>
      <c r="B24" s="17">
        <v>140.0</v>
      </c>
      <c r="C24" s="17">
        <v>5.0</v>
      </c>
      <c r="D24" s="17" t="s">
        <v>307</v>
      </c>
      <c r="E24" s="9" t="s">
        <v>85</v>
      </c>
      <c r="F24" s="9" t="s">
        <v>85</v>
      </c>
      <c r="G24" s="9">
        <v>0.922444</v>
      </c>
      <c r="H24" s="9" t="s">
        <v>85</v>
      </c>
      <c r="I24" s="9" t="s">
        <v>85</v>
      </c>
      <c r="J24" s="9">
        <v>0.583778</v>
      </c>
      <c r="K24" s="9" t="s">
        <v>85</v>
      </c>
      <c r="L24" s="9" t="s">
        <v>85</v>
      </c>
      <c r="M24" s="9">
        <v>0.918444</v>
      </c>
      <c r="N24" s="9" t="s">
        <v>85</v>
      </c>
      <c r="O24" s="9" t="s">
        <v>85</v>
      </c>
      <c r="P24" s="9">
        <v>0.919556</v>
      </c>
      <c r="Q24" s="9" t="s">
        <v>85</v>
      </c>
      <c r="R24" s="9" t="s">
        <v>85</v>
      </c>
      <c r="S24" s="9">
        <v>0.922</v>
      </c>
      <c r="T24" s="9" t="s">
        <v>85</v>
      </c>
      <c r="U24" s="9" t="s">
        <v>85</v>
      </c>
      <c r="V24" s="9">
        <v>0.922</v>
      </c>
      <c r="W24" s="9" t="s">
        <v>85</v>
      </c>
      <c r="X24" s="9" t="s">
        <v>85</v>
      </c>
      <c r="Y24" s="9">
        <v>0.921778</v>
      </c>
      <c r="Z24" s="9" t="s">
        <v>85</v>
      </c>
      <c r="AA24" s="9" t="s">
        <v>85</v>
      </c>
      <c r="AB24" s="9">
        <v>0.925778</v>
      </c>
      <c r="AC24" s="10" t="s">
        <v>85</v>
      </c>
      <c r="AD24" s="10" t="s">
        <v>85</v>
      </c>
      <c r="AE24" s="9">
        <v>0.928444</v>
      </c>
      <c r="AF24" s="9" t="s">
        <v>85</v>
      </c>
      <c r="AG24" s="9" t="s">
        <v>85</v>
      </c>
      <c r="AH24" s="9">
        <v>0.924889</v>
      </c>
      <c r="AI24" s="9" t="s">
        <v>85</v>
      </c>
      <c r="AJ24" s="9" t="s">
        <v>85</v>
      </c>
      <c r="AK24" s="9">
        <v>0.924</v>
      </c>
      <c r="AL24" s="9" t="s">
        <v>85</v>
      </c>
      <c r="AM24" s="9" t="s">
        <v>85</v>
      </c>
      <c r="AN24" s="9">
        <v>0.924222</v>
      </c>
      <c r="AO24" s="9" t="s">
        <v>85</v>
      </c>
      <c r="AP24" s="9" t="s">
        <v>85</v>
      </c>
      <c r="AQ24" s="9">
        <v>0.928222</v>
      </c>
      <c r="AR24" s="9" t="s">
        <v>85</v>
      </c>
      <c r="AS24" s="9" t="s">
        <v>85</v>
      </c>
      <c r="AT24" s="9">
        <v>0.925333</v>
      </c>
      <c r="AU24" s="9" t="s">
        <v>85</v>
      </c>
      <c r="AV24" s="9" t="s">
        <v>85</v>
      </c>
      <c r="AW24" s="9">
        <v>0.924667</v>
      </c>
      <c r="AX24" s="9" t="s">
        <v>85</v>
      </c>
      <c r="AY24" s="9" t="s">
        <v>85</v>
      </c>
      <c r="AZ24" s="9">
        <v>0.931111</v>
      </c>
      <c r="BA24" s="9" t="s">
        <v>85</v>
      </c>
      <c r="BB24" s="9" t="s">
        <v>85</v>
      </c>
      <c r="BC24" s="9">
        <v>0.921556</v>
      </c>
      <c r="BD24" s="10" t="s">
        <v>85</v>
      </c>
      <c r="BE24" s="10" t="s">
        <v>85</v>
      </c>
      <c r="BF24" s="9">
        <v>0.926667</v>
      </c>
      <c r="BG24" s="10" t="s">
        <v>85</v>
      </c>
      <c r="BH24" s="10" t="s">
        <v>85</v>
      </c>
      <c r="BI24" s="9" t="s">
        <v>85</v>
      </c>
      <c r="BJ24" s="6"/>
      <c r="BK24" s="6" t="str">
        <f t="shared" si="2"/>
        <v>12VB_One_Acc</v>
      </c>
      <c r="BL24" s="6" t="str">
        <f t="shared" si="3"/>
        <v>10Bo_One_Acc</v>
      </c>
      <c r="BM24" s="6" t="str">
        <f t="shared" si="4"/>
        <v>12Bo_One_Acc</v>
      </c>
      <c r="BN24" s="6"/>
      <c r="BO24" s="6">
        <f t="shared" ref="BO24:BQ24" si="31">IF(ISNUMBER(SEARCH("5",BK24)),5,IF(ISNUMBER(SEARCH("*8*",BK24)),8,IF(ISNUMBER(SEARCH("*10*",BK24)),10,IF(ISNUMBER(SEARCH("*12*",BK24)),12,IF(ISNUMBER(SEARCH("*20*",BK24)),20)))))</f>
        <v>12</v>
      </c>
      <c r="BP24" s="6">
        <f t="shared" si="31"/>
        <v>10</v>
      </c>
      <c r="BQ24" s="6">
        <f t="shared" si="31"/>
        <v>12</v>
      </c>
      <c r="BR24" s="6"/>
      <c r="BS24" s="1" t="s">
        <v>215</v>
      </c>
      <c r="BT24" s="6" t="s">
        <v>249</v>
      </c>
      <c r="BU24" s="6"/>
      <c r="BV24" s="6"/>
      <c r="BW24" s="6"/>
      <c r="BX24" s="6"/>
      <c r="BY24" s="6"/>
      <c r="BZ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 t="s">
        <v>317</v>
      </c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</row>
    <row r="25" ht="15.75" customHeight="1">
      <c r="A25" s="1" t="s">
        <v>119</v>
      </c>
      <c r="B25" s="17">
        <v>136.0</v>
      </c>
      <c r="C25" s="17">
        <v>2.0</v>
      </c>
      <c r="D25" s="17" t="s">
        <v>307</v>
      </c>
      <c r="E25" s="9" t="s">
        <v>85</v>
      </c>
      <c r="F25" s="9" t="s">
        <v>85</v>
      </c>
      <c r="G25" s="9">
        <v>0.796748</v>
      </c>
      <c r="H25" s="9" t="s">
        <v>85</v>
      </c>
      <c r="I25" s="9" t="s">
        <v>85</v>
      </c>
      <c r="J25" s="9">
        <v>0.497096</v>
      </c>
      <c r="K25" s="9" t="s">
        <v>85</v>
      </c>
      <c r="L25" s="9" t="s">
        <v>85</v>
      </c>
      <c r="M25" s="9">
        <v>0.885017</v>
      </c>
      <c r="N25" s="9" t="s">
        <v>85</v>
      </c>
      <c r="O25" s="9" t="s">
        <v>85</v>
      </c>
      <c r="P25" s="9">
        <v>0.912892</v>
      </c>
      <c r="Q25" s="9" t="s">
        <v>85</v>
      </c>
      <c r="R25" s="9" t="s">
        <v>85</v>
      </c>
      <c r="S25" s="9">
        <v>0.789779</v>
      </c>
      <c r="T25" s="9" t="s">
        <v>85</v>
      </c>
      <c r="U25" s="9" t="s">
        <v>85</v>
      </c>
      <c r="V25" s="9">
        <v>0.81417</v>
      </c>
      <c r="W25" s="9" t="s">
        <v>85</v>
      </c>
      <c r="X25" s="9" t="s">
        <v>85</v>
      </c>
      <c r="Y25" s="9">
        <v>0.872242</v>
      </c>
      <c r="Z25" s="9" t="s">
        <v>85</v>
      </c>
      <c r="AA25" s="9" t="s">
        <v>85</v>
      </c>
      <c r="AB25" s="9">
        <v>0.875726</v>
      </c>
      <c r="AC25" s="10" t="s">
        <v>85</v>
      </c>
      <c r="AD25" s="10" t="s">
        <v>85</v>
      </c>
      <c r="AE25" s="9">
        <v>0.851336</v>
      </c>
      <c r="AF25" s="9" t="s">
        <v>85</v>
      </c>
      <c r="AG25" s="9" t="s">
        <v>85</v>
      </c>
      <c r="AH25" s="9">
        <v>0.84669</v>
      </c>
      <c r="AI25" s="9" t="s">
        <v>85</v>
      </c>
      <c r="AJ25" s="9" t="s">
        <v>85</v>
      </c>
      <c r="AK25" s="9">
        <v>0.836237</v>
      </c>
      <c r="AL25" s="9" t="s">
        <v>85</v>
      </c>
      <c r="AM25" s="9" t="s">
        <v>85</v>
      </c>
      <c r="AN25" s="9">
        <v>0.801394</v>
      </c>
      <c r="AO25" s="9" t="s">
        <v>85</v>
      </c>
      <c r="AP25" s="9" t="s">
        <v>85</v>
      </c>
      <c r="AQ25" s="9">
        <v>0.826945</v>
      </c>
      <c r="AR25" s="9" t="s">
        <v>85</v>
      </c>
      <c r="AS25" s="9" t="s">
        <v>85</v>
      </c>
      <c r="AT25" s="9">
        <v>0.811847</v>
      </c>
      <c r="AU25" s="9" t="s">
        <v>85</v>
      </c>
      <c r="AV25" s="9" t="s">
        <v>85</v>
      </c>
      <c r="AW25" s="9">
        <v>0.831591</v>
      </c>
      <c r="AX25" s="9" t="s">
        <v>85</v>
      </c>
      <c r="AY25" s="9" t="s">
        <v>85</v>
      </c>
      <c r="AZ25" s="9">
        <v>0.824623</v>
      </c>
      <c r="BA25" s="9" t="s">
        <v>85</v>
      </c>
      <c r="BB25" s="9" t="s">
        <v>85</v>
      </c>
      <c r="BC25" s="9">
        <v>0.8223</v>
      </c>
      <c r="BD25" s="10" t="s">
        <v>85</v>
      </c>
      <c r="BE25" s="10" t="s">
        <v>85</v>
      </c>
      <c r="BF25" s="9">
        <v>0.658537</v>
      </c>
      <c r="BG25" s="10" t="s">
        <v>85</v>
      </c>
      <c r="BH25" s="10" t="s">
        <v>85</v>
      </c>
      <c r="BI25" s="9" t="s">
        <v>85</v>
      </c>
      <c r="BJ25" s="6"/>
      <c r="BK25" s="6" t="str">
        <f t="shared" si="2"/>
        <v>5VB_One_Acc</v>
      </c>
      <c r="BL25" s="6" t="str">
        <f t="shared" si="3"/>
        <v>5V_One_Acc</v>
      </c>
      <c r="BM25" s="6" t="str">
        <f t="shared" si="4"/>
        <v>8VB_One_Acc</v>
      </c>
      <c r="BN25" s="6"/>
      <c r="BO25" s="6">
        <f t="shared" ref="BO25:BQ25" si="32">IF(ISNUMBER(SEARCH("5",BK25)),5,IF(ISNUMBER(SEARCH("*8*",BK25)),8,IF(ISNUMBER(SEARCH("*10*",BK25)),10,IF(ISNUMBER(SEARCH("*12*",BK25)),12,IF(ISNUMBER(SEARCH("*20*",BK25)),20)))))</f>
        <v>5</v>
      </c>
      <c r="BP25" s="6">
        <f t="shared" si="32"/>
        <v>5</v>
      </c>
      <c r="BQ25" s="6">
        <f t="shared" si="32"/>
        <v>8</v>
      </c>
      <c r="BR25" s="6"/>
      <c r="BT25" s="6" t="s">
        <v>255</v>
      </c>
      <c r="BU25" s="6" t="s">
        <v>256</v>
      </c>
      <c r="BV25" s="6" t="s">
        <v>257</v>
      </c>
      <c r="BW25" s="6" t="s">
        <v>258</v>
      </c>
      <c r="BX25" s="6" t="s">
        <v>259</v>
      </c>
      <c r="BY25" s="6"/>
      <c r="BZ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</row>
    <row r="26" ht="15.75" customHeight="1">
      <c r="A26" s="1" t="s">
        <v>120</v>
      </c>
      <c r="B26" s="17">
        <v>96.0</v>
      </c>
      <c r="C26" s="17">
        <v>7.0</v>
      </c>
      <c r="D26" s="17" t="s">
        <v>299</v>
      </c>
      <c r="E26" s="9" t="s">
        <v>85</v>
      </c>
      <c r="F26" s="9" t="s">
        <v>85</v>
      </c>
      <c r="G26" s="9">
        <v>0.632343</v>
      </c>
      <c r="H26" s="9" t="s">
        <v>85</v>
      </c>
      <c r="I26" s="9" t="s">
        <v>85</v>
      </c>
      <c r="J26" s="9">
        <v>0.242381</v>
      </c>
      <c r="K26" s="9" t="s">
        <v>85</v>
      </c>
      <c r="L26" s="9" t="s">
        <v>85</v>
      </c>
      <c r="M26" s="9">
        <v>0.607574</v>
      </c>
      <c r="N26" s="9" t="s">
        <v>85</v>
      </c>
      <c r="O26" s="9" t="s">
        <v>85</v>
      </c>
      <c r="P26" s="9">
        <v>0.650499</v>
      </c>
      <c r="Q26" s="9" t="s">
        <v>85</v>
      </c>
      <c r="R26" s="9" t="s">
        <v>85</v>
      </c>
      <c r="S26" s="9">
        <v>0.677474</v>
      </c>
      <c r="T26" s="9" t="s">
        <v>85</v>
      </c>
      <c r="U26" s="9" t="s">
        <v>85</v>
      </c>
      <c r="V26" s="9">
        <v>0.670341</v>
      </c>
      <c r="W26" s="9" t="s">
        <v>85</v>
      </c>
      <c r="X26" s="9" t="s">
        <v>85</v>
      </c>
      <c r="Y26" s="9">
        <v>0.643237</v>
      </c>
      <c r="Z26" s="9" t="s">
        <v>85</v>
      </c>
      <c r="AA26" s="9" t="s">
        <v>85</v>
      </c>
      <c r="AB26" s="9">
        <v>0.606017</v>
      </c>
      <c r="AC26" s="10" t="s">
        <v>85</v>
      </c>
      <c r="AD26" s="10" t="s">
        <v>85</v>
      </c>
      <c r="AE26" s="9">
        <v>0.627415</v>
      </c>
      <c r="AF26" s="9" t="s">
        <v>85</v>
      </c>
      <c r="AG26" s="9" t="s">
        <v>85</v>
      </c>
      <c r="AH26" s="9">
        <v>0.66671</v>
      </c>
      <c r="AI26" s="9" t="s">
        <v>85</v>
      </c>
      <c r="AJ26" s="9" t="s">
        <v>85</v>
      </c>
      <c r="AK26" s="9">
        <v>0.652445</v>
      </c>
      <c r="AL26" s="9" t="s">
        <v>85</v>
      </c>
      <c r="AM26" s="9" t="s">
        <v>85</v>
      </c>
      <c r="AN26" s="9">
        <v>0.634937</v>
      </c>
      <c r="AO26" s="9" t="s">
        <v>85</v>
      </c>
      <c r="AP26" s="9" t="s">
        <v>85</v>
      </c>
      <c r="AQ26" s="9">
        <v>0.67488</v>
      </c>
      <c r="AR26" s="9" t="s">
        <v>85</v>
      </c>
      <c r="AS26" s="9" t="s">
        <v>85</v>
      </c>
      <c r="AT26" s="9">
        <v>0.638568</v>
      </c>
      <c r="AU26" s="9" t="s">
        <v>85</v>
      </c>
      <c r="AV26" s="9" t="s">
        <v>85</v>
      </c>
      <c r="AW26" s="9">
        <v>0.626248</v>
      </c>
      <c r="AX26" s="9" t="s">
        <v>85</v>
      </c>
      <c r="AY26" s="9" t="s">
        <v>85</v>
      </c>
      <c r="AZ26" s="9">
        <v>0.658151</v>
      </c>
      <c r="BA26" s="9" t="s">
        <v>85</v>
      </c>
      <c r="BB26" s="9" t="s">
        <v>85</v>
      </c>
      <c r="BC26" s="9">
        <v>0.609519</v>
      </c>
      <c r="BD26" s="10" t="s">
        <v>85</v>
      </c>
      <c r="BE26" s="10" t="s">
        <v>85</v>
      </c>
      <c r="BF26" s="9">
        <v>0.600571</v>
      </c>
      <c r="BG26" s="10" t="s">
        <v>85</v>
      </c>
      <c r="BH26" s="10" t="s">
        <v>85</v>
      </c>
      <c r="BI26" s="9" t="s">
        <v>85</v>
      </c>
      <c r="BJ26" s="6"/>
      <c r="BK26" s="6" t="str">
        <f t="shared" si="2"/>
        <v>8Bo_One_Acc</v>
      </c>
      <c r="BL26" s="6" t="str">
        <f t="shared" si="3"/>
        <v>12Bo_One_Acc</v>
      </c>
      <c r="BM26" s="6" t="str">
        <f t="shared" si="4"/>
        <v>8BoN_One_Acc</v>
      </c>
      <c r="BN26" s="6"/>
      <c r="BO26" s="6">
        <f t="shared" ref="BO26:BQ26" si="33">IF(ISNUMBER(SEARCH("5",BK26)),5,IF(ISNUMBER(SEARCH("*8*",BK26)),8,IF(ISNUMBER(SEARCH("*10*",BK26)),10,IF(ISNUMBER(SEARCH("*12*",BK26)),12,IF(ISNUMBER(SEARCH("*20*",BK26)),20)))))</f>
        <v>8</v>
      </c>
      <c r="BP26" s="6">
        <f t="shared" si="33"/>
        <v>12</v>
      </c>
      <c r="BQ26" s="6">
        <f t="shared" si="33"/>
        <v>8</v>
      </c>
      <c r="BR26" s="6"/>
      <c r="BS26" s="6"/>
      <c r="BT26" s="6">
        <f>COUNTIF(BM3:BM100,"*5*")</f>
        <v>27</v>
      </c>
      <c r="BU26" s="6">
        <f>COUNTIF(BM3:BM100,"*8*")</f>
        <v>23</v>
      </c>
      <c r="BV26" s="6">
        <f>COUNTIF(BM3:BM100,"*10*")</f>
        <v>23</v>
      </c>
      <c r="BW26" s="6">
        <f>COUNTIF(BM3:BM100,"*12*")</f>
        <v>20</v>
      </c>
      <c r="BX26" s="6">
        <f>COUNTIF(BM3:BM100,"*20*")</f>
        <v>5</v>
      </c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</row>
    <row r="27" ht="15.75" customHeight="1">
      <c r="A27" s="1" t="s">
        <v>121</v>
      </c>
      <c r="B27" s="17">
        <v>1751.0</v>
      </c>
      <c r="C27" s="17">
        <v>4.0</v>
      </c>
      <c r="D27" s="17" t="s">
        <v>302</v>
      </c>
      <c r="E27" s="9" t="s">
        <v>85</v>
      </c>
      <c r="F27" s="9" t="s">
        <v>85</v>
      </c>
      <c r="G27" s="9">
        <v>0.248</v>
      </c>
      <c r="H27" s="9" t="s">
        <v>85</v>
      </c>
      <c r="I27" s="9" t="s">
        <v>85</v>
      </c>
      <c r="J27" s="9">
        <v>0.252</v>
      </c>
      <c r="K27" s="9" t="s">
        <v>85</v>
      </c>
      <c r="L27" s="9" t="s">
        <v>85</v>
      </c>
      <c r="M27" s="9">
        <v>0.248</v>
      </c>
      <c r="N27" s="9" t="s">
        <v>85</v>
      </c>
      <c r="O27" s="9" t="s">
        <v>85</v>
      </c>
      <c r="P27" s="9">
        <v>0.276</v>
      </c>
      <c r="Q27" s="9" t="s">
        <v>85</v>
      </c>
      <c r="R27" s="9" t="s">
        <v>85</v>
      </c>
      <c r="S27" s="9">
        <v>0.252</v>
      </c>
      <c r="T27" s="9" t="s">
        <v>85</v>
      </c>
      <c r="U27" s="9" t="s">
        <v>85</v>
      </c>
      <c r="V27" s="9">
        <v>0.248</v>
      </c>
      <c r="W27" s="9" t="s">
        <v>85</v>
      </c>
      <c r="X27" s="9" t="s">
        <v>85</v>
      </c>
      <c r="Y27" s="9">
        <v>0.248</v>
      </c>
      <c r="Z27" s="9" t="s">
        <v>85</v>
      </c>
      <c r="AA27" s="9" t="s">
        <v>85</v>
      </c>
      <c r="AB27" s="9">
        <v>0.248</v>
      </c>
      <c r="AC27" s="10" t="s">
        <v>85</v>
      </c>
      <c r="AD27" s="10" t="s">
        <v>85</v>
      </c>
      <c r="AE27" s="9">
        <v>0.248</v>
      </c>
      <c r="AF27" s="9" t="s">
        <v>85</v>
      </c>
      <c r="AG27" s="9" t="s">
        <v>85</v>
      </c>
      <c r="AH27" s="9">
        <v>0.252</v>
      </c>
      <c r="AI27" s="9" t="s">
        <v>85</v>
      </c>
      <c r="AJ27" s="9" t="s">
        <v>85</v>
      </c>
      <c r="AK27" s="9">
        <v>0.38</v>
      </c>
      <c r="AL27" s="9" t="s">
        <v>85</v>
      </c>
      <c r="AM27" s="9" t="s">
        <v>85</v>
      </c>
      <c r="AN27" s="9">
        <v>0.402</v>
      </c>
      <c r="AO27" s="9" t="s">
        <v>85</v>
      </c>
      <c r="AP27" s="9" t="s">
        <v>85</v>
      </c>
      <c r="AQ27" s="9">
        <v>0.258</v>
      </c>
      <c r="AR27" s="9" t="s">
        <v>85</v>
      </c>
      <c r="AS27" s="9" t="s">
        <v>85</v>
      </c>
      <c r="AT27" s="9">
        <v>0.286</v>
      </c>
      <c r="AU27" s="9" t="s">
        <v>85</v>
      </c>
      <c r="AV27" s="9" t="s">
        <v>85</v>
      </c>
      <c r="AW27" s="9">
        <v>0.288</v>
      </c>
      <c r="AX27" s="9" t="s">
        <v>85</v>
      </c>
      <c r="AY27" s="9" t="s">
        <v>85</v>
      </c>
      <c r="AZ27" s="9">
        <v>0.248</v>
      </c>
      <c r="BA27" s="9" t="s">
        <v>85</v>
      </c>
      <c r="BB27" s="9" t="s">
        <v>85</v>
      </c>
      <c r="BC27" s="9">
        <v>0.278</v>
      </c>
      <c r="BD27" s="10" t="s">
        <v>85</v>
      </c>
      <c r="BE27" s="10" t="s">
        <v>85</v>
      </c>
      <c r="BF27" s="9">
        <v>0.252</v>
      </c>
      <c r="BG27" s="10" t="s">
        <v>85</v>
      </c>
      <c r="BH27" s="10" t="s">
        <v>85</v>
      </c>
      <c r="BI27" s="9" t="s">
        <v>85</v>
      </c>
      <c r="BJ27" s="6"/>
      <c r="BK27" s="6" t="str">
        <f t="shared" si="2"/>
        <v>10VB_One_Acc</v>
      </c>
      <c r="BL27" s="6" t="str">
        <f t="shared" si="3"/>
        <v>10V_One_Acc</v>
      </c>
      <c r="BM27" s="6" t="str">
        <f t="shared" si="4"/>
        <v>12V_One_Acc</v>
      </c>
      <c r="BN27" s="6"/>
      <c r="BO27" s="6">
        <f t="shared" ref="BO27:BQ27" si="34">IF(ISNUMBER(SEARCH("5",BK27)),5,IF(ISNUMBER(SEARCH("*8*",BK27)),8,IF(ISNUMBER(SEARCH("*10*",BK27)),10,IF(ISNUMBER(SEARCH("*12*",BK27)),12,IF(ISNUMBER(SEARCH("*20*",BK27)),20)))))</f>
        <v>10</v>
      </c>
      <c r="BP27" s="6">
        <f t="shared" si="34"/>
        <v>10</v>
      </c>
      <c r="BQ27" s="6">
        <f t="shared" si="34"/>
        <v>12</v>
      </c>
      <c r="BR27" s="6"/>
      <c r="BS27" s="6" t="s">
        <v>226</v>
      </c>
      <c r="BT27" s="18">
        <f t="shared" ref="BT27:BX27" si="35">MINUS(BT26,SUM(BT28,BT29))</f>
        <v>11</v>
      </c>
      <c r="BU27" s="18">
        <f t="shared" si="35"/>
        <v>14</v>
      </c>
      <c r="BV27" s="18">
        <f t="shared" si="35"/>
        <v>11</v>
      </c>
      <c r="BW27" s="18">
        <f t="shared" si="35"/>
        <v>12</v>
      </c>
      <c r="BX27" s="18">
        <f t="shared" si="35"/>
        <v>2</v>
      </c>
      <c r="BY27" s="6">
        <f t="shared" ref="BY27:BY29" si="37">SUM(BT27:BX27)</f>
        <v>50</v>
      </c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</row>
    <row r="28" ht="15.75" customHeight="1">
      <c r="A28" s="1" t="s">
        <v>122</v>
      </c>
      <c r="B28" s="17">
        <v>131.0</v>
      </c>
      <c r="C28" s="17">
        <v>14.0</v>
      </c>
      <c r="D28" s="17" t="s">
        <v>300</v>
      </c>
      <c r="E28" s="9" t="s">
        <v>85</v>
      </c>
      <c r="F28" s="9" t="s">
        <v>85</v>
      </c>
      <c r="G28" s="9">
        <v>0.466864</v>
      </c>
      <c r="H28" s="9" t="s">
        <v>85</v>
      </c>
      <c r="I28" s="9" t="s">
        <v>85</v>
      </c>
      <c r="J28" s="9">
        <v>0.064497</v>
      </c>
      <c r="K28" s="9" t="s">
        <v>85</v>
      </c>
      <c r="L28" s="9" t="s">
        <v>85</v>
      </c>
      <c r="M28" s="9">
        <v>0.602959</v>
      </c>
      <c r="N28" s="9" t="s">
        <v>85</v>
      </c>
      <c r="O28" s="9" t="s">
        <v>85</v>
      </c>
      <c r="P28" s="9">
        <v>0.624852</v>
      </c>
      <c r="Q28" s="9" t="s">
        <v>85</v>
      </c>
      <c r="R28" s="9" t="s">
        <v>85</v>
      </c>
      <c r="S28" s="9">
        <v>0.632544</v>
      </c>
      <c r="T28" s="9" t="s">
        <v>85</v>
      </c>
      <c r="U28" s="9" t="s">
        <v>85</v>
      </c>
      <c r="V28" s="9">
        <v>0.63787</v>
      </c>
      <c r="W28" s="9" t="s">
        <v>85</v>
      </c>
      <c r="X28" s="9" t="s">
        <v>85</v>
      </c>
      <c r="Y28" s="9">
        <v>0.704142</v>
      </c>
      <c r="Z28" s="9" t="s">
        <v>85</v>
      </c>
      <c r="AA28" s="9" t="s">
        <v>85</v>
      </c>
      <c r="AB28" s="9">
        <v>0.516568</v>
      </c>
      <c r="AC28" s="10" t="s">
        <v>85</v>
      </c>
      <c r="AD28" s="10" t="s">
        <v>85</v>
      </c>
      <c r="AE28" s="9">
        <v>0.552663</v>
      </c>
      <c r="AF28" s="9" t="s">
        <v>85</v>
      </c>
      <c r="AG28" s="9" t="s">
        <v>85</v>
      </c>
      <c r="AH28" s="9">
        <v>0.676331</v>
      </c>
      <c r="AI28" s="9" t="s">
        <v>85</v>
      </c>
      <c r="AJ28" s="9" t="s">
        <v>85</v>
      </c>
      <c r="AK28" s="9">
        <v>0.436686</v>
      </c>
      <c r="AL28" s="9" t="s">
        <v>85</v>
      </c>
      <c r="AM28" s="9" t="s">
        <v>85</v>
      </c>
      <c r="AN28" s="9">
        <v>0.671006</v>
      </c>
      <c r="AO28" s="9" t="s">
        <v>85</v>
      </c>
      <c r="AP28" s="9" t="s">
        <v>85</v>
      </c>
      <c r="AQ28" s="9">
        <v>0.36213</v>
      </c>
      <c r="AR28" s="9" t="s">
        <v>85</v>
      </c>
      <c r="AS28" s="9" t="s">
        <v>85</v>
      </c>
      <c r="AT28" s="9">
        <v>0.613018</v>
      </c>
      <c r="AU28" s="9" t="s">
        <v>85</v>
      </c>
      <c r="AV28" s="9" t="s">
        <v>85</v>
      </c>
      <c r="AW28" s="9">
        <v>0.646746</v>
      </c>
      <c r="AX28" s="9" t="s">
        <v>85</v>
      </c>
      <c r="AY28" s="9" t="s">
        <v>85</v>
      </c>
      <c r="AZ28" s="9">
        <v>0.539645</v>
      </c>
      <c r="BA28" s="9" t="s">
        <v>85</v>
      </c>
      <c r="BB28" s="9" t="s">
        <v>85</v>
      </c>
      <c r="BC28" s="9">
        <v>0.605325</v>
      </c>
      <c r="BD28" s="10" t="s">
        <v>85</v>
      </c>
      <c r="BE28" s="10" t="s">
        <v>85</v>
      </c>
      <c r="BF28" s="9">
        <v>0.390533</v>
      </c>
      <c r="BG28" s="10" t="s">
        <v>85</v>
      </c>
      <c r="BH28" s="10" t="s">
        <v>85</v>
      </c>
      <c r="BI28" s="9" t="s">
        <v>85</v>
      </c>
      <c r="BJ28" s="6"/>
      <c r="BK28" s="6" t="str">
        <f t="shared" si="2"/>
        <v>8V_One_Acc</v>
      </c>
      <c r="BL28" s="6" t="str">
        <f t="shared" si="3"/>
        <v>10BoN_One_Acc</v>
      </c>
      <c r="BM28" s="6" t="str">
        <f t="shared" si="4"/>
        <v>10VB_One_Acc</v>
      </c>
      <c r="BN28" s="6"/>
      <c r="BO28" s="6">
        <f t="shared" ref="BO28:BQ28" si="36">IF(ISNUMBER(SEARCH("5",BK28)),5,IF(ISNUMBER(SEARCH("*8*",BK28)),8,IF(ISNUMBER(SEARCH("*10*",BK28)),10,IF(ISNUMBER(SEARCH("*12*",BK28)),12,IF(ISNUMBER(SEARCH("*20*",BK28)),20)))))</f>
        <v>8</v>
      </c>
      <c r="BP28" s="6">
        <f t="shared" si="36"/>
        <v>10</v>
      </c>
      <c r="BQ28" s="6">
        <f t="shared" si="36"/>
        <v>10</v>
      </c>
      <c r="BR28" s="6"/>
      <c r="BS28" s="6" t="s">
        <v>227</v>
      </c>
      <c r="BT28" s="18">
        <f>COUNTIFS(BM3:BM100,"*V*",BM3:BM100,"*5*")</f>
        <v>16</v>
      </c>
      <c r="BU28" s="19">
        <f>COUNTIFS(BM3:BM100,"*V*",BM3:BM100,"*8*")</f>
        <v>9</v>
      </c>
      <c r="BV28" s="18">
        <f>COUNTIFS(BM3:BM100,"*V*",BM3:BM100,"*10*")</f>
        <v>12</v>
      </c>
      <c r="BW28" s="18">
        <f>COUNTIFS(BM3:BM100,"*V*",BM3:BM100,"*12*")</f>
        <v>8</v>
      </c>
      <c r="BX28" s="18">
        <f>COUNTIFS(BM3:BM100,"*V*",BM3:BM100,"*20*")</f>
        <v>3</v>
      </c>
      <c r="BY28" s="6">
        <f t="shared" si="37"/>
        <v>48</v>
      </c>
      <c r="BZ28" s="6"/>
      <c r="CA28" s="6"/>
      <c r="CB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</row>
    <row r="29" ht="15.75" customHeight="1">
      <c r="A29" s="1" t="s">
        <v>123</v>
      </c>
      <c r="B29" s="17">
        <v>350.0</v>
      </c>
      <c r="C29" s="17">
        <v>4.0</v>
      </c>
      <c r="D29" s="17" t="s">
        <v>300</v>
      </c>
      <c r="E29" s="9" t="s">
        <v>85</v>
      </c>
      <c r="F29" s="9" t="s">
        <v>85</v>
      </c>
      <c r="G29" s="9">
        <v>0.465909</v>
      </c>
      <c r="H29" s="9" t="s">
        <v>85</v>
      </c>
      <c r="I29" s="9" t="s">
        <v>85</v>
      </c>
      <c r="J29" s="9">
        <v>0.159091</v>
      </c>
      <c r="K29" s="9" t="s">
        <v>85</v>
      </c>
      <c r="L29" s="9" t="s">
        <v>85</v>
      </c>
      <c r="M29" s="9">
        <v>0.647727</v>
      </c>
      <c r="N29" s="9" t="s">
        <v>85</v>
      </c>
      <c r="O29" s="9" t="s">
        <v>85</v>
      </c>
      <c r="P29" s="9">
        <v>0.738636</v>
      </c>
      <c r="Q29" s="9" t="s">
        <v>85</v>
      </c>
      <c r="R29" s="9" t="s">
        <v>85</v>
      </c>
      <c r="S29" s="9">
        <v>0.613636</v>
      </c>
      <c r="T29" s="9" t="s">
        <v>85</v>
      </c>
      <c r="U29" s="9" t="s">
        <v>85</v>
      </c>
      <c r="V29" s="9">
        <v>0.556818</v>
      </c>
      <c r="W29" s="9" t="s">
        <v>85</v>
      </c>
      <c r="X29" s="9" t="s">
        <v>85</v>
      </c>
      <c r="Y29" s="9">
        <v>0.579545</v>
      </c>
      <c r="Z29" s="9" t="s">
        <v>85</v>
      </c>
      <c r="AA29" s="9" t="s">
        <v>85</v>
      </c>
      <c r="AB29" s="9">
        <v>0.784091</v>
      </c>
      <c r="AC29" s="10" t="s">
        <v>85</v>
      </c>
      <c r="AD29" s="10" t="s">
        <v>85</v>
      </c>
      <c r="AE29" s="9">
        <v>0.545455</v>
      </c>
      <c r="AF29" s="9" t="s">
        <v>85</v>
      </c>
      <c r="AG29" s="9" t="s">
        <v>85</v>
      </c>
      <c r="AH29" s="9">
        <v>0.5</v>
      </c>
      <c r="AI29" s="9" t="s">
        <v>85</v>
      </c>
      <c r="AJ29" s="9" t="s">
        <v>85</v>
      </c>
      <c r="AK29" s="9">
        <v>0.75</v>
      </c>
      <c r="AL29" s="9" t="s">
        <v>85</v>
      </c>
      <c r="AM29" s="9" t="s">
        <v>85</v>
      </c>
      <c r="AN29" s="9">
        <v>0.693182</v>
      </c>
      <c r="AO29" s="9" t="s">
        <v>85</v>
      </c>
      <c r="AP29" s="9" t="s">
        <v>85</v>
      </c>
      <c r="AQ29" s="9">
        <v>0.715909</v>
      </c>
      <c r="AR29" s="9" t="s">
        <v>85</v>
      </c>
      <c r="AS29" s="9" t="s">
        <v>85</v>
      </c>
      <c r="AT29" s="9">
        <v>0.681818</v>
      </c>
      <c r="AU29" s="9" t="s">
        <v>85</v>
      </c>
      <c r="AV29" s="9" t="s">
        <v>85</v>
      </c>
      <c r="AW29" s="9">
        <v>0.659091</v>
      </c>
      <c r="AX29" s="9" t="s">
        <v>85</v>
      </c>
      <c r="AY29" s="9" t="s">
        <v>85</v>
      </c>
      <c r="AZ29" s="9">
        <v>0.818182</v>
      </c>
      <c r="BA29" s="9" t="s">
        <v>85</v>
      </c>
      <c r="BB29" s="9" t="s">
        <v>85</v>
      </c>
      <c r="BC29" s="9">
        <v>0.704545</v>
      </c>
      <c r="BD29" s="10" t="s">
        <v>85</v>
      </c>
      <c r="BE29" s="10" t="s">
        <v>85</v>
      </c>
      <c r="BF29" s="9">
        <v>0.840909</v>
      </c>
      <c r="BG29" s="10" t="s">
        <v>85</v>
      </c>
      <c r="BH29" s="10" t="s">
        <v>85</v>
      </c>
      <c r="BI29" s="9" t="s">
        <v>85</v>
      </c>
      <c r="BJ29" s="6"/>
      <c r="BK29" s="6" t="str">
        <f t="shared" si="2"/>
        <v>20V_One_Acc</v>
      </c>
      <c r="BL29" s="6" t="str">
        <f t="shared" si="3"/>
        <v>12VB_One_Acc</v>
      </c>
      <c r="BM29" s="6" t="str">
        <f t="shared" si="4"/>
        <v>8VB_One_Acc</v>
      </c>
      <c r="BN29" s="6"/>
      <c r="BO29" s="6">
        <f t="shared" ref="BO29:BQ29" si="38">IF(ISNUMBER(SEARCH("5",BK29)),5,IF(ISNUMBER(SEARCH("*8*",BK29)),8,IF(ISNUMBER(SEARCH("*10*",BK29)),10,IF(ISNUMBER(SEARCH("*12*",BK29)),12,IF(ISNUMBER(SEARCH("*20*",BK29)),20)))))</f>
        <v>20</v>
      </c>
      <c r="BP29" s="6">
        <f t="shared" si="38"/>
        <v>12</v>
      </c>
      <c r="BQ29" s="6">
        <f t="shared" si="38"/>
        <v>8</v>
      </c>
      <c r="BR29" s="6"/>
      <c r="BS29" s="6" t="s">
        <v>20</v>
      </c>
      <c r="BT29" s="18">
        <f>COUNTIFS(BM3:BM100,"*De*",BM3:BM100,"*5*")</f>
        <v>0</v>
      </c>
      <c r="BU29" s="19">
        <f>COUNTIFS(BM3:BM100,"*De*",BM3:BM100,"*8*")</f>
        <v>0</v>
      </c>
      <c r="BV29" s="18">
        <f>COUNTIFS(BM3:BM100,"*De*",BM3:BM100,"*10*")</f>
        <v>0</v>
      </c>
      <c r="BW29" s="18">
        <f>COUNTIFS(BM3:BM100,"*De*",BM3:BM100,"*12*")</f>
        <v>0</v>
      </c>
      <c r="BX29" s="18">
        <f>COUNTIFS(BM3:BM100,"*De*",BM3:BM100,"*20*")</f>
        <v>0</v>
      </c>
      <c r="BY29" s="6">
        <f t="shared" si="37"/>
        <v>0</v>
      </c>
      <c r="BZ29" s="6"/>
      <c r="CA29" s="6"/>
      <c r="CB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</row>
    <row r="30" ht="15.75" customHeight="1">
      <c r="A30" s="1" t="s">
        <v>124</v>
      </c>
      <c r="B30" s="17">
        <v>131.0</v>
      </c>
      <c r="C30" s="17">
        <v>14.0</v>
      </c>
      <c r="D30" s="17" t="s">
        <v>300</v>
      </c>
      <c r="E30" s="9" t="s">
        <v>85</v>
      </c>
      <c r="F30" s="9" t="s">
        <v>85</v>
      </c>
      <c r="G30" s="9">
        <v>0.560976</v>
      </c>
      <c r="H30" s="9" t="s">
        <v>85</v>
      </c>
      <c r="I30" s="9" t="s">
        <v>85</v>
      </c>
      <c r="J30" s="9">
        <v>0.143415</v>
      </c>
      <c r="K30" s="9" t="s">
        <v>85</v>
      </c>
      <c r="L30" s="9" t="s">
        <v>85</v>
      </c>
      <c r="M30" s="9">
        <v>0.570732</v>
      </c>
      <c r="N30" s="9" t="s">
        <v>85</v>
      </c>
      <c r="O30" s="9" t="s">
        <v>85</v>
      </c>
      <c r="P30" s="9">
        <v>0.49122</v>
      </c>
      <c r="Q30" s="9" t="s">
        <v>85</v>
      </c>
      <c r="R30" s="9" t="s">
        <v>85</v>
      </c>
      <c r="S30" s="9">
        <v>0.630244</v>
      </c>
      <c r="T30" s="9" t="s">
        <v>85</v>
      </c>
      <c r="U30" s="9" t="s">
        <v>85</v>
      </c>
      <c r="V30" s="9">
        <v>0.638537</v>
      </c>
      <c r="W30" s="9" t="s">
        <v>85</v>
      </c>
      <c r="X30" s="9" t="s">
        <v>85</v>
      </c>
      <c r="Y30" s="9">
        <v>0.686341</v>
      </c>
      <c r="Z30" s="9" t="s">
        <v>85</v>
      </c>
      <c r="AA30" s="9" t="s">
        <v>85</v>
      </c>
      <c r="AB30" s="9">
        <v>0.574146</v>
      </c>
      <c r="AC30" s="10" t="s">
        <v>85</v>
      </c>
      <c r="AD30" s="10" t="s">
        <v>85</v>
      </c>
      <c r="AE30" s="9">
        <v>0.7</v>
      </c>
      <c r="AF30" s="9" t="s">
        <v>85</v>
      </c>
      <c r="AG30" s="9" t="s">
        <v>85</v>
      </c>
      <c r="AH30" s="9">
        <v>0.607805</v>
      </c>
      <c r="AI30" s="9" t="s">
        <v>85</v>
      </c>
      <c r="AJ30" s="9" t="s">
        <v>85</v>
      </c>
      <c r="AK30" s="9">
        <v>0.690244</v>
      </c>
      <c r="AL30" s="9" t="s">
        <v>85</v>
      </c>
      <c r="AM30" s="9" t="s">
        <v>85</v>
      </c>
      <c r="AN30" s="9">
        <v>0.415122</v>
      </c>
      <c r="AO30" s="9" t="s">
        <v>85</v>
      </c>
      <c r="AP30" s="9" t="s">
        <v>85</v>
      </c>
      <c r="AQ30" s="9">
        <v>0.561951</v>
      </c>
      <c r="AR30" s="9" t="s">
        <v>85</v>
      </c>
      <c r="AS30" s="9" t="s">
        <v>85</v>
      </c>
      <c r="AT30" s="9">
        <v>0.679024</v>
      </c>
      <c r="AU30" s="9" t="s">
        <v>85</v>
      </c>
      <c r="AV30" s="9" t="s">
        <v>85</v>
      </c>
      <c r="AW30" s="9">
        <v>0.601951</v>
      </c>
      <c r="AX30" s="9" t="s">
        <v>85</v>
      </c>
      <c r="AY30" s="9" t="s">
        <v>85</v>
      </c>
      <c r="AZ30" s="9">
        <v>0.369756</v>
      </c>
      <c r="BA30" s="9" t="s">
        <v>85</v>
      </c>
      <c r="BB30" s="9" t="s">
        <v>85</v>
      </c>
      <c r="BC30" s="9">
        <v>0.665366</v>
      </c>
      <c r="BD30" s="10" t="s">
        <v>85</v>
      </c>
      <c r="BE30" s="10" t="s">
        <v>85</v>
      </c>
      <c r="BF30" s="9">
        <v>0.570244</v>
      </c>
      <c r="BG30" s="10" t="s">
        <v>85</v>
      </c>
      <c r="BH30" s="10" t="s">
        <v>85</v>
      </c>
      <c r="BI30" s="9" t="s">
        <v>85</v>
      </c>
      <c r="BJ30" s="6"/>
      <c r="BK30" s="6" t="str">
        <f t="shared" si="2"/>
        <v>10Bo_One_Acc</v>
      </c>
      <c r="BL30" s="6" t="str">
        <f t="shared" si="3"/>
        <v>10V_One_Acc</v>
      </c>
      <c r="BM30" s="6" t="str">
        <f t="shared" si="4"/>
        <v>8V_One_Acc</v>
      </c>
      <c r="BN30" s="6"/>
      <c r="BO30" s="6">
        <f t="shared" ref="BO30:BQ30" si="39">IF(ISNUMBER(SEARCH("5",BK30)),5,IF(ISNUMBER(SEARCH("*8*",BK30)),8,IF(ISNUMBER(SEARCH("*10*",BK30)),10,IF(ISNUMBER(SEARCH("*12*",BK30)),12,IF(ISNUMBER(SEARCH("*20*",BK30)),20)))))</f>
        <v>10</v>
      </c>
      <c r="BP30" s="6">
        <f t="shared" si="39"/>
        <v>10</v>
      </c>
      <c r="BQ30" s="6">
        <f t="shared" si="39"/>
        <v>8</v>
      </c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</row>
    <row r="31" ht="15.75" customHeight="1">
      <c r="A31" s="1" t="s">
        <v>125</v>
      </c>
      <c r="B31" s="17">
        <v>270.0</v>
      </c>
      <c r="C31" s="17">
        <v>50.0</v>
      </c>
      <c r="D31" s="17" t="s">
        <v>300</v>
      </c>
      <c r="E31" s="9" t="s">
        <v>85</v>
      </c>
      <c r="F31" s="9" t="s">
        <v>85</v>
      </c>
      <c r="G31" s="9">
        <v>0.404396</v>
      </c>
      <c r="H31" s="9" t="s">
        <v>85</v>
      </c>
      <c r="I31" s="9" t="s">
        <v>85</v>
      </c>
      <c r="J31" s="9">
        <v>0.125275</v>
      </c>
      <c r="K31" s="9" t="s">
        <v>85</v>
      </c>
      <c r="L31" s="9" t="s">
        <v>85</v>
      </c>
      <c r="M31" s="9">
        <v>0.353846</v>
      </c>
      <c r="N31" s="9" t="s">
        <v>85</v>
      </c>
      <c r="O31" s="9" t="s">
        <v>85</v>
      </c>
      <c r="P31" s="9">
        <v>0.272527</v>
      </c>
      <c r="Q31" s="9" t="s">
        <v>85</v>
      </c>
      <c r="R31" s="9" t="s">
        <v>85</v>
      </c>
      <c r="S31" s="9">
        <v>0.492308</v>
      </c>
      <c r="T31" s="9" t="s">
        <v>85</v>
      </c>
      <c r="U31" s="9" t="s">
        <v>85</v>
      </c>
      <c r="V31" s="9">
        <v>0.505495</v>
      </c>
      <c r="W31" s="9" t="s">
        <v>85</v>
      </c>
      <c r="X31" s="9" t="s">
        <v>85</v>
      </c>
      <c r="Y31" s="9">
        <v>0.254945</v>
      </c>
      <c r="Z31" s="9" t="s">
        <v>85</v>
      </c>
      <c r="AA31" s="9" t="s">
        <v>85</v>
      </c>
      <c r="AB31" s="9">
        <v>0.340659</v>
      </c>
      <c r="AC31" s="10" t="s">
        <v>85</v>
      </c>
      <c r="AD31" s="10" t="s">
        <v>85</v>
      </c>
      <c r="AE31" s="9">
        <v>0.452747</v>
      </c>
      <c r="AF31" s="9" t="s">
        <v>85</v>
      </c>
      <c r="AG31" s="9" t="s">
        <v>85</v>
      </c>
      <c r="AH31" s="9">
        <v>0.540659</v>
      </c>
      <c r="AI31" s="9" t="s">
        <v>85</v>
      </c>
      <c r="AJ31" s="9" t="s">
        <v>85</v>
      </c>
      <c r="AK31" s="9">
        <v>0.389011</v>
      </c>
      <c r="AL31" s="9" t="s">
        <v>85</v>
      </c>
      <c r="AM31" s="9" t="s">
        <v>85</v>
      </c>
      <c r="AN31" s="9">
        <v>0.426374</v>
      </c>
      <c r="AO31" s="9" t="s">
        <v>85</v>
      </c>
      <c r="AP31" s="9" t="s">
        <v>85</v>
      </c>
      <c r="AQ31" s="9">
        <v>0.492308</v>
      </c>
      <c r="AR31" s="9" t="s">
        <v>85</v>
      </c>
      <c r="AS31" s="9" t="s">
        <v>85</v>
      </c>
      <c r="AT31" s="9">
        <v>0.432967</v>
      </c>
      <c r="AU31" s="9" t="s">
        <v>85</v>
      </c>
      <c r="AV31" s="9" t="s">
        <v>85</v>
      </c>
      <c r="AW31" s="9">
        <v>0.252747</v>
      </c>
      <c r="AX31" s="9" t="s">
        <v>85</v>
      </c>
      <c r="AY31" s="9" t="s">
        <v>85</v>
      </c>
      <c r="AZ31" s="9">
        <v>0.364835</v>
      </c>
      <c r="BA31" s="9" t="s">
        <v>85</v>
      </c>
      <c r="BB31" s="9" t="s">
        <v>85</v>
      </c>
      <c r="BC31" s="9">
        <v>0.356044</v>
      </c>
      <c r="BD31" s="10" t="s">
        <v>85</v>
      </c>
      <c r="BE31" s="10" t="s">
        <v>85</v>
      </c>
      <c r="BF31" s="9">
        <v>0.457143</v>
      </c>
      <c r="BG31" s="10" t="s">
        <v>85</v>
      </c>
      <c r="BH31" s="10" t="s">
        <v>85</v>
      </c>
      <c r="BI31" s="9" t="s">
        <v>85</v>
      </c>
      <c r="BJ31" s="6"/>
      <c r="BK31" s="6" t="str">
        <f t="shared" si="2"/>
        <v>10BoN_One_Acc</v>
      </c>
      <c r="BL31" s="6" t="str">
        <f t="shared" si="3"/>
        <v>8BoN_One_Acc</v>
      </c>
      <c r="BM31" s="6" t="str">
        <f t="shared" si="4"/>
        <v>8Bo_One_Acc</v>
      </c>
      <c r="BN31" s="6"/>
      <c r="BO31" s="6">
        <f t="shared" ref="BO31:BQ31" si="40">IF(ISNUMBER(SEARCH("5",BK31)),5,IF(ISNUMBER(SEARCH("*8*",BK31)),8,IF(ISNUMBER(SEARCH("*10*",BK31)),10,IF(ISNUMBER(SEARCH("*12*",BK31)),12,IF(ISNUMBER(SEARCH("*20*",BK31)),20)))))</f>
        <v>10</v>
      </c>
      <c r="BP31" s="6">
        <f t="shared" si="40"/>
        <v>8</v>
      </c>
      <c r="BQ31" s="6">
        <f t="shared" si="40"/>
        <v>8</v>
      </c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</row>
    <row r="32" ht="15.75" customHeight="1">
      <c r="A32" s="1" t="s">
        <v>126</v>
      </c>
      <c r="B32" s="17">
        <v>463.0</v>
      </c>
      <c r="C32" s="17">
        <v>7.0</v>
      </c>
      <c r="D32" s="17" t="s">
        <v>300</v>
      </c>
      <c r="E32" s="9" t="s">
        <v>85</v>
      </c>
      <c r="F32" s="9" t="s">
        <v>85</v>
      </c>
      <c r="G32" s="9">
        <v>0.491429</v>
      </c>
      <c r="H32" s="9" t="s">
        <v>85</v>
      </c>
      <c r="I32" s="9" t="s">
        <v>85</v>
      </c>
      <c r="J32" s="9">
        <v>0.137143</v>
      </c>
      <c r="K32" s="9" t="s">
        <v>85</v>
      </c>
      <c r="L32" s="9" t="s">
        <v>85</v>
      </c>
      <c r="M32" s="9">
        <v>0.531429</v>
      </c>
      <c r="N32" s="9" t="s">
        <v>85</v>
      </c>
      <c r="O32" s="9" t="s">
        <v>85</v>
      </c>
      <c r="P32" s="9">
        <v>0.748571</v>
      </c>
      <c r="Q32" s="9" t="s">
        <v>85</v>
      </c>
      <c r="R32" s="9" t="s">
        <v>85</v>
      </c>
      <c r="S32" s="9">
        <v>0.668571</v>
      </c>
      <c r="T32" s="9" t="s">
        <v>85</v>
      </c>
      <c r="U32" s="9" t="s">
        <v>85</v>
      </c>
      <c r="V32" s="9">
        <v>0.622857</v>
      </c>
      <c r="W32" s="9" t="s">
        <v>85</v>
      </c>
      <c r="X32" s="9" t="s">
        <v>85</v>
      </c>
      <c r="Y32" s="9">
        <v>0.594286</v>
      </c>
      <c r="Z32" s="9" t="s">
        <v>85</v>
      </c>
      <c r="AA32" s="9" t="s">
        <v>85</v>
      </c>
      <c r="AB32" s="9">
        <v>0.52</v>
      </c>
      <c r="AC32" s="10" t="s">
        <v>85</v>
      </c>
      <c r="AD32" s="10" t="s">
        <v>85</v>
      </c>
      <c r="AE32" s="9">
        <v>0.611429</v>
      </c>
      <c r="AF32" s="9" t="s">
        <v>85</v>
      </c>
      <c r="AG32" s="9" t="s">
        <v>85</v>
      </c>
      <c r="AH32" s="9">
        <v>0.645714</v>
      </c>
      <c r="AI32" s="9" t="s">
        <v>85</v>
      </c>
      <c r="AJ32" s="9" t="s">
        <v>85</v>
      </c>
      <c r="AK32" s="9">
        <v>0.634286</v>
      </c>
      <c r="AL32" s="9" t="s">
        <v>85</v>
      </c>
      <c r="AM32" s="9" t="s">
        <v>85</v>
      </c>
      <c r="AN32" s="9">
        <v>0.508571</v>
      </c>
      <c r="AO32" s="9" t="s">
        <v>85</v>
      </c>
      <c r="AP32" s="9" t="s">
        <v>85</v>
      </c>
      <c r="AQ32" s="9">
        <v>0.514286</v>
      </c>
      <c r="AR32" s="9" t="s">
        <v>85</v>
      </c>
      <c r="AS32" s="9" t="s">
        <v>85</v>
      </c>
      <c r="AT32" s="9">
        <v>0.662857</v>
      </c>
      <c r="AU32" s="9" t="s">
        <v>85</v>
      </c>
      <c r="AV32" s="9" t="s">
        <v>85</v>
      </c>
      <c r="AW32" s="9">
        <v>0.525714</v>
      </c>
      <c r="AX32" s="9" t="s">
        <v>85</v>
      </c>
      <c r="AY32" s="9" t="s">
        <v>85</v>
      </c>
      <c r="AZ32" s="9">
        <v>0.605714</v>
      </c>
      <c r="BA32" s="9" t="s">
        <v>85</v>
      </c>
      <c r="BB32" s="9" t="s">
        <v>85</v>
      </c>
      <c r="BC32" s="9">
        <v>0.662857</v>
      </c>
      <c r="BD32" s="10" t="s">
        <v>85</v>
      </c>
      <c r="BE32" s="10" t="s">
        <v>85</v>
      </c>
      <c r="BF32" s="9">
        <v>0.731429</v>
      </c>
      <c r="BG32" s="10" t="s">
        <v>85</v>
      </c>
      <c r="BH32" s="10" t="s">
        <v>85</v>
      </c>
      <c r="BI32" s="9" t="s">
        <v>85</v>
      </c>
      <c r="BJ32" s="6"/>
      <c r="BK32" s="6" t="str">
        <f t="shared" si="2"/>
        <v>5VB_One_Acc</v>
      </c>
      <c r="BL32" s="6" t="str">
        <f t="shared" si="3"/>
        <v>20V_One_Acc</v>
      </c>
      <c r="BM32" s="6" t="str">
        <f t="shared" si="4"/>
        <v>8Bo_One_Acc</v>
      </c>
      <c r="BN32" s="6"/>
      <c r="BO32" s="6">
        <f t="shared" ref="BO32:BQ32" si="41">IF(ISNUMBER(SEARCH("5",BK32)),5,IF(ISNUMBER(SEARCH("*8*",BK32)),8,IF(ISNUMBER(SEARCH("*10*",BK32)),10,IF(ISNUMBER(SEARCH("*12*",BK32)),12,IF(ISNUMBER(SEARCH("*20*",BK32)),20)))))</f>
        <v>5</v>
      </c>
      <c r="BP32" s="6">
        <f t="shared" si="41"/>
        <v>20</v>
      </c>
      <c r="BQ32" s="6">
        <f t="shared" si="41"/>
        <v>8</v>
      </c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</row>
    <row r="33" ht="15.75" customHeight="1">
      <c r="A33" s="1" t="s">
        <v>127</v>
      </c>
      <c r="B33" s="17">
        <v>500.0</v>
      </c>
      <c r="C33" s="17">
        <v>2.0</v>
      </c>
      <c r="D33" s="17" t="s">
        <v>305</v>
      </c>
      <c r="E33" s="9" t="s">
        <v>85</v>
      </c>
      <c r="F33" s="9" t="s">
        <v>85</v>
      </c>
      <c r="G33" s="9">
        <v>0.484091</v>
      </c>
      <c r="H33" s="9" t="s">
        <v>85</v>
      </c>
      <c r="I33" s="9" t="s">
        <v>85</v>
      </c>
      <c r="J33" s="9">
        <v>0.484091</v>
      </c>
      <c r="K33" s="9" t="s">
        <v>85</v>
      </c>
      <c r="L33" s="9" t="s">
        <v>85</v>
      </c>
      <c r="M33" s="9">
        <v>0.484091</v>
      </c>
      <c r="N33" s="9" t="s">
        <v>85</v>
      </c>
      <c r="O33" s="9" t="s">
        <v>85</v>
      </c>
      <c r="P33" s="9">
        <v>0.484091</v>
      </c>
      <c r="Q33" s="9" t="s">
        <v>85</v>
      </c>
      <c r="R33" s="9" t="s">
        <v>85</v>
      </c>
      <c r="S33" s="9">
        <v>0.484091</v>
      </c>
      <c r="T33" s="9" t="s">
        <v>85</v>
      </c>
      <c r="U33" s="9" t="s">
        <v>85</v>
      </c>
      <c r="V33" s="9">
        <v>0.484091</v>
      </c>
      <c r="W33" s="9" t="s">
        <v>85</v>
      </c>
      <c r="X33" s="9" t="s">
        <v>85</v>
      </c>
      <c r="Y33" s="9">
        <v>0.484091</v>
      </c>
      <c r="Z33" s="9" t="s">
        <v>85</v>
      </c>
      <c r="AA33" s="9" t="s">
        <v>85</v>
      </c>
      <c r="AB33" s="9">
        <v>0.484091</v>
      </c>
      <c r="AC33" s="10" t="s">
        <v>85</v>
      </c>
      <c r="AD33" s="10" t="s">
        <v>85</v>
      </c>
      <c r="AE33" s="9">
        <v>0.484091</v>
      </c>
      <c r="AF33" s="9" t="s">
        <v>85</v>
      </c>
      <c r="AG33" s="9" t="s">
        <v>85</v>
      </c>
      <c r="AH33" s="9">
        <v>0.484091</v>
      </c>
      <c r="AI33" s="9" t="s">
        <v>85</v>
      </c>
      <c r="AJ33" s="9" t="s">
        <v>85</v>
      </c>
      <c r="AK33" s="9">
        <v>0.484091</v>
      </c>
      <c r="AL33" s="9" t="s">
        <v>85</v>
      </c>
      <c r="AM33" s="9" t="s">
        <v>85</v>
      </c>
      <c r="AN33" s="9">
        <v>0.484091</v>
      </c>
      <c r="AO33" s="9" t="s">
        <v>85</v>
      </c>
      <c r="AP33" s="9" t="s">
        <v>85</v>
      </c>
      <c r="AQ33" s="9">
        <v>0.484091</v>
      </c>
      <c r="AR33" s="9" t="s">
        <v>85</v>
      </c>
      <c r="AS33" s="9" t="s">
        <v>85</v>
      </c>
      <c r="AT33" s="9">
        <v>0.484091</v>
      </c>
      <c r="AU33" s="9" t="s">
        <v>85</v>
      </c>
      <c r="AV33" s="9" t="s">
        <v>85</v>
      </c>
      <c r="AW33" s="9">
        <v>0.484091</v>
      </c>
      <c r="AX33" s="9" t="s">
        <v>85</v>
      </c>
      <c r="AY33" s="9" t="s">
        <v>85</v>
      </c>
      <c r="AZ33" s="9">
        <v>0.484091</v>
      </c>
      <c r="BA33" s="9" t="s">
        <v>85</v>
      </c>
      <c r="BB33" s="9" t="s">
        <v>85</v>
      </c>
      <c r="BC33" s="9">
        <v>0.484091</v>
      </c>
      <c r="BD33" s="10" t="s">
        <v>85</v>
      </c>
      <c r="BE33" s="10" t="s">
        <v>85</v>
      </c>
      <c r="BF33" s="9">
        <v>0.484091</v>
      </c>
      <c r="BG33" s="10" t="s">
        <v>85</v>
      </c>
      <c r="BH33" s="10" t="s">
        <v>85</v>
      </c>
      <c r="BI33" s="9" t="s">
        <v>85</v>
      </c>
      <c r="BJ33" s="6"/>
      <c r="BK33" s="6" t="str">
        <f t="shared" si="2"/>
        <v>5Bo_One_Acc</v>
      </c>
      <c r="BL33" s="6" t="str">
        <f t="shared" si="3"/>
        <v>5Bo_One_Acc</v>
      </c>
      <c r="BM33" s="6" t="str">
        <f t="shared" si="4"/>
        <v>5Bo_One_Acc</v>
      </c>
      <c r="BN33" s="6"/>
      <c r="BO33" s="6">
        <f t="shared" ref="BO33:BQ33" si="42">IF(ISNUMBER(SEARCH("5",BK33)),5,IF(ISNUMBER(SEARCH("*8*",BK33)),8,IF(ISNUMBER(SEARCH("*10*",BK33)),10,IF(ISNUMBER(SEARCH("*12*",BK33)),12,IF(ISNUMBER(SEARCH("*20*",BK33)),20)))))</f>
        <v>5</v>
      </c>
      <c r="BP33" s="6">
        <f t="shared" si="42"/>
        <v>5</v>
      </c>
      <c r="BQ33" s="6">
        <f t="shared" si="42"/>
        <v>5</v>
      </c>
      <c r="BR33" s="6"/>
      <c r="BS33" s="21" t="s">
        <v>289</v>
      </c>
      <c r="BT33" s="18" t="s">
        <v>290</v>
      </c>
      <c r="BU33" s="18" t="s">
        <v>291</v>
      </c>
      <c r="BV33" s="18" t="s">
        <v>292</v>
      </c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</row>
    <row r="34" ht="15.75" customHeight="1">
      <c r="A34" s="14" t="s">
        <v>128</v>
      </c>
      <c r="B34" s="17">
        <v>500.0</v>
      </c>
      <c r="C34" s="17">
        <v>2.0</v>
      </c>
      <c r="D34" s="17" t="s">
        <v>305</v>
      </c>
      <c r="E34" s="9" t="s">
        <v>85</v>
      </c>
      <c r="F34" s="9" t="s">
        <v>85</v>
      </c>
      <c r="G34" s="9">
        <v>0.504938</v>
      </c>
      <c r="H34" s="9" t="s">
        <v>85</v>
      </c>
      <c r="I34" s="9" t="s">
        <v>85</v>
      </c>
      <c r="J34" s="9">
        <v>0.504938</v>
      </c>
      <c r="K34" s="9" t="s">
        <v>85</v>
      </c>
      <c r="L34" s="9" t="s">
        <v>85</v>
      </c>
      <c r="M34" s="9">
        <v>0.504938</v>
      </c>
      <c r="N34" s="9" t="s">
        <v>85</v>
      </c>
      <c r="O34" s="9" t="s">
        <v>85</v>
      </c>
      <c r="P34" s="9">
        <v>0.504938</v>
      </c>
      <c r="Q34" s="9" t="s">
        <v>85</v>
      </c>
      <c r="R34" s="9" t="s">
        <v>85</v>
      </c>
      <c r="S34" s="9">
        <v>0.504938</v>
      </c>
      <c r="T34" s="9" t="s">
        <v>85</v>
      </c>
      <c r="U34" s="9" t="s">
        <v>85</v>
      </c>
      <c r="V34" s="9">
        <v>0.504938</v>
      </c>
      <c r="W34" s="9" t="s">
        <v>85</v>
      </c>
      <c r="X34" s="9" t="s">
        <v>85</v>
      </c>
      <c r="Y34" s="9">
        <v>0.504938</v>
      </c>
      <c r="Z34" s="9" t="s">
        <v>85</v>
      </c>
      <c r="AA34" s="9" t="s">
        <v>85</v>
      </c>
      <c r="AB34" s="9">
        <v>0.504938</v>
      </c>
      <c r="AC34" s="10" t="s">
        <v>85</v>
      </c>
      <c r="AD34" s="10" t="s">
        <v>85</v>
      </c>
      <c r="AE34" s="9">
        <v>0.504938</v>
      </c>
      <c r="AF34" s="9" t="s">
        <v>85</v>
      </c>
      <c r="AG34" s="9" t="s">
        <v>85</v>
      </c>
      <c r="AH34" s="9">
        <v>0.504938</v>
      </c>
      <c r="AI34" s="9" t="s">
        <v>85</v>
      </c>
      <c r="AJ34" s="9" t="s">
        <v>85</v>
      </c>
      <c r="AK34" s="9">
        <v>0.504938</v>
      </c>
      <c r="AL34" s="9" t="s">
        <v>85</v>
      </c>
      <c r="AM34" s="9" t="s">
        <v>85</v>
      </c>
      <c r="AN34" s="9">
        <v>0.504938</v>
      </c>
      <c r="AO34" s="9" t="s">
        <v>85</v>
      </c>
      <c r="AP34" s="9" t="s">
        <v>85</v>
      </c>
      <c r="AQ34" s="9">
        <v>0.504938</v>
      </c>
      <c r="AR34" s="9" t="s">
        <v>85</v>
      </c>
      <c r="AS34" s="9" t="s">
        <v>85</v>
      </c>
      <c r="AT34" s="9">
        <v>0.504938</v>
      </c>
      <c r="AU34" s="9" t="s">
        <v>85</v>
      </c>
      <c r="AV34" s="9" t="s">
        <v>85</v>
      </c>
      <c r="AW34" s="9">
        <v>0.504938</v>
      </c>
      <c r="AX34" s="9" t="s">
        <v>85</v>
      </c>
      <c r="AY34" s="9" t="s">
        <v>85</v>
      </c>
      <c r="AZ34" s="9">
        <v>0.504938</v>
      </c>
      <c r="BA34" s="9" t="s">
        <v>85</v>
      </c>
      <c r="BB34" s="9" t="s">
        <v>85</v>
      </c>
      <c r="BC34" s="9">
        <v>0.504938</v>
      </c>
      <c r="BD34" s="10" t="s">
        <v>85</v>
      </c>
      <c r="BE34" s="10" t="s">
        <v>85</v>
      </c>
      <c r="BF34" s="9">
        <v>0.504938</v>
      </c>
      <c r="BG34" s="10" t="s">
        <v>85</v>
      </c>
      <c r="BH34" s="10" t="s">
        <v>85</v>
      </c>
      <c r="BI34" s="9" t="s">
        <v>85</v>
      </c>
      <c r="BJ34" s="6"/>
      <c r="BK34" s="6" t="str">
        <f t="shared" si="2"/>
        <v>5Bo_One_Acc</v>
      </c>
      <c r="BL34" s="6" t="str">
        <f t="shared" si="3"/>
        <v>5Bo_One_Acc</v>
      </c>
      <c r="BM34" s="6" t="str">
        <f t="shared" si="4"/>
        <v>5Bo_One_Acc</v>
      </c>
      <c r="BN34" s="6"/>
      <c r="BO34" s="6">
        <f t="shared" ref="BO34:BQ34" si="43">IF(ISNUMBER(SEARCH("5",BK34)),5,IF(ISNUMBER(SEARCH("*8*",BK34)),8,IF(ISNUMBER(SEARCH("*10*",BK34)),10,IF(ISNUMBER(SEARCH("*12*",BK34)),12,IF(ISNUMBER(SEARCH("*20*",BK34)),20)))))</f>
        <v>5</v>
      </c>
      <c r="BP34" s="6">
        <f t="shared" si="43"/>
        <v>5</v>
      </c>
      <c r="BQ34" s="6">
        <f t="shared" si="43"/>
        <v>5</v>
      </c>
      <c r="BR34" s="6"/>
      <c r="BS34" s="18" t="s">
        <v>290</v>
      </c>
      <c r="BT34" s="22">
        <v>1.0</v>
      </c>
      <c r="BU34" s="22"/>
      <c r="BV34" s="22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</row>
    <row r="35" ht="15.75" customHeight="1">
      <c r="A35" s="1" t="s">
        <v>129</v>
      </c>
      <c r="B35" s="17">
        <v>301.0</v>
      </c>
      <c r="C35" s="17">
        <v>2.0</v>
      </c>
      <c r="D35" s="17" t="s">
        <v>305</v>
      </c>
      <c r="E35" s="9" t="s">
        <v>85</v>
      </c>
      <c r="F35" s="9" t="s">
        <v>85</v>
      </c>
      <c r="G35" s="9">
        <v>0.968421</v>
      </c>
      <c r="H35" s="9" t="s">
        <v>85</v>
      </c>
      <c r="I35" s="9" t="s">
        <v>85</v>
      </c>
      <c r="J35" s="9">
        <v>0.5</v>
      </c>
      <c r="K35" s="9" t="s">
        <v>85</v>
      </c>
      <c r="L35" s="9" t="s">
        <v>85</v>
      </c>
      <c r="M35" s="9">
        <v>0.947719</v>
      </c>
      <c r="N35" s="9" t="s">
        <v>85</v>
      </c>
      <c r="O35" s="9" t="s">
        <v>85</v>
      </c>
      <c r="P35" s="9">
        <v>0.95193</v>
      </c>
      <c r="Q35" s="9" t="s">
        <v>85</v>
      </c>
      <c r="R35" s="9" t="s">
        <v>85</v>
      </c>
      <c r="S35" s="9">
        <v>0.969825</v>
      </c>
      <c r="T35" s="9" t="s">
        <v>85</v>
      </c>
      <c r="U35" s="9" t="s">
        <v>85</v>
      </c>
      <c r="V35" s="9">
        <v>0.971579</v>
      </c>
      <c r="W35" s="9" t="s">
        <v>85</v>
      </c>
      <c r="X35" s="9" t="s">
        <v>85</v>
      </c>
      <c r="Y35" s="9">
        <v>0.981754</v>
      </c>
      <c r="Z35" s="9" t="s">
        <v>85</v>
      </c>
      <c r="AA35" s="9" t="s">
        <v>85</v>
      </c>
      <c r="AB35" s="9">
        <v>0.980351</v>
      </c>
      <c r="AC35" s="10" t="s">
        <v>85</v>
      </c>
      <c r="AD35" s="10" t="s">
        <v>85</v>
      </c>
      <c r="AE35" s="9">
        <v>0.976491</v>
      </c>
      <c r="AF35" s="9" t="s">
        <v>85</v>
      </c>
      <c r="AG35" s="9" t="s">
        <v>85</v>
      </c>
      <c r="AH35" s="9">
        <v>0.972281</v>
      </c>
      <c r="AI35" s="9" t="s">
        <v>85</v>
      </c>
      <c r="AJ35" s="9" t="s">
        <v>85</v>
      </c>
      <c r="AK35" s="9">
        <v>0.960351</v>
      </c>
      <c r="AL35" s="9" t="s">
        <v>85</v>
      </c>
      <c r="AM35" s="9" t="s">
        <v>85</v>
      </c>
      <c r="AN35" s="9">
        <v>0.964561</v>
      </c>
      <c r="AO35" s="9" t="s">
        <v>85</v>
      </c>
      <c r="AP35" s="9" t="s">
        <v>85</v>
      </c>
      <c r="AQ35" s="9">
        <v>0.96807</v>
      </c>
      <c r="AR35" s="9" t="s">
        <v>85</v>
      </c>
      <c r="AS35" s="9" t="s">
        <v>85</v>
      </c>
      <c r="AT35" s="9">
        <v>0.964912</v>
      </c>
      <c r="AU35" s="9" t="s">
        <v>85</v>
      </c>
      <c r="AV35" s="9" t="s">
        <v>85</v>
      </c>
      <c r="AW35" s="9">
        <v>0.963158</v>
      </c>
      <c r="AX35" s="9" t="s">
        <v>85</v>
      </c>
      <c r="AY35" s="9" t="s">
        <v>85</v>
      </c>
      <c r="AZ35" s="9">
        <v>0.961754</v>
      </c>
      <c r="BA35" s="9" t="s">
        <v>85</v>
      </c>
      <c r="BB35" s="9" t="s">
        <v>85</v>
      </c>
      <c r="BC35" s="9">
        <v>0.971228</v>
      </c>
      <c r="BD35" s="10" t="s">
        <v>85</v>
      </c>
      <c r="BE35" s="10" t="s">
        <v>85</v>
      </c>
      <c r="BF35" s="9">
        <v>0.947018</v>
      </c>
      <c r="BG35" s="10" t="s">
        <v>85</v>
      </c>
      <c r="BH35" s="10" t="s">
        <v>85</v>
      </c>
      <c r="BI35" s="9" t="s">
        <v>85</v>
      </c>
      <c r="BJ35" s="6"/>
      <c r="BK35" s="6" t="str">
        <f t="shared" si="2"/>
        <v>8V_One_Acc</v>
      </c>
      <c r="BL35" s="6" t="str">
        <f t="shared" si="3"/>
        <v>8VB_One_Acc</v>
      </c>
      <c r="BM35" s="6" t="str">
        <f t="shared" si="4"/>
        <v>10Bo_One_Acc</v>
      </c>
      <c r="BN35" s="6"/>
      <c r="BO35" s="6">
        <f t="shared" ref="BO35:BQ35" si="44">IF(ISNUMBER(SEARCH("5",BK35)),5,IF(ISNUMBER(SEARCH("*8*",BK35)),8,IF(ISNUMBER(SEARCH("*10*",BK35)),10,IF(ISNUMBER(SEARCH("*12*",BK35)),12,IF(ISNUMBER(SEARCH("*20*",BK35)),20)))))</f>
        <v>8</v>
      </c>
      <c r="BP35" s="6">
        <f t="shared" si="44"/>
        <v>8</v>
      </c>
      <c r="BQ35" s="6">
        <f t="shared" si="44"/>
        <v>10</v>
      </c>
      <c r="BR35" s="6"/>
      <c r="BS35" s="18" t="s">
        <v>291</v>
      </c>
      <c r="BT35" s="23">
        <f>CORREL($BO$3:$BO$100,$B$3:$B$100)</f>
        <v>0.139350111</v>
      </c>
      <c r="BU35" s="22">
        <v>1.0</v>
      </c>
      <c r="BV35" s="22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</row>
    <row r="36" ht="15.75" customHeight="1">
      <c r="A36" s="1" t="s">
        <v>130</v>
      </c>
      <c r="B36" s="17">
        <v>301.0</v>
      </c>
      <c r="C36" s="17">
        <v>2.0</v>
      </c>
      <c r="D36" s="17" t="s">
        <v>305</v>
      </c>
      <c r="E36" s="9" t="s">
        <v>85</v>
      </c>
      <c r="F36" s="9" t="s">
        <v>85</v>
      </c>
      <c r="G36" s="9">
        <v>0.961403</v>
      </c>
      <c r="H36" s="9" t="s">
        <v>85</v>
      </c>
      <c r="I36" s="9" t="s">
        <v>85</v>
      </c>
      <c r="J36" s="9">
        <v>0.5</v>
      </c>
      <c r="K36" s="9" t="s">
        <v>85</v>
      </c>
      <c r="L36" s="9" t="s">
        <v>85</v>
      </c>
      <c r="M36" s="9">
        <v>0.807719</v>
      </c>
      <c r="N36" s="9" t="s">
        <v>85</v>
      </c>
      <c r="O36" s="9" t="s">
        <v>85</v>
      </c>
      <c r="P36" s="9">
        <v>0.801053</v>
      </c>
      <c r="Q36" s="9" t="s">
        <v>85</v>
      </c>
      <c r="R36" s="9" t="s">
        <v>85</v>
      </c>
      <c r="S36" s="9">
        <v>0.949825</v>
      </c>
      <c r="T36" s="9" t="s">
        <v>85</v>
      </c>
      <c r="U36" s="9" t="s">
        <v>85</v>
      </c>
      <c r="V36" s="9">
        <v>0.948772</v>
      </c>
      <c r="W36" s="9" t="s">
        <v>85</v>
      </c>
      <c r="X36" s="9" t="s">
        <v>85</v>
      </c>
      <c r="Y36" s="9">
        <v>0.906316</v>
      </c>
      <c r="Z36" s="9" t="s">
        <v>85</v>
      </c>
      <c r="AA36" s="9" t="s">
        <v>85</v>
      </c>
      <c r="AB36" s="9">
        <v>0.92386</v>
      </c>
      <c r="AC36" s="10" t="s">
        <v>85</v>
      </c>
      <c r="AD36" s="10" t="s">
        <v>85</v>
      </c>
      <c r="AE36" s="1" t="s">
        <v>85</v>
      </c>
      <c r="AF36" s="9" t="s">
        <v>85</v>
      </c>
      <c r="AG36" s="9" t="s">
        <v>85</v>
      </c>
      <c r="AH36" s="9">
        <v>0.94807</v>
      </c>
      <c r="AI36" s="9" t="s">
        <v>85</v>
      </c>
      <c r="AJ36" s="9" t="s">
        <v>85</v>
      </c>
      <c r="AK36" s="9">
        <v>0.889123</v>
      </c>
      <c r="AL36" s="9" t="s">
        <v>85</v>
      </c>
      <c r="AM36" s="9" t="s">
        <v>85</v>
      </c>
      <c r="AN36" s="9">
        <v>0.893333</v>
      </c>
      <c r="AO36" s="9" t="s">
        <v>85</v>
      </c>
      <c r="AP36" s="9" t="s">
        <v>85</v>
      </c>
      <c r="AQ36" s="9">
        <v>0.952281</v>
      </c>
      <c r="AR36" s="9" t="s">
        <v>85</v>
      </c>
      <c r="AS36" s="9" t="s">
        <v>85</v>
      </c>
      <c r="AT36" s="9">
        <v>0.95614</v>
      </c>
      <c r="AU36" s="9" t="s">
        <v>85</v>
      </c>
      <c r="AV36" s="9" t="s">
        <v>85</v>
      </c>
      <c r="AW36" s="9">
        <v>0.767719</v>
      </c>
      <c r="AX36" s="9" t="s">
        <v>85</v>
      </c>
      <c r="AY36" s="9" t="s">
        <v>85</v>
      </c>
      <c r="AZ36" s="9">
        <v>0.823509</v>
      </c>
      <c r="BA36" s="9" t="s">
        <v>85</v>
      </c>
      <c r="BB36" s="9" t="s">
        <v>85</v>
      </c>
      <c r="BC36" s="9">
        <v>0.967368</v>
      </c>
      <c r="BD36" s="10" t="s">
        <v>85</v>
      </c>
      <c r="BE36" s="10" t="s">
        <v>85</v>
      </c>
      <c r="BF36" s="9">
        <v>0.896491</v>
      </c>
      <c r="BG36" s="10" t="s">
        <v>85</v>
      </c>
      <c r="BH36" s="10" t="s">
        <v>85</v>
      </c>
      <c r="BI36" s="9" t="s">
        <v>85</v>
      </c>
      <c r="BJ36" s="6"/>
      <c r="BK36" s="6" t="str">
        <f t="shared" si="2"/>
        <v>20Bo_One_Acc</v>
      </c>
      <c r="BL36" s="6" t="str">
        <f t="shared" si="3"/>
        <v>5Bo_One_Acc</v>
      </c>
      <c r="BM36" s="6" t="str">
        <f t="shared" si="4"/>
        <v>12BoN_One_Acc</v>
      </c>
      <c r="BN36" s="6"/>
      <c r="BO36" s="6">
        <f t="shared" ref="BO36:BQ36" si="45">IF(ISNUMBER(SEARCH("5",BK36)),5,IF(ISNUMBER(SEARCH("*8*",BK36)),8,IF(ISNUMBER(SEARCH("*10*",BK36)),10,IF(ISNUMBER(SEARCH("*12*",BK36)),12,IF(ISNUMBER(SEARCH("*20*",BK36)),20)))))</f>
        <v>20</v>
      </c>
      <c r="BP36" s="6">
        <f t="shared" si="45"/>
        <v>5</v>
      </c>
      <c r="BQ36" s="6">
        <f t="shared" si="45"/>
        <v>12</v>
      </c>
      <c r="BR36" s="6"/>
      <c r="BS36" s="18" t="s">
        <v>292</v>
      </c>
      <c r="BT36" s="23">
        <f>CORREL($BO$3:$BO$100,$C$3:$C$100)</f>
        <v>-0.123411525</v>
      </c>
      <c r="BU36" s="22"/>
      <c r="BV36" s="22">
        <v>1.0</v>
      </c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</row>
    <row r="37" ht="15.75" customHeight="1">
      <c r="A37" s="1" t="s">
        <v>131</v>
      </c>
      <c r="B37" s="17">
        <v>150.0</v>
      </c>
      <c r="C37" s="17">
        <v>2.0</v>
      </c>
      <c r="D37" s="17" t="s">
        <v>311</v>
      </c>
      <c r="E37" s="9" t="s">
        <v>85</v>
      </c>
      <c r="F37" s="9" t="s">
        <v>85</v>
      </c>
      <c r="G37" s="9">
        <v>0.92</v>
      </c>
      <c r="H37" s="9" t="s">
        <v>85</v>
      </c>
      <c r="I37" s="9" t="s">
        <v>85</v>
      </c>
      <c r="J37" s="9">
        <v>0.493333</v>
      </c>
      <c r="K37" s="9" t="s">
        <v>85</v>
      </c>
      <c r="L37" s="9" t="s">
        <v>85</v>
      </c>
      <c r="M37" s="9">
        <v>0.906667</v>
      </c>
      <c r="N37" s="9" t="s">
        <v>85</v>
      </c>
      <c r="O37" s="9" t="s">
        <v>85</v>
      </c>
      <c r="P37" s="9">
        <v>0.92</v>
      </c>
      <c r="Q37" s="9" t="s">
        <v>85</v>
      </c>
      <c r="R37" s="9" t="s">
        <v>85</v>
      </c>
      <c r="S37" s="9">
        <v>0.973333</v>
      </c>
      <c r="T37" s="9" t="s">
        <v>85</v>
      </c>
      <c r="U37" s="9" t="s">
        <v>85</v>
      </c>
      <c r="V37" s="9">
        <v>0.966667</v>
      </c>
      <c r="W37" s="9" t="s">
        <v>85</v>
      </c>
      <c r="X37" s="9" t="s">
        <v>85</v>
      </c>
      <c r="Y37" s="9">
        <v>0.893333</v>
      </c>
      <c r="Z37" s="9" t="s">
        <v>85</v>
      </c>
      <c r="AA37" s="9" t="s">
        <v>85</v>
      </c>
      <c r="AB37" s="9">
        <v>0.873333</v>
      </c>
      <c r="AC37" s="10" t="s">
        <v>85</v>
      </c>
      <c r="AD37" s="10" t="s">
        <v>85</v>
      </c>
      <c r="AE37" s="9">
        <v>0.953333</v>
      </c>
      <c r="AF37" s="9" t="s">
        <v>85</v>
      </c>
      <c r="AG37" s="9" t="s">
        <v>85</v>
      </c>
      <c r="AH37" s="9">
        <v>0.946667</v>
      </c>
      <c r="AI37" s="9" t="s">
        <v>85</v>
      </c>
      <c r="AJ37" s="9" t="s">
        <v>85</v>
      </c>
      <c r="AK37" s="9">
        <v>0.84</v>
      </c>
      <c r="AL37" s="9" t="s">
        <v>85</v>
      </c>
      <c r="AM37" s="9" t="s">
        <v>85</v>
      </c>
      <c r="AN37" s="9">
        <v>0.846667</v>
      </c>
      <c r="AO37" s="9" t="s">
        <v>85</v>
      </c>
      <c r="AP37" s="9" t="s">
        <v>85</v>
      </c>
      <c r="AQ37" s="9">
        <v>0.92</v>
      </c>
      <c r="AR37" s="9" t="s">
        <v>85</v>
      </c>
      <c r="AS37" s="9" t="s">
        <v>85</v>
      </c>
      <c r="AT37" s="9">
        <v>0.94</v>
      </c>
      <c r="AU37" s="9" t="s">
        <v>85</v>
      </c>
      <c r="AV37" s="9" t="s">
        <v>85</v>
      </c>
      <c r="AW37" s="9">
        <v>0.9</v>
      </c>
      <c r="AX37" s="9" t="s">
        <v>85</v>
      </c>
      <c r="AY37" s="9" t="s">
        <v>85</v>
      </c>
      <c r="AZ37" s="9">
        <v>0.873333</v>
      </c>
      <c r="BA37" s="9" t="s">
        <v>85</v>
      </c>
      <c r="BB37" s="9" t="s">
        <v>85</v>
      </c>
      <c r="BC37" s="9">
        <v>0.953333</v>
      </c>
      <c r="BD37" s="10" t="s">
        <v>85</v>
      </c>
      <c r="BE37" s="10" t="s">
        <v>85</v>
      </c>
      <c r="BF37" s="9">
        <v>0.913333</v>
      </c>
      <c r="BG37" s="10" t="s">
        <v>85</v>
      </c>
      <c r="BH37" s="10" t="s">
        <v>85</v>
      </c>
      <c r="BI37" s="9" t="s">
        <v>85</v>
      </c>
      <c r="BJ37" s="6"/>
      <c r="BK37" s="6" t="str">
        <f t="shared" si="2"/>
        <v>8Bo_One_Acc</v>
      </c>
      <c r="BL37" s="6" t="str">
        <f t="shared" si="3"/>
        <v>8BoN_One_Acc</v>
      </c>
      <c r="BM37" s="6" t="str">
        <f t="shared" si="4"/>
        <v>10Bo_One_Acc</v>
      </c>
      <c r="BN37" s="6"/>
      <c r="BO37" s="6">
        <f t="shared" ref="BO37:BQ37" si="46">IF(ISNUMBER(SEARCH("5",BK37)),5,IF(ISNUMBER(SEARCH("*8*",BK37)),8,IF(ISNUMBER(SEARCH("*10*",BK37)),10,IF(ISNUMBER(SEARCH("*12*",BK37)),12,IF(ISNUMBER(SEARCH("*20*",BK37)),20)))))</f>
        <v>8</v>
      </c>
      <c r="BP37" s="6">
        <f t="shared" si="46"/>
        <v>8</v>
      </c>
      <c r="BQ37" s="6">
        <f t="shared" si="46"/>
        <v>10</v>
      </c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</row>
    <row r="38" ht="15.75" customHeight="1">
      <c r="A38" s="1" t="s">
        <v>132</v>
      </c>
      <c r="B38" s="17">
        <v>150.0</v>
      </c>
      <c r="C38" s="17">
        <v>2.0</v>
      </c>
      <c r="D38" s="17" t="s">
        <v>311</v>
      </c>
      <c r="E38" s="9" t="s">
        <v>85</v>
      </c>
      <c r="F38" s="9" t="s">
        <v>85</v>
      </c>
      <c r="G38" s="9">
        <v>0.974684</v>
      </c>
      <c r="H38" s="9" t="s">
        <v>85</v>
      </c>
      <c r="I38" s="9" t="s">
        <v>85</v>
      </c>
      <c r="J38" s="9">
        <v>0.493671</v>
      </c>
      <c r="K38" s="9" t="s">
        <v>85</v>
      </c>
      <c r="L38" s="9" t="s">
        <v>85</v>
      </c>
      <c r="M38" s="9">
        <v>0.936709</v>
      </c>
      <c r="N38" s="9" t="s">
        <v>85</v>
      </c>
      <c r="O38" s="9" t="s">
        <v>85</v>
      </c>
      <c r="P38" s="9">
        <v>0.955696</v>
      </c>
      <c r="Q38" s="9" t="s">
        <v>85</v>
      </c>
      <c r="R38" s="9" t="s">
        <v>85</v>
      </c>
      <c r="S38" s="9">
        <v>0.952532</v>
      </c>
      <c r="T38" s="9" t="s">
        <v>85</v>
      </c>
      <c r="U38" s="9" t="s">
        <v>85</v>
      </c>
      <c r="V38" s="9">
        <v>0.96519</v>
      </c>
      <c r="W38" s="9" t="s">
        <v>85</v>
      </c>
      <c r="X38" s="9" t="s">
        <v>85</v>
      </c>
      <c r="Y38" s="9">
        <v>0.901899</v>
      </c>
      <c r="Z38" s="9" t="s">
        <v>85</v>
      </c>
      <c r="AA38" s="9" t="s">
        <v>85</v>
      </c>
      <c r="AB38" s="9">
        <v>0.917722</v>
      </c>
      <c r="AC38" s="10" t="s">
        <v>85</v>
      </c>
      <c r="AD38" s="10" t="s">
        <v>85</v>
      </c>
      <c r="AE38" s="9">
        <v>0.955696</v>
      </c>
      <c r="AF38" s="9" t="s">
        <v>85</v>
      </c>
      <c r="AG38" s="9" t="s">
        <v>85</v>
      </c>
      <c r="AH38" s="9">
        <v>0.949367</v>
      </c>
      <c r="AI38" s="9" t="s">
        <v>85</v>
      </c>
      <c r="AJ38" s="9" t="s">
        <v>85</v>
      </c>
      <c r="AK38" s="9">
        <v>0.924051</v>
      </c>
      <c r="AL38" s="9" t="s">
        <v>85</v>
      </c>
      <c r="AM38" s="9" t="s">
        <v>85</v>
      </c>
      <c r="AN38" s="9">
        <v>0.924051</v>
      </c>
      <c r="AO38" s="9" t="s">
        <v>85</v>
      </c>
      <c r="AP38" s="9" t="s">
        <v>85</v>
      </c>
      <c r="AQ38" s="9">
        <v>0.933544</v>
      </c>
      <c r="AR38" s="9" t="s">
        <v>85</v>
      </c>
      <c r="AS38" s="9" t="s">
        <v>85</v>
      </c>
      <c r="AT38" s="9">
        <v>0.946203</v>
      </c>
      <c r="AU38" s="9" t="s">
        <v>85</v>
      </c>
      <c r="AV38" s="9" t="s">
        <v>85</v>
      </c>
      <c r="AW38" s="9">
        <v>0.914557</v>
      </c>
      <c r="AX38" s="9" t="s">
        <v>85</v>
      </c>
      <c r="AY38" s="9" t="s">
        <v>85</v>
      </c>
      <c r="AZ38" s="9">
        <v>0.93038</v>
      </c>
      <c r="BA38" s="9" t="s">
        <v>85</v>
      </c>
      <c r="BB38" s="9" t="s">
        <v>85</v>
      </c>
      <c r="BC38" s="9">
        <v>0.927215</v>
      </c>
      <c r="BD38" s="10" t="s">
        <v>85</v>
      </c>
      <c r="BE38" s="10" t="s">
        <v>85</v>
      </c>
      <c r="BF38" s="9">
        <v>0.924051</v>
      </c>
      <c r="BG38" s="10" t="s">
        <v>85</v>
      </c>
      <c r="BH38" s="10" t="s">
        <v>85</v>
      </c>
      <c r="BI38" s="9" t="s">
        <v>85</v>
      </c>
      <c r="BJ38" s="6"/>
      <c r="BK38" s="6" t="str">
        <f t="shared" si="2"/>
        <v>5Bo_One_Acc</v>
      </c>
      <c r="BL38" s="6" t="str">
        <f t="shared" si="3"/>
        <v>8BoN_One_Acc</v>
      </c>
      <c r="BM38" s="6" t="str">
        <f t="shared" si="4"/>
        <v>5VB_One_Acc</v>
      </c>
      <c r="BN38" s="6"/>
      <c r="BO38" s="6">
        <f t="shared" ref="BO38:BQ38" si="47">IF(ISNUMBER(SEARCH("5",BK38)),5,IF(ISNUMBER(SEARCH("*8*",BK38)),8,IF(ISNUMBER(SEARCH("*10*",BK38)),10,IF(ISNUMBER(SEARCH("*12*",BK38)),12,IF(ISNUMBER(SEARCH("*20*",BK38)),20)))))</f>
        <v>5</v>
      </c>
      <c r="BP38" s="6">
        <f t="shared" si="47"/>
        <v>8</v>
      </c>
      <c r="BQ38" s="6">
        <f t="shared" si="47"/>
        <v>5</v>
      </c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</row>
    <row r="39" ht="15.75" customHeight="1">
      <c r="A39" s="1" t="s">
        <v>133</v>
      </c>
      <c r="B39" s="17">
        <v>150.0</v>
      </c>
      <c r="C39" s="17">
        <v>2.0</v>
      </c>
      <c r="D39" s="17" t="s">
        <v>311</v>
      </c>
      <c r="E39" s="9" t="s">
        <v>85</v>
      </c>
      <c r="F39" s="9" t="s">
        <v>85</v>
      </c>
      <c r="G39" s="9">
        <v>0.974684</v>
      </c>
      <c r="H39" s="9" t="s">
        <v>85</v>
      </c>
      <c r="I39" s="9" t="s">
        <v>85</v>
      </c>
      <c r="J39" s="9">
        <v>0.474684</v>
      </c>
      <c r="K39" s="9" t="s">
        <v>85</v>
      </c>
      <c r="L39" s="9" t="s">
        <v>85</v>
      </c>
      <c r="M39" s="9">
        <v>0.962025</v>
      </c>
      <c r="N39" s="9" t="s">
        <v>85</v>
      </c>
      <c r="O39" s="9" t="s">
        <v>85</v>
      </c>
      <c r="P39" s="9">
        <v>0.977848</v>
      </c>
      <c r="Q39" s="9" t="s">
        <v>85</v>
      </c>
      <c r="R39" s="9" t="s">
        <v>85</v>
      </c>
      <c r="S39" s="9">
        <v>0.974684</v>
      </c>
      <c r="T39" s="9" t="s">
        <v>85</v>
      </c>
      <c r="U39" s="9" t="s">
        <v>85</v>
      </c>
      <c r="V39" s="9">
        <v>0.977848</v>
      </c>
      <c r="W39" s="9" t="s">
        <v>85</v>
      </c>
      <c r="X39" s="9" t="s">
        <v>85</v>
      </c>
      <c r="Y39" s="9">
        <v>0.968354</v>
      </c>
      <c r="Z39" s="9" t="s">
        <v>85</v>
      </c>
      <c r="AA39" s="9" t="s">
        <v>85</v>
      </c>
      <c r="AB39" s="9">
        <v>0.962025</v>
      </c>
      <c r="AC39" s="10" t="s">
        <v>85</v>
      </c>
      <c r="AD39" s="10" t="s">
        <v>85</v>
      </c>
      <c r="AE39" s="9">
        <v>0.981013</v>
      </c>
      <c r="AF39" s="9" t="s">
        <v>85</v>
      </c>
      <c r="AG39" s="9" t="s">
        <v>85</v>
      </c>
      <c r="AH39" s="9">
        <v>0.984177</v>
      </c>
      <c r="AI39" s="9" t="s">
        <v>85</v>
      </c>
      <c r="AJ39" s="9" t="s">
        <v>85</v>
      </c>
      <c r="AK39" s="9">
        <v>0.987342</v>
      </c>
      <c r="AL39" s="9" t="s">
        <v>85</v>
      </c>
      <c r="AM39" s="9" t="s">
        <v>85</v>
      </c>
      <c r="AN39" s="9">
        <v>0.984177</v>
      </c>
      <c r="AO39" s="9" t="s">
        <v>85</v>
      </c>
      <c r="AP39" s="9" t="s">
        <v>85</v>
      </c>
      <c r="AQ39" s="9">
        <v>0.974684</v>
      </c>
      <c r="AR39" s="9" t="s">
        <v>85</v>
      </c>
      <c r="AS39" s="9" t="s">
        <v>85</v>
      </c>
      <c r="AT39" s="9">
        <v>0.971519</v>
      </c>
      <c r="AU39" s="9" t="s">
        <v>85</v>
      </c>
      <c r="AV39" s="9" t="s">
        <v>85</v>
      </c>
      <c r="AW39" s="9">
        <v>0.996835</v>
      </c>
      <c r="AX39" s="9" t="s">
        <v>85</v>
      </c>
      <c r="AY39" s="9" t="s">
        <v>85</v>
      </c>
      <c r="AZ39" s="9">
        <v>0.993671</v>
      </c>
      <c r="BA39" s="9" t="s">
        <v>85</v>
      </c>
      <c r="BB39" s="9" t="s">
        <v>85</v>
      </c>
      <c r="BC39" s="9">
        <v>0.977848</v>
      </c>
      <c r="BD39" s="10" t="s">
        <v>85</v>
      </c>
      <c r="BE39" s="10" t="s">
        <v>85</v>
      </c>
      <c r="BF39" s="9">
        <v>0.974684</v>
      </c>
      <c r="BG39" s="10" t="s">
        <v>85</v>
      </c>
      <c r="BH39" s="10" t="s">
        <v>85</v>
      </c>
      <c r="BI39" s="9" t="s">
        <v>85</v>
      </c>
      <c r="BJ39" s="6"/>
      <c r="BK39" s="6" t="str">
        <f t="shared" si="2"/>
        <v>12V_One_Acc</v>
      </c>
      <c r="BL39" s="6" t="str">
        <f t="shared" si="3"/>
        <v>12VB_One_Acc</v>
      </c>
      <c r="BM39" s="6" t="str">
        <f t="shared" si="4"/>
        <v>10V_One_Acc</v>
      </c>
      <c r="BN39" s="6"/>
      <c r="BO39" s="6">
        <f t="shared" ref="BO39:BQ39" si="48">IF(ISNUMBER(SEARCH("5",BK39)),5,IF(ISNUMBER(SEARCH("*8*",BK39)),8,IF(ISNUMBER(SEARCH("*10*",BK39)),10,IF(ISNUMBER(SEARCH("*12*",BK39)),12,IF(ISNUMBER(SEARCH("*20*",BK39)),20)))))</f>
        <v>12</v>
      </c>
      <c r="BP39" s="6">
        <f t="shared" si="48"/>
        <v>12</v>
      </c>
      <c r="BQ39" s="6">
        <f t="shared" si="48"/>
        <v>10</v>
      </c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</row>
    <row r="40" ht="15.75" customHeight="1">
      <c r="A40" s="1" t="s">
        <v>134</v>
      </c>
      <c r="B40" s="17">
        <v>150.0</v>
      </c>
      <c r="C40" s="17">
        <v>2.0</v>
      </c>
      <c r="D40" s="17" t="s">
        <v>311</v>
      </c>
      <c r="E40" s="9" t="s">
        <v>85</v>
      </c>
      <c r="F40" s="9" t="s">
        <v>85</v>
      </c>
      <c r="G40" s="9">
        <v>0.961905</v>
      </c>
      <c r="H40" s="9" t="s">
        <v>85</v>
      </c>
      <c r="I40" s="9" t="s">
        <v>85</v>
      </c>
      <c r="J40" s="9">
        <v>0.52381</v>
      </c>
      <c r="K40" s="9" t="s">
        <v>85</v>
      </c>
      <c r="L40" s="9" t="s">
        <v>85</v>
      </c>
      <c r="M40" s="9">
        <v>0.942857</v>
      </c>
      <c r="N40" s="9" t="s">
        <v>85</v>
      </c>
      <c r="O40" s="9" t="s">
        <v>85</v>
      </c>
      <c r="P40" s="9">
        <v>0.942857</v>
      </c>
      <c r="Q40" s="9" t="s">
        <v>85</v>
      </c>
      <c r="R40" s="9" t="s">
        <v>85</v>
      </c>
      <c r="S40" s="9">
        <v>0.939683</v>
      </c>
      <c r="T40" s="9" t="s">
        <v>85</v>
      </c>
      <c r="U40" s="9" t="s">
        <v>85</v>
      </c>
      <c r="V40" s="9">
        <v>0.933333</v>
      </c>
      <c r="W40" s="9" t="s">
        <v>85</v>
      </c>
      <c r="X40" s="9" t="s">
        <v>85</v>
      </c>
      <c r="Y40" s="9">
        <v>0.95873</v>
      </c>
      <c r="Z40" s="9" t="s">
        <v>85</v>
      </c>
      <c r="AA40" s="9" t="s">
        <v>85</v>
      </c>
      <c r="AB40" s="9">
        <v>0.942857</v>
      </c>
      <c r="AC40" s="10" t="s">
        <v>85</v>
      </c>
      <c r="AD40" s="10" t="s">
        <v>85</v>
      </c>
      <c r="AE40" s="9">
        <v>0.952381</v>
      </c>
      <c r="AF40" s="9" t="s">
        <v>85</v>
      </c>
      <c r="AG40" s="9" t="s">
        <v>85</v>
      </c>
      <c r="AH40" s="9">
        <v>0.949206</v>
      </c>
      <c r="AI40" s="9" t="s">
        <v>85</v>
      </c>
      <c r="AJ40" s="9" t="s">
        <v>85</v>
      </c>
      <c r="AK40" s="9">
        <v>0.911111</v>
      </c>
      <c r="AL40" s="9" t="s">
        <v>85</v>
      </c>
      <c r="AM40" s="9" t="s">
        <v>85</v>
      </c>
      <c r="AN40" s="9">
        <v>0.914286</v>
      </c>
      <c r="AO40" s="9" t="s">
        <v>85</v>
      </c>
      <c r="AP40" s="9" t="s">
        <v>85</v>
      </c>
      <c r="AQ40" s="9">
        <v>0.946032</v>
      </c>
      <c r="AR40" s="9" t="s">
        <v>85</v>
      </c>
      <c r="AS40" s="9" t="s">
        <v>85</v>
      </c>
      <c r="AT40" s="9">
        <v>0.955556</v>
      </c>
      <c r="AU40" s="9" t="s">
        <v>85</v>
      </c>
      <c r="AV40" s="9" t="s">
        <v>85</v>
      </c>
      <c r="AW40" s="9">
        <v>0.91746</v>
      </c>
      <c r="AX40" s="9" t="s">
        <v>85</v>
      </c>
      <c r="AY40" s="9" t="s">
        <v>85</v>
      </c>
      <c r="AZ40" s="9">
        <v>0.920635</v>
      </c>
      <c r="BA40" s="9" t="s">
        <v>85</v>
      </c>
      <c r="BB40" s="9" t="s">
        <v>85</v>
      </c>
      <c r="BC40" s="9">
        <v>0.952381</v>
      </c>
      <c r="BD40" s="10" t="s">
        <v>85</v>
      </c>
      <c r="BE40" s="10" t="s">
        <v>85</v>
      </c>
      <c r="BF40" s="9">
        <v>0.911111</v>
      </c>
      <c r="BG40" s="10" t="s">
        <v>85</v>
      </c>
      <c r="BH40" s="10" t="s">
        <v>85</v>
      </c>
      <c r="BI40" s="9" t="s">
        <v>85</v>
      </c>
      <c r="BJ40" s="6"/>
      <c r="BK40" s="6" t="str">
        <f t="shared" si="2"/>
        <v>5Bo_One_Acc</v>
      </c>
      <c r="BL40" s="6" t="str">
        <f t="shared" si="3"/>
        <v>8V_One_Acc</v>
      </c>
      <c r="BM40" s="6" t="str">
        <f t="shared" si="4"/>
        <v>12BoN_One_Acc</v>
      </c>
      <c r="BN40" s="6"/>
      <c r="BO40" s="6">
        <f t="shared" ref="BO40:BQ40" si="49">IF(ISNUMBER(SEARCH("5",BK40)),5,IF(ISNUMBER(SEARCH("*8*",BK40)),8,IF(ISNUMBER(SEARCH("*10*",BK40)),10,IF(ISNUMBER(SEARCH("*12*",BK40)),12,IF(ISNUMBER(SEARCH("*20*",BK40)),20)))))</f>
        <v>5</v>
      </c>
      <c r="BP40" s="6">
        <f t="shared" si="49"/>
        <v>8</v>
      </c>
      <c r="BQ40" s="6">
        <f t="shared" si="49"/>
        <v>12</v>
      </c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</row>
    <row r="41" ht="15.75" customHeight="1">
      <c r="A41" s="1" t="s">
        <v>135</v>
      </c>
      <c r="B41" s="17">
        <v>431.0</v>
      </c>
      <c r="C41" s="17">
        <v>2.0</v>
      </c>
      <c r="D41" s="17" t="s">
        <v>302</v>
      </c>
      <c r="E41" s="9" t="s">
        <v>85</v>
      </c>
      <c r="F41" s="9" t="s">
        <v>85</v>
      </c>
      <c r="G41" s="9">
        <v>0.504762</v>
      </c>
      <c r="H41" s="9" t="s">
        <v>85</v>
      </c>
      <c r="I41" s="9" t="s">
        <v>85</v>
      </c>
      <c r="J41" s="9">
        <v>0.52381</v>
      </c>
      <c r="K41" s="9" t="s">
        <v>85</v>
      </c>
      <c r="L41" s="9" t="s">
        <v>85</v>
      </c>
      <c r="M41" s="9">
        <v>0.52381</v>
      </c>
      <c r="N41" s="9" t="s">
        <v>85</v>
      </c>
      <c r="O41" s="9" t="s">
        <v>85</v>
      </c>
      <c r="P41" s="9">
        <v>0.495238</v>
      </c>
      <c r="Q41" s="9" t="s">
        <v>85</v>
      </c>
      <c r="R41" s="9" t="s">
        <v>85</v>
      </c>
      <c r="S41" s="9">
        <v>0.552381</v>
      </c>
      <c r="T41" s="9" t="s">
        <v>85</v>
      </c>
      <c r="U41" s="9" t="s">
        <v>85</v>
      </c>
      <c r="V41" s="9">
        <v>0.542857</v>
      </c>
      <c r="W41" s="9" t="s">
        <v>85</v>
      </c>
      <c r="X41" s="9" t="s">
        <v>85</v>
      </c>
      <c r="Y41" s="9">
        <v>0.561905</v>
      </c>
      <c r="Z41" s="9" t="s">
        <v>85</v>
      </c>
      <c r="AA41" s="9" t="s">
        <v>85</v>
      </c>
      <c r="AB41" s="9">
        <v>0.52381</v>
      </c>
      <c r="AC41" s="10" t="s">
        <v>85</v>
      </c>
      <c r="AD41" s="10" t="s">
        <v>85</v>
      </c>
      <c r="AE41" s="9">
        <v>0.552381</v>
      </c>
      <c r="AF41" s="9" t="s">
        <v>85</v>
      </c>
      <c r="AG41" s="9" t="s">
        <v>85</v>
      </c>
      <c r="AH41" s="9">
        <v>0.571429</v>
      </c>
      <c r="AI41" s="9" t="s">
        <v>85</v>
      </c>
      <c r="AJ41" s="9" t="s">
        <v>85</v>
      </c>
      <c r="AK41" s="9">
        <v>0.6</v>
      </c>
      <c r="AL41" s="9" t="s">
        <v>85</v>
      </c>
      <c r="AM41" s="9" t="s">
        <v>85</v>
      </c>
      <c r="AN41" s="9">
        <v>0.628571</v>
      </c>
      <c r="AO41" s="9" t="s">
        <v>85</v>
      </c>
      <c r="AP41" s="9" t="s">
        <v>85</v>
      </c>
      <c r="AQ41" s="9">
        <v>0.590476</v>
      </c>
      <c r="AR41" s="9" t="s">
        <v>85</v>
      </c>
      <c r="AS41" s="9" t="s">
        <v>85</v>
      </c>
      <c r="AT41" s="9">
        <v>0.542857</v>
      </c>
      <c r="AU41" s="9" t="s">
        <v>85</v>
      </c>
      <c r="AV41" s="9" t="s">
        <v>85</v>
      </c>
      <c r="AW41" s="9">
        <v>0.638095</v>
      </c>
      <c r="AX41" s="9" t="s">
        <v>85</v>
      </c>
      <c r="AY41" s="9" t="s">
        <v>85</v>
      </c>
      <c r="AZ41" s="9">
        <v>0.619048</v>
      </c>
      <c r="BA41" s="9" t="s">
        <v>85</v>
      </c>
      <c r="BB41" s="9" t="s">
        <v>85</v>
      </c>
      <c r="BC41" s="9">
        <v>0.609524</v>
      </c>
      <c r="BD41" s="10" t="s">
        <v>85</v>
      </c>
      <c r="BE41" s="10" t="s">
        <v>85</v>
      </c>
      <c r="BF41" s="9">
        <v>0.6</v>
      </c>
      <c r="BG41" s="10" t="s">
        <v>85</v>
      </c>
      <c r="BH41" s="10" t="s">
        <v>85</v>
      </c>
      <c r="BI41" s="9" t="s">
        <v>85</v>
      </c>
      <c r="BJ41" s="6"/>
      <c r="BK41" s="6" t="str">
        <f t="shared" si="2"/>
        <v>12V_One_Acc</v>
      </c>
      <c r="BL41" s="6" t="str">
        <f t="shared" si="3"/>
        <v>10VB_One_Acc</v>
      </c>
      <c r="BM41" s="6" t="str">
        <f t="shared" si="4"/>
        <v>12VB_One_Acc</v>
      </c>
      <c r="BN41" s="6"/>
      <c r="BO41" s="6">
        <f t="shared" ref="BO41:BQ41" si="50">IF(ISNUMBER(SEARCH("5",BK41)),5,IF(ISNUMBER(SEARCH("*8*",BK41)),8,IF(ISNUMBER(SEARCH("*10*",BK41)),10,IF(ISNUMBER(SEARCH("*12*",BK41)),12,IF(ISNUMBER(SEARCH("*20*",BK41)),20)))))</f>
        <v>12</v>
      </c>
      <c r="BP41" s="6">
        <f t="shared" si="50"/>
        <v>10</v>
      </c>
      <c r="BQ41" s="6">
        <f t="shared" si="50"/>
        <v>12</v>
      </c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</row>
    <row r="42" ht="15.75" customHeight="1">
      <c r="A42" s="1" t="s">
        <v>136</v>
      </c>
      <c r="B42" s="17">
        <v>1092.0</v>
      </c>
      <c r="C42" s="17">
        <v>5.0</v>
      </c>
      <c r="D42" s="17" t="s">
        <v>311</v>
      </c>
      <c r="E42" s="9" t="s">
        <v>85</v>
      </c>
      <c r="F42" s="9" t="s">
        <v>85</v>
      </c>
      <c r="G42" s="9">
        <v>0.37013</v>
      </c>
      <c r="H42" s="9" t="s">
        <v>85</v>
      </c>
      <c r="I42" s="9" t="s">
        <v>85</v>
      </c>
      <c r="J42" s="9">
        <v>0.191558</v>
      </c>
      <c r="K42" s="9" t="s">
        <v>85</v>
      </c>
      <c r="L42" s="9" t="s">
        <v>85</v>
      </c>
      <c r="M42" s="9">
        <v>0.409091</v>
      </c>
      <c r="N42" s="9" t="s">
        <v>85</v>
      </c>
      <c r="O42" s="9" t="s">
        <v>85</v>
      </c>
      <c r="P42" s="9">
        <v>0.246753</v>
      </c>
      <c r="Q42" s="9" t="s">
        <v>85</v>
      </c>
      <c r="R42" s="9" t="s">
        <v>85</v>
      </c>
      <c r="S42" s="9">
        <v>0.418831</v>
      </c>
      <c r="T42" s="9" t="s">
        <v>85</v>
      </c>
      <c r="U42" s="9" t="s">
        <v>85</v>
      </c>
      <c r="V42" s="9">
        <v>0.405844</v>
      </c>
      <c r="W42" s="9" t="s">
        <v>85</v>
      </c>
      <c r="X42" s="9" t="s">
        <v>85</v>
      </c>
      <c r="Y42" s="9">
        <v>0.435065</v>
      </c>
      <c r="Z42" s="9" t="s">
        <v>85</v>
      </c>
      <c r="AA42" s="9" t="s">
        <v>85</v>
      </c>
      <c r="AB42" s="9">
        <v>0.425325</v>
      </c>
      <c r="AC42" s="10" t="s">
        <v>85</v>
      </c>
      <c r="AD42" s="10" t="s">
        <v>85</v>
      </c>
      <c r="AE42" s="9">
        <v>0.402597</v>
      </c>
      <c r="AF42" s="9" t="s">
        <v>85</v>
      </c>
      <c r="AG42" s="9" t="s">
        <v>85</v>
      </c>
      <c r="AH42" s="9">
        <v>0.422078</v>
      </c>
      <c r="AI42" s="9" t="s">
        <v>85</v>
      </c>
      <c r="AJ42" s="9" t="s">
        <v>85</v>
      </c>
      <c r="AK42" s="9">
        <v>0.461039</v>
      </c>
      <c r="AL42" s="9" t="s">
        <v>85</v>
      </c>
      <c r="AM42" s="9" t="s">
        <v>85</v>
      </c>
      <c r="AN42" s="9">
        <v>0.399351</v>
      </c>
      <c r="AO42" s="9" t="s">
        <v>85</v>
      </c>
      <c r="AP42" s="9" t="s">
        <v>85</v>
      </c>
      <c r="AQ42" s="9">
        <v>0.409091</v>
      </c>
      <c r="AR42" s="9" t="s">
        <v>85</v>
      </c>
      <c r="AS42" s="9" t="s">
        <v>85</v>
      </c>
      <c r="AT42" s="9">
        <v>0.412338</v>
      </c>
      <c r="AU42" s="9" t="s">
        <v>85</v>
      </c>
      <c r="AV42" s="9" t="s">
        <v>85</v>
      </c>
      <c r="AW42" s="9">
        <v>0.467532</v>
      </c>
      <c r="AX42" s="9" t="s">
        <v>85</v>
      </c>
      <c r="AY42" s="9" t="s">
        <v>85</v>
      </c>
      <c r="AZ42" s="9">
        <v>0.337662</v>
      </c>
      <c r="BA42" s="9" t="s">
        <v>85</v>
      </c>
      <c r="BB42" s="9" t="s">
        <v>85</v>
      </c>
      <c r="BC42" s="9">
        <v>0.431818</v>
      </c>
      <c r="BD42" s="10" t="s">
        <v>85</v>
      </c>
      <c r="BE42" s="10" t="s">
        <v>85</v>
      </c>
      <c r="BF42" s="9">
        <v>0.438312</v>
      </c>
      <c r="BG42" s="10" t="s">
        <v>85</v>
      </c>
      <c r="BH42" s="10" t="s">
        <v>85</v>
      </c>
      <c r="BI42" s="9" t="s">
        <v>85</v>
      </c>
      <c r="BJ42" s="6"/>
      <c r="BK42" s="6" t="str">
        <f t="shared" si="2"/>
        <v>12V_One_Acc</v>
      </c>
      <c r="BL42" s="6" t="str">
        <f t="shared" si="3"/>
        <v>10V_One_Acc</v>
      </c>
      <c r="BM42" s="6" t="str">
        <f t="shared" si="4"/>
        <v>20V_One_Acc</v>
      </c>
      <c r="BN42" s="6"/>
      <c r="BO42" s="6">
        <f t="shared" ref="BO42:BQ42" si="51">IF(ISNUMBER(SEARCH("5",BK42)),5,IF(ISNUMBER(SEARCH("*8*",BK42)),8,IF(ISNUMBER(SEARCH("*10*",BK42)),10,IF(ISNUMBER(SEARCH("*12*",BK42)),12,IF(ISNUMBER(SEARCH("*20*",BK42)),20)))))</f>
        <v>12</v>
      </c>
      <c r="BP42" s="6">
        <f t="shared" si="51"/>
        <v>10</v>
      </c>
      <c r="BQ42" s="6">
        <f t="shared" si="51"/>
        <v>20</v>
      </c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</row>
    <row r="43" ht="15.75" customHeight="1">
      <c r="A43" s="1" t="s">
        <v>137</v>
      </c>
      <c r="B43" s="17">
        <v>512.0</v>
      </c>
      <c r="C43" s="17">
        <v>2.0</v>
      </c>
      <c r="D43" s="17" t="s">
        <v>300</v>
      </c>
      <c r="E43" s="9" t="s">
        <v>85</v>
      </c>
      <c r="F43" s="9" t="s">
        <v>85</v>
      </c>
      <c r="G43" s="9">
        <v>0.5625</v>
      </c>
      <c r="H43" s="9" t="s">
        <v>85</v>
      </c>
      <c r="I43" s="9" t="s">
        <v>85</v>
      </c>
      <c r="J43" s="9">
        <v>0.59375</v>
      </c>
      <c r="K43" s="9" t="s">
        <v>85</v>
      </c>
      <c r="L43" s="9" t="s">
        <v>85</v>
      </c>
      <c r="M43" s="9">
        <v>0.484375</v>
      </c>
      <c r="N43" s="9" t="s">
        <v>85</v>
      </c>
      <c r="O43" s="9" t="s">
        <v>85</v>
      </c>
      <c r="P43" s="9">
        <v>0.578125</v>
      </c>
      <c r="Q43" s="9" t="s">
        <v>85</v>
      </c>
      <c r="R43" s="9" t="s">
        <v>85</v>
      </c>
      <c r="S43" s="9">
        <v>0.484375</v>
      </c>
      <c r="T43" s="9" t="s">
        <v>85</v>
      </c>
      <c r="U43" s="9" t="s">
        <v>85</v>
      </c>
      <c r="V43" s="9">
        <v>0.4375</v>
      </c>
      <c r="W43" s="9" t="s">
        <v>85</v>
      </c>
      <c r="X43" s="9" t="s">
        <v>85</v>
      </c>
      <c r="Y43" s="9">
        <v>0.5625</v>
      </c>
      <c r="Z43" s="9" t="s">
        <v>85</v>
      </c>
      <c r="AA43" s="9" t="s">
        <v>85</v>
      </c>
      <c r="AB43" s="9">
        <v>0.484375</v>
      </c>
      <c r="AC43" s="10" t="s">
        <v>85</v>
      </c>
      <c r="AD43" s="10" t="s">
        <v>85</v>
      </c>
      <c r="AE43" s="9">
        <v>0.578125</v>
      </c>
      <c r="AF43" s="9" t="s">
        <v>85</v>
      </c>
      <c r="AG43" s="9" t="s">
        <v>85</v>
      </c>
      <c r="AH43" s="9">
        <v>0.5625</v>
      </c>
      <c r="AI43" s="9" t="s">
        <v>85</v>
      </c>
      <c r="AJ43" s="9" t="s">
        <v>85</v>
      </c>
      <c r="AK43" s="9">
        <v>0.5625</v>
      </c>
      <c r="AL43" s="9" t="s">
        <v>85</v>
      </c>
      <c r="AM43" s="9" t="s">
        <v>85</v>
      </c>
      <c r="AN43" s="9">
        <v>0.609375</v>
      </c>
      <c r="AO43" s="9" t="s">
        <v>85</v>
      </c>
      <c r="AP43" s="9" t="s">
        <v>85</v>
      </c>
      <c r="AQ43" s="9">
        <v>0.484375</v>
      </c>
      <c r="AR43" s="9" t="s">
        <v>85</v>
      </c>
      <c r="AS43" s="9" t="s">
        <v>85</v>
      </c>
      <c r="AT43" s="9">
        <v>0.484375</v>
      </c>
      <c r="AU43" s="9" t="s">
        <v>85</v>
      </c>
      <c r="AV43" s="9" t="s">
        <v>85</v>
      </c>
      <c r="AW43" s="9">
        <v>0.59375</v>
      </c>
      <c r="AX43" s="9" t="s">
        <v>85</v>
      </c>
      <c r="AY43" s="9" t="s">
        <v>85</v>
      </c>
      <c r="AZ43" s="9">
        <v>0.625</v>
      </c>
      <c r="BA43" s="9" t="s">
        <v>85</v>
      </c>
      <c r="BB43" s="9" t="s">
        <v>85</v>
      </c>
      <c r="BC43" s="9">
        <v>0.484375</v>
      </c>
      <c r="BD43" s="10" t="s">
        <v>85</v>
      </c>
      <c r="BE43" s="10" t="s">
        <v>85</v>
      </c>
      <c r="BF43" s="9">
        <v>0.59375</v>
      </c>
      <c r="BG43" s="10" t="s">
        <v>85</v>
      </c>
      <c r="BH43" s="10" t="s">
        <v>85</v>
      </c>
      <c r="BI43" s="9" t="s">
        <v>85</v>
      </c>
      <c r="BJ43" s="6"/>
      <c r="BK43" s="6" t="str">
        <f t="shared" si="2"/>
        <v>12VB_One_Acc</v>
      </c>
      <c r="BL43" s="6" t="str">
        <f t="shared" si="3"/>
        <v>10VB_One_Acc</v>
      </c>
      <c r="BM43" s="6" t="str">
        <f t="shared" si="4"/>
        <v>5BoN_One_Acc</v>
      </c>
      <c r="BN43" s="6"/>
      <c r="BO43" s="6">
        <f t="shared" ref="BO43:BQ43" si="52">IF(ISNUMBER(SEARCH("5",BK43)),5,IF(ISNUMBER(SEARCH("*8*",BK43)),8,IF(ISNUMBER(SEARCH("*10*",BK43)),10,IF(ISNUMBER(SEARCH("*12*",BK43)),12,IF(ISNUMBER(SEARCH("*20*",BK43)),20)))))</f>
        <v>12</v>
      </c>
      <c r="BP43" s="6">
        <f t="shared" si="52"/>
        <v>10</v>
      </c>
      <c r="BQ43" s="6">
        <f t="shared" si="52"/>
        <v>5</v>
      </c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</row>
    <row r="44" ht="15.75" customHeight="1">
      <c r="A44" s="1" t="s">
        <v>138</v>
      </c>
      <c r="B44" s="17">
        <v>3000.0</v>
      </c>
      <c r="C44" s="17">
        <v>2.0</v>
      </c>
      <c r="D44" s="17" t="s">
        <v>299</v>
      </c>
      <c r="E44" s="9" t="s">
        <v>85</v>
      </c>
      <c r="F44" s="9" t="s">
        <v>85</v>
      </c>
      <c r="G44" s="9">
        <v>0.798319</v>
      </c>
      <c r="H44" s="9" t="s">
        <v>85</v>
      </c>
      <c r="I44" s="9" t="s">
        <v>85</v>
      </c>
      <c r="J44" s="9">
        <v>0.428571</v>
      </c>
      <c r="K44" s="9" t="s">
        <v>85</v>
      </c>
      <c r="L44" s="9" t="s">
        <v>85</v>
      </c>
      <c r="M44" s="9">
        <v>0.731092</v>
      </c>
      <c r="N44" s="9" t="s">
        <v>85</v>
      </c>
      <c r="O44" s="9" t="s">
        <v>85</v>
      </c>
      <c r="P44" s="9">
        <v>0.773109</v>
      </c>
      <c r="Q44" s="9" t="s">
        <v>85</v>
      </c>
      <c r="R44" s="9" t="s">
        <v>85</v>
      </c>
      <c r="S44" s="9">
        <v>0.84874</v>
      </c>
      <c r="T44" s="9" t="s">
        <v>85</v>
      </c>
      <c r="U44" s="9" t="s">
        <v>85</v>
      </c>
      <c r="V44" s="9">
        <v>0.831933</v>
      </c>
      <c r="W44" s="9" t="s">
        <v>85</v>
      </c>
      <c r="X44" s="9" t="s">
        <v>85</v>
      </c>
      <c r="Y44" s="9">
        <v>0.747899</v>
      </c>
      <c r="Z44" s="9" t="s">
        <v>85</v>
      </c>
      <c r="AA44" s="9" t="s">
        <v>85</v>
      </c>
      <c r="AB44" s="9">
        <v>0.756303</v>
      </c>
      <c r="AC44" s="10" t="s">
        <v>85</v>
      </c>
      <c r="AD44" s="10" t="s">
        <v>85</v>
      </c>
      <c r="AE44" s="9">
        <v>0.84874</v>
      </c>
      <c r="AF44" s="9" t="s">
        <v>85</v>
      </c>
      <c r="AG44" s="9" t="s">
        <v>85</v>
      </c>
      <c r="AH44" s="9">
        <v>0.865546</v>
      </c>
      <c r="AI44" s="9" t="s">
        <v>85</v>
      </c>
      <c r="AJ44" s="9" t="s">
        <v>85</v>
      </c>
      <c r="AK44" s="9">
        <v>0.697479</v>
      </c>
      <c r="AL44" s="9" t="s">
        <v>85</v>
      </c>
      <c r="AM44" s="9" t="s">
        <v>85</v>
      </c>
      <c r="AN44" s="9">
        <v>0.731092</v>
      </c>
      <c r="AO44" s="9" t="s">
        <v>85</v>
      </c>
      <c r="AP44" s="9" t="s">
        <v>85</v>
      </c>
      <c r="AQ44" s="9">
        <v>0.89916</v>
      </c>
      <c r="AR44" s="9" t="s">
        <v>85</v>
      </c>
      <c r="AS44" s="9" t="s">
        <v>85</v>
      </c>
      <c r="AT44" s="9">
        <v>0.890756</v>
      </c>
      <c r="AU44" s="9" t="s">
        <v>85</v>
      </c>
      <c r="AV44" s="9" t="s">
        <v>85</v>
      </c>
      <c r="AW44" s="9">
        <v>0.705882</v>
      </c>
      <c r="AX44" s="9" t="s">
        <v>85</v>
      </c>
      <c r="AY44" s="9" t="s">
        <v>85</v>
      </c>
      <c r="AZ44" s="9">
        <v>0.781513</v>
      </c>
      <c r="BA44" s="9" t="s">
        <v>85</v>
      </c>
      <c r="BB44" s="9" t="s">
        <v>85</v>
      </c>
      <c r="BC44" s="9">
        <v>0.882353</v>
      </c>
      <c r="BD44" s="10" t="s">
        <v>85</v>
      </c>
      <c r="BE44" s="10" t="s">
        <v>85</v>
      </c>
      <c r="BF44" s="9">
        <v>0.781513</v>
      </c>
      <c r="BG44" s="10" t="s">
        <v>85</v>
      </c>
      <c r="BH44" s="10" t="s">
        <v>85</v>
      </c>
      <c r="BI44" s="9" t="s">
        <v>85</v>
      </c>
      <c r="BJ44" s="6"/>
      <c r="BK44" s="6" t="str">
        <f t="shared" si="2"/>
        <v>12Bo_One_Acc</v>
      </c>
      <c r="BL44" s="6" t="str">
        <f t="shared" si="3"/>
        <v>12BoN_One_Acc</v>
      </c>
      <c r="BM44" s="6" t="str">
        <f t="shared" si="4"/>
        <v>20Bo_One_Acc</v>
      </c>
      <c r="BN44" s="6"/>
      <c r="BO44" s="6">
        <f t="shared" ref="BO44:BQ44" si="53">IF(ISNUMBER(SEARCH("5",BK44)),5,IF(ISNUMBER(SEARCH("*8*",BK44)),8,IF(ISNUMBER(SEARCH("*10*",BK44)),10,IF(ISNUMBER(SEARCH("*12*",BK44)),12,IF(ISNUMBER(SEARCH("*20*",BK44)),20)))))</f>
        <v>12</v>
      </c>
      <c r="BP44" s="6">
        <f t="shared" si="53"/>
        <v>12</v>
      </c>
      <c r="BQ44" s="6">
        <f t="shared" si="53"/>
        <v>20</v>
      </c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</row>
    <row r="45" ht="15.75" customHeight="1">
      <c r="A45" s="1" t="s">
        <v>139</v>
      </c>
      <c r="B45" s="17">
        <v>1882.0</v>
      </c>
      <c r="C45" s="17">
        <v>7.0</v>
      </c>
      <c r="D45" s="17" t="s">
        <v>311</v>
      </c>
      <c r="E45" s="9" t="s">
        <v>85</v>
      </c>
      <c r="F45" s="9" t="s">
        <v>85</v>
      </c>
      <c r="G45" s="9">
        <v>0.325455</v>
      </c>
      <c r="H45" s="9" t="s">
        <v>85</v>
      </c>
      <c r="I45" s="9" t="s">
        <v>85</v>
      </c>
      <c r="J45" s="9">
        <v>0.183636</v>
      </c>
      <c r="K45" s="9" t="s">
        <v>85</v>
      </c>
      <c r="L45" s="9" t="s">
        <v>85</v>
      </c>
      <c r="M45" s="9">
        <v>0.261818</v>
      </c>
      <c r="N45" s="9" t="s">
        <v>85</v>
      </c>
      <c r="O45" s="9" t="s">
        <v>85</v>
      </c>
      <c r="P45" s="9">
        <v>0.321818</v>
      </c>
      <c r="Q45" s="9" t="s">
        <v>85</v>
      </c>
      <c r="R45" s="9" t="s">
        <v>85</v>
      </c>
      <c r="S45" s="9">
        <v>0.321818</v>
      </c>
      <c r="T45" s="9" t="s">
        <v>85</v>
      </c>
      <c r="U45" s="9" t="s">
        <v>85</v>
      </c>
      <c r="V45" s="9">
        <v>0.318182</v>
      </c>
      <c r="W45" s="9" t="s">
        <v>85</v>
      </c>
      <c r="X45" s="9" t="s">
        <v>85</v>
      </c>
      <c r="Y45" s="9">
        <v>0.24</v>
      </c>
      <c r="Z45" s="9" t="s">
        <v>85</v>
      </c>
      <c r="AA45" s="9" t="s">
        <v>85</v>
      </c>
      <c r="AB45" s="9">
        <v>0.3</v>
      </c>
      <c r="AC45" s="10" t="s">
        <v>85</v>
      </c>
      <c r="AD45" s="10" t="s">
        <v>85</v>
      </c>
      <c r="AE45" s="9">
        <v>0.272727</v>
      </c>
      <c r="AF45" s="9" t="s">
        <v>85</v>
      </c>
      <c r="AG45" s="9" t="s">
        <v>85</v>
      </c>
      <c r="AH45" s="9">
        <v>0.272727</v>
      </c>
      <c r="AI45" s="9" t="s">
        <v>85</v>
      </c>
      <c r="AJ45" s="9" t="s">
        <v>85</v>
      </c>
      <c r="AK45" s="9">
        <v>0.258182</v>
      </c>
      <c r="AL45" s="9" t="s">
        <v>85</v>
      </c>
      <c r="AM45" s="9" t="s">
        <v>85</v>
      </c>
      <c r="AN45" s="9">
        <v>0.232727</v>
      </c>
      <c r="AO45" s="9" t="s">
        <v>85</v>
      </c>
      <c r="AP45" s="9" t="s">
        <v>85</v>
      </c>
      <c r="AQ45" s="9">
        <v>0.327273</v>
      </c>
      <c r="AR45" s="9" t="s">
        <v>85</v>
      </c>
      <c r="AS45" s="9" t="s">
        <v>85</v>
      </c>
      <c r="AT45" s="9">
        <v>0.3</v>
      </c>
      <c r="AU45" s="9" t="s">
        <v>85</v>
      </c>
      <c r="AV45" s="9" t="s">
        <v>85</v>
      </c>
      <c r="AW45" s="9">
        <v>0.249091</v>
      </c>
      <c r="AX45" s="9" t="s">
        <v>85</v>
      </c>
      <c r="AY45" s="9" t="s">
        <v>85</v>
      </c>
      <c r="AZ45" s="9">
        <v>0.263636</v>
      </c>
      <c r="BA45" s="9" t="s">
        <v>85</v>
      </c>
      <c r="BB45" s="9" t="s">
        <v>85</v>
      </c>
      <c r="BC45" s="9">
        <v>0.314545</v>
      </c>
      <c r="BD45" s="10" t="s">
        <v>85</v>
      </c>
      <c r="BE45" s="10" t="s">
        <v>85</v>
      </c>
      <c r="BF45" s="9">
        <v>0.296364</v>
      </c>
      <c r="BG45" s="10" t="s">
        <v>85</v>
      </c>
      <c r="BH45" s="10" t="s">
        <v>85</v>
      </c>
      <c r="BI45" s="9" t="s">
        <v>85</v>
      </c>
      <c r="BJ45" s="6"/>
      <c r="BK45" s="6" t="str">
        <f t="shared" si="2"/>
        <v>12Bo_One_Acc</v>
      </c>
      <c r="BL45" s="6" t="str">
        <f t="shared" si="3"/>
        <v>5Bo_One_Acc</v>
      </c>
      <c r="BM45" s="6" t="str">
        <f t="shared" si="4"/>
        <v>5VB_One_Acc</v>
      </c>
      <c r="BN45" s="6"/>
      <c r="BO45" s="6">
        <f t="shared" ref="BO45:BQ45" si="54">IF(ISNUMBER(SEARCH("5",BK45)),5,IF(ISNUMBER(SEARCH("*8*",BK45)),8,IF(ISNUMBER(SEARCH("*10*",BK45)),10,IF(ISNUMBER(SEARCH("*12*",BK45)),12,IF(ISNUMBER(SEARCH("*20*",BK45)),20)))))</f>
        <v>12</v>
      </c>
      <c r="BP45" s="6">
        <f t="shared" si="54"/>
        <v>5</v>
      </c>
      <c r="BQ45" s="6">
        <f t="shared" si="54"/>
        <v>5</v>
      </c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</row>
    <row r="46" ht="15.75" customHeight="1">
      <c r="A46" s="1" t="s">
        <v>140</v>
      </c>
      <c r="B46" s="17">
        <v>601.0</v>
      </c>
      <c r="C46" s="17">
        <v>3.0</v>
      </c>
      <c r="D46" s="17" t="s">
        <v>309</v>
      </c>
      <c r="E46" s="9" t="s">
        <v>85</v>
      </c>
      <c r="F46" s="9" t="s">
        <v>85</v>
      </c>
      <c r="G46" s="9">
        <v>0.823293</v>
      </c>
      <c r="H46" s="9" t="s">
        <v>85</v>
      </c>
      <c r="I46" s="9" t="s">
        <v>85</v>
      </c>
      <c r="J46" s="9">
        <v>0.473896</v>
      </c>
      <c r="K46" s="9" t="s">
        <v>85</v>
      </c>
      <c r="L46" s="9" t="s">
        <v>85</v>
      </c>
      <c r="M46" s="9">
        <v>0.807229</v>
      </c>
      <c r="N46" s="9" t="s">
        <v>85</v>
      </c>
      <c r="O46" s="9" t="s">
        <v>85</v>
      </c>
      <c r="P46" s="9">
        <v>0.791165</v>
      </c>
      <c r="Q46" s="9" t="s">
        <v>85</v>
      </c>
      <c r="R46" s="9" t="s">
        <v>85</v>
      </c>
      <c r="S46" s="9">
        <v>0.815261</v>
      </c>
      <c r="T46" s="9" t="s">
        <v>85</v>
      </c>
      <c r="U46" s="9" t="s">
        <v>85</v>
      </c>
      <c r="V46" s="9">
        <v>0.839357</v>
      </c>
      <c r="W46" s="9" t="s">
        <v>85</v>
      </c>
      <c r="X46" s="9" t="s">
        <v>85</v>
      </c>
      <c r="Y46" s="9">
        <v>0.823293</v>
      </c>
      <c r="Z46" s="9" t="s">
        <v>85</v>
      </c>
      <c r="AA46" s="9" t="s">
        <v>85</v>
      </c>
      <c r="AB46" s="9">
        <v>0.823293</v>
      </c>
      <c r="AC46" s="10" t="s">
        <v>85</v>
      </c>
      <c r="AD46" s="10" t="s">
        <v>85</v>
      </c>
      <c r="AE46" s="9">
        <v>0.819277</v>
      </c>
      <c r="AF46" s="9" t="s">
        <v>85</v>
      </c>
      <c r="AG46" s="9" t="s">
        <v>85</v>
      </c>
      <c r="AH46" s="9">
        <v>0.807229</v>
      </c>
      <c r="AI46" s="9" t="s">
        <v>85</v>
      </c>
      <c r="AJ46" s="9" t="s">
        <v>85</v>
      </c>
      <c r="AK46" s="9">
        <v>0.807229</v>
      </c>
      <c r="AL46" s="9" t="s">
        <v>85</v>
      </c>
      <c r="AM46" s="9" t="s">
        <v>85</v>
      </c>
      <c r="AN46" s="9">
        <v>0.819277</v>
      </c>
      <c r="AO46" s="9" t="s">
        <v>85</v>
      </c>
      <c r="AP46" s="9" t="s">
        <v>85</v>
      </c>
      <c r="AQ46" s="9">
        <v>0.827309</v>
      </c>
      <c r="AR46" s="9" t="s">
        <v>85</v>
      </c>
      <c r="AS46" s="9" t="s">
        <v>85</v>
      </c>
      <c r="AT46" s="9">
        <v>0.827309</v>
      </c>
      <c r="AU46" s="9" t="s">
        <v>85</v>
      </c>
      <c r="AV46" s="9" t="s">
        <v>85</v>
      </c>
      <c r="AW46" s="9">
        <v>0.815261</v>
      </c>
      <c r="AX46" s="9" t="s">
        <v>85</v>
      </c>
      <c r="AY46" s="9" t="s">
        <v>85</v>
      </c>
      <c r="AZ46" s="9">
        <v>0.811245</v>
      </c>
      <c r="BA46" s="9" t="s">
        <v>85</v>
      </c>
      <c r="BB46" s="9" t="s">
        <v>85</v>
      </c>
      <c r="BC46" s="9">
        <v>0.819277</v>
      </c>
      <c r="BD46" s="10" t="s">
        <v>85</v>
      </c>
      <c r="BE46" s="10" t="s">
        <v>85</v>
      </c>
      <c r="BF46" s="9">
        <v>0.843373</v>
      </c>
      <c r="BG46" s="10" t="s">
        <v>85</v>
      </c>
      <c r="BH46" s="10" t="s">
        <v>85</v>
      </c>
      <c r="BI46" s="9" t="s">
        <v>85</v>
      </c>
      <c r="BJ46" s="6"/>
      <c r="BK46" s="6" t="str">
        <f t="shared" si="2"/>
        <v>20V_One_Acc</v>
      </c>
      <c r="BL46" s="6" t="str">
        <f t="shared" si="3"/>
        <v>8BoN_One_Acc</v>
      </c>
      <c r="BM46" s="6" t="str">
        <f t="shared" si="4"/>
        <v>12Bo_One_Acc</v>
      </c>
      <c r="BN46" s="6"/>
      <c r="BO46" s="6">
        <f t="shared" ref="BO46:BQ46" si="55">IF(ISNUMBER(SEARCH("5",BK46)),5,IF(ISNUMBER(SEARCH("*8*",BK46)),8,IF(ISNUMBER(SEARCH("*10*",BK46)),10,IF(ISNUMBER(SEARCH("*12*",BK46)),12,IF(ISNUMBER(SEARCH("*20*",BK46)),20)))))</f>
        <v>20</v>
      </c>
      <c r="BP46" s="6">
        <f t="shared" si="55"/>
        <v>8</v>
      </c>
      <c r="BQ46" s="6">
        <f t="shared" si="55"/>
        <v>12</v>
      </c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</row>
    <row r="47" ht="15.75" customHeight="1">
      <c r="A47" s="1" t="s">
        <v>141</v>
      </c>
      <c r="B47" s="17">
        <v>601.0</v>
      </c>
      <c r="C47" s="17">
        <v>3.0</v>
      </c>
      <c r="D47" s="17" t="s">
        <v>309</v>
      </c>
      <c r="E47" s="9" t="s">
        <v>85</v>
      </c>
      <c r="F47" s="9" t="s">
        <v>85</v>
      </c>
      <c r="G47" s="9">
        <v>0.807229</v>
      </c>
      <c r="H47" s="9" t="s">
        <v>85</v>
      </c>
      <c r="I47" s="9" t="s">
        <v>85</v>
      </c>
      <c r="J47" s="9">
        <v>0.35743</v>
      </c>
      <c r="K47" s="9" t="s">
        <v>85</v>
      </c>
      <c r="L47" s="9" t="s">
        <v>85</v>
      </c>
      <c r="M47" s="9">
        <v>0.767068</v>
      </c>
      <c r="N47" s="9" t="s">
        <v>85</v>
      </c>
      <c r="O47" s="9" t="s">
        <v>85</v>
      </c>
      <c r="P47" s="9">
        <v>0.779116</v>
      </c>
      <c r="Q47" s="9" t="s">
        <v>85</v>
      </c>
      <c r="R47" s="9" t="s">
        <v>85</v>
      </c>
      <c r="S47" s="9">
        <v>0.803213</v>
      </c>
      <c r="T47" s="9" t="s">
        <v>85</v>
      </c>
      <c r="U47" s="9" t="s">
        <v>85</v>
      </c>
      <c r="V47" s="9">
        <v>0.795181</v>
      </c>
      <c r="W47" s="9" t="s">
        <v>85</v>
      </c>
      <c r="X47" s="9" t="s">
        <v>85</v>
      </c>
      <c r="Y47" s="9">
        <v>0.787149</v>
      </c>
      <c r="Z47" s="9" t="s">
        <v>85</v>
      </c>
      <c r="AA47" s="9" t="s">
        <v>85</v>
      </c>
      <c r="AB47" s="9">
        <v>0.783133</v>
      </c>
      <c r="AC47" s="10" t="s">
        <v>85</v>
      </c>
      <c r="AD47" s="10" t="s">
        <v>85</v>
      </c>
      <c r="AE47" s="9">
        <v>0.795181</v>
      </c>
      <c r="AF47" s="9" t="s">
        <v>85</v>
      </c>
      <c r="AG47" s="9" t="s">
        <v>85</v>
      </c>
      <c r="AH47" s="9">
        <v>0.799197</v>
      </c>
      <c r="AI47" s="9" t="s">
        <v>85</v>
      </c>
      <c r="AJ47" s="9" t="s">
        <v>85</v>
      </c>
      <c r="AK47" s="9">
        <v>0.783133</v>
      </c>
      <c r="AL47" s="9" t="s">
        <v>85</v>
      </c>
      <c r="AM47" s="9" t="s">
        <v>85</v>
      </c>
      <c r="AN47" s="9">
        <v>0.783133</v>
      </c>
      <c r="AO47" s="9" t="s">
        <v>85</v>
      </c>
      <c r="AP47" s="9" t="s">
        <v>85</v>
      </c>
      <c r="AQ47" s="9">
        <v>0.803213</v>
      </c>
      <c r="AR47" s="9" t="s">
        <v>85</v>
      </c>
      <c r="AS47" s="9" t="s">
        <v>85</v>
      </c>
      <c r="AT47" s="9">
        <v>0.795181</v>
      </c>
      <c r="AU47" s="9" t="s">
        <v>85</v>
      </c>
      <c r="AV47" s="9" t="s">
        <v>85</v>
      </c>
      <c r="AW47" s="9">
        <v>0.759036</v>
      </c>
      <c r="AX47" s="9" t="s">
        <v>85</v>
      </c>
      <c r="AY47" s="9" t="s">
        <v>85</v>
      </c>
      <c r="AZ47" s="9">
        <v>0.7751</v>
      </c>
      <c r="BA47" s="9" t="s">
        <v>85</v>
      </c>
      <c r="BB47" s="9" t="s">
        <v>85</v>
      </c>
      <c r="BC47" s="9">
        <v>0.795181</v>
      </c>
      <c r="BD47" s="10" t="s">
        <v>85</v>
      </c>
      <c r="BE47" s="10" t="s">
        <v>85</v>
      </c>
      <c r="BF47" s="9">
        <v>0.783133</v>
      </c>
      <c r="BG47" s="10" t="s">
        <v>85</v>
      </c>
      <c r="BH47" s="10" t="s">
        <v>85</v>
      </c>
      <c r="BI47" s="9" t="s">
        <v>85</v>
      </c>
      <c r="BJ47" s="6"/>
      <c r="BK47" s="6" t="str">
        <f t="shared" si="2"/>
        <v>5Bo_One_Acc</v>
      </c>
      <c r="BL47" s="6" t="str">
        <f t="shared" si="3"/>
        <v>8Bo_One_Acc</v>
      </c>
      <c r="BM47" s="6" t="str">
        <f t="shared" si="4"/>
        <v>8Bo_One_Acc</v>
      </c>
      <c r="BN47" s="6"/>
      <c r="BO47" s="6">
        <f t="shared" ref="BO47:BQ47" si="56">IF(ISNUMBER(SEARCH("5",BK47)),5,IF(ISNUMBER(SEARCH("*8*",BK47)),8,IF(ISNUMBER(SEARCH("*10*",BK47)),10,IF(ISNUMBER(SEARCH("*12*",BK47)),12,IF(ISNUMBER(SEARCH("*20*",BK47)),20)))))</f>
        <v>5</v>
      </c>
      <c r="BP47" s="6">
        <f t="shared" si="56"/>
        <v>8</v>
      </c>
      <c r="BQ47" s="6">
        <f t="shared" si="56"/>
        <v>8</v>
      </c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</row>
    <row r="48" ht="15.75" customHeight="1">
      <c r="A48" s="1" t="s">
        <v>142</v>
      </c>
      <c r="B48" s="17">
        <v>24.0</v>
      </c>
      <c r="C48" s="17">
        <v>2.0</v>
      </c>
      <c r="D48" s="17" t="s">
        <v>305</v>
      </c>
      <c r="E48" s="9" t="s">
        <v>85</v>
      </c>
      <c r="F48" s="9" t="s">
        <v>85</v>
      </c>
      <c r="G48" s="9">
        <v>0.924198</v>
      </c>
      <c r="H48" s="9" t="s">
        <v>85</v>
      </c>
      <c r="I48" s="9" t="s">
        <v>85</v>
      </c>
      <c r="J48" s="9">
        <v>0.498542</v>
      </c>
      <c r="K48" s="9" t="s">
        <v>85</v>
      </c>
      <c r="L48" s="9" t="s">
        <v>85</v>
      </c>
      <c r="M48" s="9">
        <v>0.849368</v>
      </c>
      <c r="N48" s="9" t="s">
        <v>85</v>
      </c>
      <c r="O48" s="9" t="s">
        <v>85</v>
      </c>
      <c r="P48" s="9">
        <v>0.852284</v>
      </c>
      <c r="Q48" s="9" t="s">
        <v>85</v>
      </c>
      <c r="R48" s="9" t="s">
        <v>85</v>
      </c>
      <c r="S48" s="9">
        <v>0.923226</v>
      </c>
      <c r="T48" s="9" t="s">
        <v>85</v>
      </c>
      <c r="U48" s="9" t="s">
        <v>85</v>
      </c>
      <c r="V48" s="9">
        <v>0.924198</v>
      </c>
      <c r="W48" s="9" t="s">
        <v>85</v>
      </c>
      <c r="X48" s="9" t="s">
        <v>85</v>
      </c>
      <c r="Y48" s="9">
        <v>0.940719</v>
      </c>
      <c r="Z48" s="9" t="s">
        <v>85</v>
      </c>
      <c r="AA48" s="9" t="s">
        <v>85</v>
      </c>
      <c r="AB48" s="9">
        <v>0.949466</v>
      </c>
      <c r="AC48" s="10" t="s">
        <v>85</v>
      </c>
      <c r="AD48" s="10" t="s">
        <v>85</v>
      </c>
      <c r="AE48" s="9">
        <v>0.924198</v>
      </c>
      <c r="AF48" s="9" t="s">
        <v>85</v>
      </c>
      <c r="AG48" s="9" t="s">
        <v>85</v>
      </c>
      <c r="AH48" s="9">
        <v>0.926142</v>
      </c>
      <c r="AI48" s="9" t="s">
        <v>85</v>
      </c>
      <c r="AJ48" s="9" t="s">
        <v>85</v>
      </c>
      <c r="AK48" s="9">
        <v>0.891156</v>
      </c>
      <c r="AL48" s="9" t="s">
        <v>85</v>
      </c>
      <c r="AM48" s="9" t="s">
        <v>85</v>
      </c>
      <c r="AN48" s="9">
        <v>0.909621</v>
      </c>
      <c r="AO48" s="9" t="s">
        <v>85</v>
      </c>
      <c r="AP48" s="9" t="s">
        <v>85</v>
      </c>
      <c r="AQ48" s="9">
        <v>0.931973</v>
      </c>
      <c r="AR48" s="9" t="s">
        <v>85</v>
      </c>
      <c r="AS48" s="9" t="s">
        <v>85</v>
      </c>
      <c r="AT48" s="9">
        <v>0.927114</v>
      </c>
      <c r="AU48" s="9" t="s">
        <v>85</v>
      </c>
      <c r="AV48" s="9" t="s">
        <v>85</v>
      </c>
      <c r="AW48" s="9">
        <v>0.8931</v>
      </c>
      <c r="AX48" s="9" t="s">
        <v>85</v>
      </c>
      <c r="AY48" s="9" t="s">
        <v>85</v>
      </c>
      <c r="AZ48" s="9">
        <v>0.90379</v>
      </c>
      <c r="BA48" s="9" t="s">
        <v>85</v>
      </c>
      <c r="BB48" s="9" t="s">
        <v>85</v>
      </c>
      <c r="BC48" s="9">
        <v>0.889213</v>
      </c>
      <c r="BD48" s="10" t="s">
        <v>85</v>
      </c>
      <c r="BE48" s="10" t="s">
        <v>85</v>
      </c>
      <c r="BF48" s="9">
        <v>0.918367</v>
      </c>
      <c r="BG48" s="10" t="s">
        <v>85</v>
      </c>
      <c r="BH48" s="10" t="s">
        <v>85</v>
      </c>
      <c r="BI48" s="9" t="s">
        <v>85</v>
      </c>
      <c r="BJ48" s="6"/>
      <c r="BK48" s="6" t="str">
        <f t="shared" si="2"/>
        <v>8VB_One_Acc</v>
      </c>
      <c r="BL48" s="6" t="str">
        <f t="shared" si="3"/>
        <v>8V_One_Acc</v>
      </c>
      <c r="BM48" s="6" t="str">
        <f t="shared" si="4"/>
        <v>12Bo_One_Acc</v>
      </c>
      <c r="BN48" s="6"/>
      <c r="BO48" s="6">
        <f t="shared" ref="BO48:BQ48" si="57">IF(ISNUMBER(SEARCH("5",BK48)),5,IF(ISNUMBER(SEARCH("*8*",BK48)),8,IF(ISNUMBER(SEARCH("*10*",BK48)),10,IF(ISNUMBER(SEARCH("*12*",BK48)),12,IF(ISNUMBER(SEARCH("*20*",BK48)),20)))))</f>
        <v>8</v>
      </c>
      <c r="BP48" s="6">
        <f t="shared" si="57"/>
        <v>8</v>
      </c>
      <c r="BQ48" s="6">
        <f t="shared" si="57"/>
        <v>12</v>
      </c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</row>
    <row r="49" ht="15.75" customHeight="1">
      <c r="A49" s="1" t="s">
        <v>143</v>
      </c>
      <c r="B49" s="17">
        <v>720.0</v>
      </c>
      <c r="C49" s="17">
        <v>3.0</v>
      </c>
      <c r="D49" s="17" t="s">
        <v>299</v>
      </c>
      <c r="E49" s="9" t="s">
        <v>85</v>
      </c>
      <c r="F49" s="9" t="s">
        <v>85</v>
      </c>
      <c r="G49" s="9">
        <v>0.709333</v>
      </c>
      <c r="H49" s="9" t="s">
        <v>85</v>
      </c>
      <c r="I49" s="9" t="s">
        <v>85</v>
      </c>
      <c r="J49" s="9">
        <v>0.333333</v>
      </c>
      <c r="K49" s="9" t="s">
        <v>85</v>
      </c>
      <c r="L49" s="9" t="s">
        <v>85</v>
      </c>
      <c r="M49" s="9">
        <v>0.592</v>
      </c>
      <c r="N49" s="9" t="s">
        <v>85</v>
      </c>
      <c r="O49" s="9" t="s">
        <v>85</v>
      </c>
      <c r="P49" s="9">
        <v>0.6</v>
      </c>
      <c r="Q49" s="9" t="s">
        <v>85</v>
      </c>
      <c r="R49" s="9" t="s">
        <v>85</v>
      </c>
      <c r="S49" s="9">
        <v>0.674667</v>
      </c>
      <c r="T49" s="9" t="s">
        <v>85</v>
      </c>
      <c r="U49" s="9" t="s">
        <v>85</v>
      </c>
      <c r="V49" s="9">
        <v>0.677333</v>
      </c>
      <c r="W49" s="9" t="s">
        <v>85</v>
      </c>
      <c r="X49" s="9" t="s">
        <v>85</v>
      </c>
      <c r="Y49" s="9">
        <v>0.592</v>
      </c>
      <c r="Z49" s="9" t="s">
        <v>85</v>
      </c>
      <c r="AA49" s="9" t="s">
        <v>85</v>
      </c>
      <c r="AB49" s="9">
        <v>0.613333</v>
      </c>
      <c r="AC49" s="10" t="s">
        <v>85</v>
      </c>
      <c r="AD49" s="10" t="s">
        <v>85</v>
      </c>
      <c r="AE49" s="9">
        <v>0.650667</v>
      </c>
      <c r="AF49" s="9" t="s">
        <v>85</v>
      </c>
      <c r="AG49" s="9" t="s">
        <v>85</v>
      </c>
      <c r="AH49" s="9">
        <v>0.666667</v>
      </c>
      <c r="AI49" s="9" t="s">
        <v>85</v>
      </c>
      <c r="AJ49" s="9" t="s">
        <v>85</v>
      </c>
      <c r="AK49" s="9">
        <v>0.616</v>
      </c>
      <c r="AL49" s="9" t="s">
        <v>85</v>
      </c>
      <c r="AM49" s="9" t="s">
        <v>85</v>
      </c>
      <c r="AN49" s="9">
        <v>0.616</v>
      </c>
      <c r="AO49" s="9" t="s">
        <v>85</v>
      </c>
      <c r="AP49" s="9" t="s">
        <v>85</v>
      </c>
      <c r="AQ49" s="9">
        <v>0.685333</v>
      </c>
      <c r="AR49" s="9" t="s">
        <v>85</v>
      </c>
      <c r="AS49" s="9" t="s">
        <v>85</v>
      </c>
      <c r="AT49" s="9">
        <v>0.685333</v>
      </c>
      <c r="AU49" s="9" t="s">
        <v>85</v>
      </c>
      <c r="AV49" s="9" t="s">
        <v>85</v>
      </c>
      <c r="AW49" s="9">
        <v>0.6</v>
      </c>
      <c r="AX49" s="9" t="s">
        <v>85</v>
      </c>
      <c r="AY49" s="9" t="s">
        <v>85</v>
      </c>
      <c r="AZ49" s="9">
        <v>0.637333</v>
      </c>
      <c r="BA49" s="9" t="s">
        <v>85</v>
      </c>
      <c r="BB49" s="9" t="s">
        <v>85</v>
      </c>
      <c r="BC49" s="9">
        <v>0.634667</v>
      </c>
      <c r="BD49" s="10" t="s">
        <v>85</v>
      </c>
      <c r="BE49" s="10" t="s">
        <v>85</v>
      </c>
      <c r="BF49" s="9">
        <v>0.642667</v>
      </c>
      <c r="BG49" s="10" t="s">
        <v>85</v>
      </c>
      <c r="BH49" s="10" t="s">
        <v>85</v>
      </c>
      <c r="BI49" s="9" t="s">
        <v>85</v>
      </c>
      <c r="BJ49" s="6"/>
      <c r="BK49" s="6" t="str">
        <f t="shared" si="2"/>
        <v>5Bo_One_Acc</v>
      </c>
      <c r="BL49" s="6" t="str">
        <f t="shared" si="3"/>
        <v>12Bo_One_Acc</v>
      </c>
      <c r="BM49" s="6" t="str">
        <f t="shared" si="4"/>
        <v>12Bo_One_Acc</v>
      </c>
      <c r="BN49" s="6"/>
      <c r="BO49" s="6">
        <f t="shared" ref="BO49:BQ49" si="58">IF(ISNUMBER(SEARCH("5",BK49)),5,IF(ISNUMBER(SEARCH("*8*",BK49)),8,IF(ISNUMBER(SEARCH("*10*",BK49)),10,IF(ISNUMBER(SEARCH("*12*",BK49)),12,IF(ISNUMBER(SEARCH("*20*",BK49)),20)))))</f>
        <v>5</v>
      </c>
      <c r="BP49" s="6">
        <f t="shared" si="58"/>
        <v>12</v>
      </c>
      <c r="BQ49" s="6">
        <f t="shared" si="58"/>
        <v>12</v>
      </c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</row>
    <row r="50" ht="15.75" customHeight="1">
      <c r="A50" s="1" t="s">
        <v>144</v>
      </c>
      <c r="B50" s="17">
        <v>637.0</v>
      </c>
      <c r="C50" s="17">
        <v>2.0</v>
      </c>
      <c r="D50" s="17" t="s">
        <v>305</v>
      </c>
      <c r="E50" s="9" t="s">
        <v>85</v>
      </c>
      <c r="F50" s="9" t="s">
        <v>85</v>
      </c>
      <c r="G50" s="9">
        <v>0.540984</v>
      </c>
      <c r="H50" s="9" t="s">
        <v>85</v>
      </c>
      <c r="I50" s="9" t="s">
        <v>85</v>
      </c>
      <c r="J50" s="9">
        <v>0.540984</v>
      </c>
      <c r="K50" s="9" t="s">
        <v>85</v>
      </c>
      <c r="L50" s="9" t="s">
        <v>85</v>
      </c>
      <c r="M50" s="9">
        <v>0.540984</v>
      </c>
      <c r="N50" s="9" t="s">
        <v>85</v>
      </c>
      <c r="O50" s="9" t="s">
        <v>85</v>
      </c>
      <c r="P50" s="9">
        <v>0.540984</v>
      </c>
      <c r="Q50" s="9" t="s">
        <v>85</v>
      </c>
      <c r="R50" s="9" t="s">
        <v>85</v>
      </c>
      <c r="S50" s="9">
        <v>0.540984</v>
      </c>
      <c r="T50" s="9" t="s">
        <v>85</v>
      </c>
      <c r="U50" s="9" t="s">
        <v>85</v>
      </c>
      <c r="V50" s="9">
        <v>0.540984</v>
      </c>
      <c r="W50" s="9" t="s">
        <v>85</v>
      </c>
      <c r="X50" s="9" t="s">
        <v>85</v>
      </c>
      <c r="Y50" s="9">
        <v>0.540984</v>
      </c>
      <c r="Z50" s="9" t="s">
        <v>85</v>
      </c>
      <c r="AA50" s="9" t="s">
        <v>85</v>
      </c>
      <c r="AB50" s="9">
        <v>0.540984</v>
      </c>
      <c r="AC50" s="10" t="s">
        <v>85</v>
      </c>
      <c r="AD50" s="10" t="s">
        <v>85</v>
      </c>
      <c r="AE50" s="9">
        <v>0.540984</v>
      </c>
      <c r="AF50" s="9" t="s">
        <v>85</v>
      </c>
      <c r="AG50" s="9" t="s">
        <v>85</v>
      </c>
      <c r="AH50" s="9">
        <v>0.540984</v>
      </c>
      <c r="AI50" s="9" t="s">
        <v>85</v>
      </c>
      <c r="AJ50" s="9" t="s">
        <v>85</v>
      </c>
      <c r="AK50" s="9">
        <v>0.540984</v>
      </c>
      <c r="AL50" s="9" t="s">
        <v>85</v>
      </c>
      <c r="AM50" s="9" t="s">
        <v>85</v>
      </c>
      <c r="AN50" s="9">
        <v>0.540984</v>
      </c>
      <c r="AO50" s="9" t="s">
        <v>85</v>
      </c>
      <c r="AP50" s="9" t="s">
        <v>85</v>
      </c>
      <c r="AQ50" s="9">
        <v>0.540984</v>
      </c>
      <c r="AR50" s="9" t="s">
        <v>85</v>
      </c>
      <c r="AS50" s="9" t="s">
        <v>85</v>
      </c>
      <c r="AT50" s="9">
        <v>0.540984</v>
      </c>
      <c r="AU50" s="9" t="s">
        <v>85</v>
      </c>
      <c r="AV50" s="9" t="s">
        <v>85</v>
      </c>
      <c r="AW50" s="9">
        <v>0.540984</v>
      </c>
      <c r="AX50" s="9" t="s">
        <v>85</v>
      </c>
      <c r="AY50" s="9" t="s">
        <v>85</v>
      </c>
      <c r="AZ50" s="9">
        <v>0.540984</v>
      </c>
      <c r="BA50" s="9" t="s">
        <v>85</v>
      </c>
      <c r="BB50" s="9" t="s">
        <v>85</v>
      </c>
      <c r="BC50" s="9">
        <v>0.540984</v>
      </c>
      <c r="BD50" s="10" t="s">
        <v>85</v>
      </c>
      <c r="BE50" s="10" t="s">
        <v>85</v>
      </c>
      <c r="BF50" s="9">
        <v>0.540984</v>
      </c>
      <c r="BG50" s="10" t="s">
        <v>85</v>
      </c>
      <c r="BH50" s="10" t="s">
        <v>85</v>
      </c>
      <c r="BI50" s="9" t="s">
        <v>85</v>
      </c>
      <c r="BJ50" s="6"/>
      <c r="BK50" s="6" t="str">
        <f t="shared" si="2"/>
        <v>5Bo_One_Acc</v>
      </c>
      <c r="BL50" s="6" t="str">
        <f t="shared" si="3"/>
        <v>5Bo_One_Acc</v>
      </c>
      <c r="BM50" s="6" t="str">
        <f t="shared" si="4"/>
        <v>5Bo_One_Acc</v>
      </c>
      <c r="BN50" s="6"/>
      <c r="BO50" s="6">
        <f t="shared" ref="BO50:BQ50" si="59">IF(ISNUMBER(SEARCH("5",BK50)),5,IF(ISNUMBER(SEARCH("*8*",BK50)),8,IF(ISNUMBER(SEARCH("*10*",BK50)),10,IF(ISNUMBER(SEARCH("*12*",BK50)),12,IF(ISNUMBER(SEARCH("*20*",BK50)),20)))))</f>
        <v>5</v>
      </c>
      <c r="BP50" s="6">
        <f t="shared" si="59"/>
        <v>5</v>
      </c>
      <c r="BQ50" s="6">
        <f t="shared" si="59"/>
        <v>5</v>
      </c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</row>
    <row r="51" ht="15.75" customHeight="1">
      <c r="A51" s="1" t="s">
        <v>145</v>
      </c>
      <c r="B51" s="17">
        <v>319.0</v>
      </c>
      <c r="C51" s="17">
        <v>7.0</v>
      </c>
      <c r="D51" s="17" t="s">
        <v>305</v>
      </c>
      <c r="E51" s="9" t="s">
        <v>85</v>
      </c>
      <c r="F51" s="9" t="s">
        <v>85</v>
      </c>
      <c r="G51" s="9">
        <v>0.60274</v>
      </c>
      <c r="H51" s="9" t="s">
        <v>85</v>
      </c>
      <c r="I51" s="9" t="s">
        <v>85</v>
      </c>
      <c r="J51" s="9">
        <v>0.260274</v>
      </c>
      <c r="K51" s="9" t="s">
        <v>85</v>
      </c>
      <c r="L51" s="9" t="s">
        <v>85</v>
      </c>
      <c r="M51" s="9">
        <v>0.589041</v>
      </c>
      <c r="N51" s="9" t="s">
        <v>85</v>
      </c>
      <c r="O51" s="9" t="s">
        <v>85</v>
      </c>
      <c r="P51" s="9">
        <v>0.630137</v>
      </c>
      <c r="Q51" s="9" t="s">
        <v>85</v>
      </c>
      <c r="R51" s="9" t="s">
        <v>85</v>
      </c>
      <c r="S51" s="9">
        <v>0.630137</v>
      </c>
      <c r="T51" s="9" t="s">
        <v>85</v>
      </c>
      <c r="U51" s="9" t="s">
        <v>85</v>
      </c>
      <c r="V51" s="9">
        <v>0.643836</v>
      </c>
      <c r="W51" s="9" t="s">
        <v>85</v>
      </c>
      <c r="X51" s="9" t="s">
        <v>85</v>
      </c>
      <c r="Y51" s="9">
        <v>0.69863</v>
      </c>
      <c r="Z51" s="9" t="s">
        <v>85</v>
      </c>
      <c r="AA51" s="9" t="s">
        <v>85</v>
      </c>
      <c r="AB51" s="9">
        <v>0.589041</v>
      </c>
      <c r="AC51" s="10" t="s">
        <v>85</v>
      </c>
      <c r="AD51" s="10" t="s">
        <v>85</v>
      </c>
      <c r="AE51" s="9">
        <v>0.589041</v>
      </c>
      <c r="AF51" s="9" t="s">
        <v>85</v>
      </c>
      <c r="AG51" s="9" t="s">
        <v>85</v>
      </c>
      <c r="AH51" s="9">
        <v>0.60274</v>
      </c>
      <c r="AI51" s="9" t="s">
        <v>85</v>
      </c>
      <c r="AJ51" s="9" t="s">
        <v>85</v>
      </c>
      <c r="AK51" s="9">
        <v>0.643836</v>
      </c>
      <c r="AL51" s="9" t="s">
        <v>85</v>
      </c>
      <c r="AM51" s="9" t="s">
        <v>85</v>
      </c>
      <c r="AN51" s="9">
        <v>0.630137</v>
      </c>
      <c r="AO51" s="9" t="s">
        <v>85</v>
      </c>
      <c r="AP51" s="9" t="s">
        <v>85</v>
      </c>
      <c r="AQ51" s="9">
        <v>0.630137</v>
      </c>
      <c r="AR51" s="9" t="s">
        <v>85</v>
      </c>
      <c r="AS51" s="9" t="s">
        <v>85</v>
      </c>
      <c r="AT51" s="9">
        <v>0.589041</v>
      </c>
      <c r="AU51" s="9" t="s">
        <v>85</v>
      </c>
      <c r="AV51" s="9" t="s">
        <v>85</v>
      </c>
      <c r="AW51" s="9">
        <v>0.657534</v>
      </c>
      <c r="AX51" s="9" t="s">
        <v>85</v>
      </c>
      <c r="AY51" s="9" t="s">
        <v>85</v>
      </c>
      <c r="AZ51" s="9">
        <v>0.616438</v>
      </c>
      <c r="BA51" s="9" t="s">
        <v>85</v>
      </c>
      <c r="BB51" s="9" t="s">
        <v>85</v>
      </c>
      <c r="BC51" s="9">
        <v>0.589041</v>
      </c>
      <c r="BD51" s="10" t="s">
        <v>85</v>
      </c>
      <c r="BE51" s="10" t="s">
        <v>85</v>
      </c>
      <c r="BF51" s="9">
        <v>0.630137</v>
      </c>
      <c r="BG51" s="10" t="s">
        <v>85</v>
      </c>
      <c r="BH51" s="10" t="s">
        <v>85</v>
      </c>
      <c r="BI51" s="9" t="s">
        <v>85</v>
      </c>
      <c r="BJ51" s="6"/>
      <c r="BK51" s="6" t="str">
        <f t="shared" si="2"/>
        <v>8V_One_Acc</v>
      </c>
      <c r="BL51" s="6" t="str">
        <f t="shared" si="3"/>
        <v>12V_One_Acc</v>
      </c>
      <c r="BM51" s="6" t="str">
        <f t="shared" si="4"/>
        <v>8BoN_One_Acc</v>
      </c>
      <c r="BN51" s="6"/>
      <c r="BO51" s="6">
        <f t="shared" ref="BO51:BQ51" si="60">IF(ISNUMBER(SEARCH("5",BK51)),5,IF(ISNUMBER(SEARCH("*8*",BK51)),8,IF(ISNUMBER(SEARCH("*10*",BK51)),10,IF(ISNUMBER(SEARCH("*12*",BK51)),12,IF(ISNUMBER(SEARCH("*20*",BK51)),20)))))</f>
        <v>8</v>
      </c>
      <c r="BP51" s="6">
        <f t="shared" si="60"/>
        <v>12</v>
      </c>
      <c r="BQ51" s="6">
        <f t="shared" si="60"/>
        <v>8</v>
      </c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</row>
    <row r="52" ht="15.75" customHeight="1">
      <c r="A52" s="1" t="s">
        <v>146</v>
      </c>
      <c r="B52" s="17">
        <v>1024.0</v>
      </c>
      <c r="C52" s="17">
        <v>8.0</v>
      </c>
      <c r="D52" s="17" t="s">
        <v>303</v>
      </c>
      <c r="E52" s="9" t="s">
        <v>85</v>
      </c>
      <c r="F52" s="9" t="s">
        <v>85</v>
      </c>
      <c r="G52" s="9">
        <v>0.672921</v>
      </c>
      <c r="H52" s="9" t="s">
        <v>85</v>
      </c>
      <c r="I52" s="9" t="s">
        <v>85</v>
      </c>
      <c r="J52" s="9">
        <v>0.123241</v>
      </c>
      <c r="K52" s="9" t="s">
        <v>85</v>
      </c>
      <c r="L52" s="9" t="s">
        <v>85</v>
      </c>
      <c r="M52" s="9">
        <v>0.742004</v>
      </c>
      <c r="N52" s="9" t="s">
        <v>85</v>
      </c>
      <c r="O52" s="9" t="s">
        <v>85</v>
      </c>
      <c r="P52" s="9">
        <v>0.673774</v>
      </c>
      <c r="Q52" s="9" t="s">
        <v>85</v>
      </c>
      <c r="R52" s="9" t="s">
        <v>85</v>
      </c>
      <c r="S52" s="9">
        <v>0.61791</v>
      </c>
      <c r="T52" s="9" t="s">
        <v>85</v>
      </c>
      <c r="U52" s="9" t="s">
        <v>85</v>
      </c>
      <c r="V52" s="9">
        <v>0.732623</v>
      </c>
      <c r="W52" s="9" t="s">
        <v>85</v>
      </c>
      <c r="X52" s="9" t="s">
        <v>85</v>
      </c>
      <c r="Y52" s="9">
        <v>0.502772</v>
      </c>
      <c r="Z52" s="9" t="s">
        <v>85</v>
      </c>
      <c r="AA52" s="9" t="s">
        <v>85</v>
      </c>
      <c r="AB52" s="9">
        <v>0.438806</v>
      </c>
      <c r="AC52" s="10" t="s">
        <v>85</v>
      </c>
      <c r="AD52" s="10" t="s">
        <v>85</v>
      </c>
      <c r="AE52" s="9">
        <v>0.710021</v>
      </c>
      <c r="AF52" s="9" t="s">
        <v>85</v>
      </c>
      <c r="AG52" s="9" t="s">
        <v>85</v>
      </c>
      <c r="AH52" s="9">
        <v>0.696802</v>
      </c>
      <c r="AI52" s="9" t="s">
        <v>85</v>
      </c>
      <c r="AJ52" s="9" t="s">
        <v>85</v>
      </c>
      <c r="AK52" s="9">
        <v>0.580384</v>
      </c>
      <c r="AL52" s="9" t="s">
        <v>85</v>
      </c>
      <c r="AM52" s="9" t="s">
        <v>85</v>
      </c>
      <c r="AN52" s="9">
        <v>0.486567</v>
      </c>
      <c r="AO52" s="9" t="s">
        <v>85</v>
      </c>
      <c r="AP52" s="9" t="s">
        <v>85</v>
      </c>
      <c r="AQ52" s="9">
        <v>0.696802</v>
      </c>
      <c r="AR52" s="9" t="s">
        <v>85</v>
      </c>
      <c r="AS52" s="9" t="s">
        <v>85</v>
      </c>
      <c r="AT52" s="9">
        <v>0.731343</v>
      </c>
      <c r="AU52" s="9" t="s">
        <v>85</v>
      </c>
      <c r="AV52" s="9" t="s">
        <v>85</v>
      </c>
      <c r="AW52" s="9">
        <v>0.55565</v>
      </c>
      <c r="AX52" s="9" t="s">
        <v>85</v>
      </c>
      <c r="AY52" s="9" t="s">
        <v>85</v>
      </c>
      <c r="AZ52" s="9">
        <v>0.373987</v>
      </c>
      <c r="BA52" s="9" t="s">
        <v>85</v>
      </c>
      <c r="BB52" s="9" t="s">
        <v>85</v>
      </c>
      <c r="BC52" s="9">
        <v>0.736034</v>
      </c>
      <c r="BD52" s="10" t="s">
        <v>85</v>
      </c>
      <c r="BE52" s="10" t="s">
        <v>85</v>
      </c>
      <c r="BF52" s="9">
        <v>0.499787</v>
      </c>
      <c r="BG52" s="10" t="s">
        <v>85</v>
      </c>
      <c r="BH52" s="10" t="s">
        <v>85</v>
      </c>
      <c r="BI52" s="9" t="s">
        <v>85</v>
      </c>
      <c r="BJ52" s="6"/>
      <c r="BK52" s="6" t="str">
        <f t="shared" si="2"/>
        <v>5V_One_Acc</v>
      </c>
      <c r="BL52" s="6" t="str">
        <f t="shared" si="3"/>
        <v>20Bo_One_Acc</v>
      </c>
      <c r="BM52" s="6" t="str">
        <f t="shared" si="4"/>
        <v>8BoN_One_Acc</v>
      </c>
      <c r="BN52" s="6"/>
      <c r="BO52" s="6">
        <f t="shared" ref="BO52:BQ52" si="61">IF(ISNUMBER(SEARCH("5",BK52)),5,IF(ISNUMBER(SEARCH("*8*",BK52)),8,IF(ISNUMBER(SEARCH("*10*",BK52)),10,IF(ISNUMBER(SEARCH("*12*",BK52)),12,IF(ISNUMBER(SEARCH("*20*",BK52)),20)))))</f>
        <v>5</v>
      </c>
      <c r="BP52" s="6">
        <f t="shared" si="61"/>
        <v>20</v>
      </c>
      <c r="BQ52" s="6">
        <f t="shared" si="61"/>
        <v>8</v>
      </c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</row>
    <row r="53" ht="15.75" customHeight="1">
      <c r="A53" s="1" t="s">
        <v>147</v>
      </c>
      <c r="B53" s="17">
        <v>448.0</v>
      </c>
      <c r="C53" s="17">
        <v>3.0</v>
      </c>
      <c r="D53" s="17" t="s">
        <v>302</v>
      </c>
      <c r="E53" s="9" t="s">
        <v>85</v>
      </c>
      <c r="F53" s="9" t="s">
        <v>85</v>
      </c>
      <c r="G53" s="9">
        <v>0.95</v>
      </c>
      <c r="H53" s="9" t="s">
        <v>85</v>
      </c>
      <c r="I53" s="9" t="s">
        <v>85</v>
      </c>
      <c r="J53" s="9">
        <v>0.316667</v>
      </c>
      <c r="K53" s="9" t="s">
        <v>85</v>
      </c>
      <c r="L53" s="9" t="s">
        <v>85</v>
      </c>
      <c r="M53" s="9">
        <v>0.566667</v>
      </c>
      <c r="N53" s="9" t="s">
        <v>85</v>
      </c>
      <c r="O53" s="9" t="s">
        <v>85</v>
      </c>
      <c r="P53" s="9">
        <v>0.633333</v>
      </c>
      <c r="Q53" s="9" t="s">
        <v>85</v>
      </c>
      <c r="R53" s="9" t="s">
        <v>85</v>
      </c>
      <c r="S53" s="9">
        <v>0.916667</v>
      </c>
      <c r="T53" s="9" t="s">
        <v>85</v>
      </c>
      <c r="U53" s="9" t="s">
        <v>85</v>
      </c>
      <c r="V53" s="9">
        <v>0.916667</v>
      </c>
      <c r="W53" s="9" t="s">
        <v>85</v>
      </c>
      <c r="X53" s="9" t="s">
        <v>85</v>
      </c>
      <c r="Y53" s="9">
        <v>0.6</v>
      </c>
      <c r="Z53" s="9" t="s">
        <v>85</v>
      </c>
      <c r="AA53" s="9" t="s">
        <v>85</v>
      </c>
      <c r="AB53" s="9">
        <v>0.566667</v>
      </c>
      <c r="AC53" s="10" t="s">
        <v>85</v>
      </c>
      <c r="AD53" s="10" t="s">
        <v>85</v>
      </c>
      <c r="AE53" s="9">
        <v>0.95</v>
      </c>
      <c r="AF53" s="9" t="s">
        <v>85</v>
      </c>
      <c r="AG53" s="9" t="s">
        <v>85</v>
      </c>
      <c r="AH53" s="9">
        <v>0.9</v>
      </c>
      <c r="AI53" s="9" t="s">
        <v>85</v>
      </c>
      <c r="AJ53" s="9" t="s">
        <v>85</v>
      </c>
      <c r="AK53" s="9">
        <v>0.75</v>
      </c>
      <c r="AL53" s="9" t="s">
        <v>85</v>
      </c>
      <c r="AM53" s="9" t="s">
        <v>85</v>
      </c>
      <c r="AN53" s="9">
        <v>0.883333</v>
      </c>
      <c r="AO53" s="9" t="s">
        <v>85</v>
      </c>
      <c r="AP53" s="9" t="s">
        <v>85</v>
      </c>
      <c r="AQ53" s="9">
        <v>0.933333</v>
      </c>
      <c r="AR53" s="9" t="s">
        <v>85</v>
      </c>
      <c r="AS53" s="9" t="s">
        <v>85</v>
      </c>
      <c r="AT53" s="9">
        <v>0.65</v>
      </c>
      <c r="AU53" s="9" t="s">
        <v>85</v>
      </c>
      <c r="AV53" s="9" t="s">
        <v>85</v>
      </c>
      <c r="AW53" s="9">
        <v>0.55</v>
      </c>
      <c r="AX53" s="9" t="s">
        <v>85</v>
      </c>
      <c r="AY53" s="9" t="s">
        <v>85</v>
      </c>
      <c r="AZ53" s="9">
        <v>0.416667</v>
      </c>
      <c r="BA53" s="9" t="s">
        <v>85</v>
      </c>
      <c r="BB53" s="9" t="s">
        <v>85</v>
      </c>
      <c r="BC53" s="9">
        <v>0.933333</v>
      </c>
      <c r="BD53" s="10" t="s">
        <v>85</v>
      </c>
      <c r="BE53" s="10" t="s">
        <v>85</v>
      </c>
      <c r="BF53" s="9">
        <v>0.55</v>
      </c>
      <c r="BG53" s="10" t="s">
        <v>85</v>
      </c>
      <c r="BH53" s="10" t="s">
        <v>85</v>
      </c>
      <c r="BI53" s="9" t="s">
        <v>85</v>
      </c>
      <c r="BJ53" s="6"/>
      <c r="BK53" s="6" t="str">
        <f t="shared" si="2"/>
        <v>5Bo_One_Acc</v>
      </c>
      <c r="BL53" s="6" t="str">
        <f t="shared" si="3"/>
        <v>5Bo_One_Acc</v>
      </c>
      <c r="BM53" s="6" t="str">
        <f t="shared" si="4"/>
        <v>12Bo_One_Acc</v>
      </c>
      <c r="BN53" s="6"/>
      <c r="BO53" s="6">
        <f t="shared" ref="BO53:BQ53" si="62">IF(ISNUMBER(SEARCH("5",BK53)),5,IF(ISNUMBER(SEARCH("*8*",BK53)),8,IF(ISNUMBER(SEARCH("*10*",BK53)),10,IF(ISNUMBER(SEARCH("*12*",BK53)),12,IF(ISNUMBER(SEARCH("*20*",BK53)),20)))))</f>
        <v>5</v>
      </c>
      <c r="BP53" s="6">
        <f t="shared" si="62"/>
        <v>5</v>
      </c>
      <c r="BQ53" s="6">
        <f t="shared" si="62"/>
        <v>12</v>
      </c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</row>
    <row r="54" ht="15.75" customHeight="1">
      <c r="A54" s="1" t="s">
        <v>148</v>
      </c>
      <c r="B54" s="17">
        <v>99.0</v>
      </c>
      <c r="C54" s="17">
        <v>10.0</v>
      </c>
      <c r="D54" s="17" t="s">
        <v>300</v>
      </c>
      <c r="E54" s="9" t="s">
        <v>85</v>
      </c>
      <c r="F54" s="9" t="s">
        <v>85</v>
      </c>
      <c r="G54" s="9">
        <v>0.526316</v>
      </c>
      <c r="H54" s="9" t="s">
        <v>85</v>
      </c>
      <c r="I54" s="9" t="s">
        <v>85</v>
      </c>
      <c r="J54" s="9">
        <v>0.514474</v>
      </c>
      <c r="K54" s="9" t="s">
        <v>85</v>
      </c>
      <c r="L54" s="9" t="s">
        <v>85</v>
      </c>
      <c r="M54" s="9">
        <v>0.572368</v>
      </c>
      <c r="N54" s="9" t="s">
        <v>85</v>
      </c>
      <c r="O54" s="9" t="s">
        <v>85</v>
      </c>
      <c r="P54" s="9">
        <v>0.610526</v>
      </c>
      <c r="Q54" s="9" t="s">
        <v>85</v>
      </c>
      <c r="R54" s="9" t="s">
        <v>85</v>
      </c>
      <c r="S54" s="9">
        <v>0.596053</v>
      </c>
      <c r="T54" s="9" t="s">
        <v>85</v>
      </c>
      <c r="U54" s="9" t="s">
        <v>85</v>
      </c>
      <c r="V54" s="9">
        <v>0.546053</v>
      </c>
      <c r="W54" s="9" t="s">
        <v>85</v>
      </c>
      <c r="X54" s="9" t="s">
        <v>85</v>
      </c>
      <c r="Y54" s="9">
        <v>0.586842</v>
      </c>
      <c r="Z54" s="9" t="s">
        <v>85</v>
      </c>
      <c r="AA54" s="9" t="s">
        <v>85</v>
      </c>
      <c r="AB54" s="9">
        <v>0.586842</v>
      </c>
      <c r="AC54" s="10" t="s">
        <v>85</v>
      </c>
      <c r="AD54" s="10" t="s">
        <v>85</v>
      </c>
      <c r="AE54" s="9">
        <v>0.573684</v>
      </c>
      <c r="AF54" s="9" t="s">
        <v>85</v>
      </c>
      <c r="AG54" s="9" t="s">
        <v>85</v>
      </c>
      <c r="AH54" s="9">
        <v>0.586842</v>
      </c>
      <c r="AI54" s="9" t="s">
        <v>85</v>
      </c>
      <c r="AJ54" s="9" t="s">
        <v>85</v>
      </c>
      <c r="AK54" s="9">
        <v>0.564474</v>
      </c>
      <c r="AL54" s="9" t="s">
        <v>85</v>
      </c>
      <c r="AM54" s="9" t="s">
        <v>85</v>
      </c>
      <c r="AN54" s="9">
        <v>0.555263</v>
      </c>
      <c r="AO54" s="9" t="s">
        <v>85</v>
      </c>
      <c r="AP54" s="9" t="s">
        <v>85</v>
      </c>
      <c r="AQ54" s="9">
        <v>0.584211</v>
      </c>
      <c r="AR54" s="9" t="s">
        <v>85</v>
      </c>
      <c r="AS54" s="9" t="s">
        <v>85</v>
      </c>
      <c r="AT54" s="9">
        <v>0.610526</v>
      </c>
      <c r="AU54" s="9" t="s">
        <v>85</v>
      </c>
      <c r="AV54" s="9" t="s">
        <v>85</v>
      </c>
      <c r="AW54" s="9">
        <v>0.607895</v>
      </c>
      <c r="AX54" s="9" t="s">
        <v>85</v>
      </c>
      <c r="AY54" s="9" t="s">
        <v>85</v>
      </c>
      <c r="AZ54" s="9">
        <v>0.617105</v>
      </c>
      <c r="BA54" s="9" t="s">
        <v>85</v>
      </c>
      <c r="BB54" s="9" t="s">
        <v>85</v>
      </c>
      <c r="BC54" s="9">
        <v>0.607895</v>
      </c>
      <c r="BD54" s="10" t="s">
        <v>85</v>
      </c>
      <c r="BE54" s="10" t="s">
        <v>85</v>
      </c>
      <c r="BF54" s="9">
        <v>0.597368</v>
      </c>
      <c r="BG54" s="10" t="s">
        <v>85</v>
      </c>
      <c r="BH54" s="10" t="s">
        <v>85</v>
      </c>
      <c r="BI54" s="9" t="s">
        <v>85</v>
      </c>
      <c r="BJ54" s="6"/>
      <c r="BK54" s="6" t="str">
        <f t="shared" si="2"/>
        <v>12VB_One_Acc</v>
      </c>
      <c r="BL54" s="6" t="str">
        <f t="shared" si="3"/>
        <v>5VB_One_Acc</v>
      </c>
      <c r="BM54" s="6" t="str">
        <f t="shared" si="4"/>
        <v>5VB_One_Acc</v>
      </c>
      <c r="BN54" s="6"/>
      <c r="BO54" s="6">
        <f t="shared" ref="BO54:BQ54" si="63">IF(ISNUMBER(SEARCH("5",BK54)),5,IF(ISNUMBER(SEARCH("*8*",BK54)),8,IF(ISNUMBER(SEARCH("*10*",BK54)),10,IF(ISNUMBER(SEARCH("*12*",BK54)),12,IF(ISNUMBER(SEARCH("*20*",BK54)),20)))))</f>
        <v>12</v>
      </c>
      <c r="BP54" s="6">
        <f t="shared" si="63"/>
        <v>5</v>
      </c>
      <c r="BQ54" s="6">
        <f t="shared" si="63"/>
        <v>5</v>
      </c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</row>
    <row r="55" ht="15.75" customHeight="1">
      <c r="A55" s="1" t="s">
        <v>149</v>
      </c>
      <c r="B55" s="17">
        <v>80.0</v>
      </c>
      <c r="C55" s="17">
        <v>3.0</v>
      </c>
      <c r="D55" s="17" t="s">
        <v>300</v>
      </c>
      <c r="E55" s="9" t="s">
        <v>85</v>
      </c>
      <c r="F55" s="9" t="s">
        <v>85</v>
      </c>
      <c r="G55" s="9">
        <v>0.519481</v>
      </c>
      <c r="H55" s="9" t="s">
        <v>85</v>
      </c>
      <c r="I55" s="9" t="s">
        <v>85</v>
      </c>
      <c r="J55" s="9">
        <v>0.188312</v>
      </c>
      <c r="K55" s="9" t="s">
        <v>85</v>
      </c>
      <c r="L55" s="9" t="s">
        <v>85</v>
      </c>
      <c r="M55" s="9">
        <v>0.506494</v>
      </c>
      <c r="N55" s="9" t="s">
        <v>85</v>
      </c>
      <c r="O55" s="9" t="s">
        <v>85</v>
      </c>
      <c r="P55" s="9">
        <v>0.506494</v>
      </c>
      <c r="Q55" s="9" t="s">
        <v>85</v>
      </c>
      <c r="R55" s="9" t="s">
        <v>85</v>
      </c>
      <c r="S55" s="9">
        <v>0.571429</v>
      </c>
      <c r="T55" s="9" t="s">
        <v>85</v>
      </c>
      <c r="U55" s="9" t="s">
        <v>85</v>
      </c>
      <c r="V55" s="9">
        <v>0.512987</v>
      </c>
      <c r="W55" s="9" t="s">
        <v>85</v>
      </c>
      <c r="X55" s="9" t="s">
        <v>85</v>
      </c>
      <c r="Y55" s="9">
        <v>0.564935</v>
      </c>
      <c r="Z55" s="9" t="s">
        <v>85</v>
      </c>
      <c r="AA55" s="9" t="s">
        <v>85</v>
      </c>
      <c r="AB55" s="9">
        <v>0.577922</v>
      </c>
      <c r="AC55" s="10" t="s">
        <v>85</v>
      </c>
      <c r="AD55" s="10" t="s">
        <v>85</v>
      </c>
      <c r="AE55" s="9">
        <v>0.597403</v>
      </c>
      <c r="AF55" s="9" t="s">
        <v>85</v>
      </c>
      <c r="AG55" s="9" t="s">
        <v>85</v>
      </c>
      <c r="AH55" s="9">
        <v>0.564935</v>
      </c>
      <c r="AI55" s="9" t="s">
        <v>85</v>
      </c>
      <c r="AJ55" s="9" t="s">
        <v>85</v>
      </c>
      <c r="AK55" s="9">
        <v>0.564935</v>
      </c>
      <c r="AL55" s="9" t="s">
        <v>85</v>
      </c>
      <c r="AM55" s="9" t="s">
        <v>85</v>
      </c>
      <c r="AN55" s="9">
        <v>0.558442</v>
      </c>
      <c r="AO55" s="9" t="s">
        <v>85</v>
      </c>
      <c r="AP55" s="9" t="s">
        <v>85</v>
      </c>
      <c r="AQ55" s="9">
        <v>0.616883</v>
      </c>
      <c r="AR55" s="9" t="s">
        <v>85</v>
      </c>
      <c r="AS55" s="9" t="s">
        <v>85</v>
      </c>
      <c r="AT55" s="9">
        <v>0.603896</v>
      </c>
      <c r="AU55" s="9" t="s">
        <v>85</v>
      </c>
      <c r="AV55" s="9" t="s">
        <v>85</v>
      </c>
      <c r="AW55" s="9">
        <v>0.577922</v>
      </c>
      <c r="AX55" s="9" t="s">
        <v>85</v>
      </c>
      <c r="AY55" s="9" t="s">
        <v>85</v>
      </c>
      <c r="AZ55" s="9">
        <v>0.577922</v>
      </c>
      <c r="BA55" s="9" t="s">
        <v>85</v>
      </c>
      <c r="BB55" s="9" t="s">
        <v>85</v>
      </c>
      <c r="BC55" s="9">
        <v>0.62987</v>
      </c>
      <c r="BD55" s="10" t="s">
        <v>85</v>
      </c>
      <c r="BE55" s="10" t="s">
        <v>85</v>
      </c>
      <c r="BF55" s="9">
        <v>0.564935</v>
      </c>
      <c r="BG55" s="10" t="s">
        <v>85</v>
      </c>
      <c r="BH55" s="10" t="s">
        <v>85</v>
      </c>
      <c r="BI55" s="9" t="s">
        <v>85</v>
      </c>
      <c r="BJ55" s="6"/>
      <c r="BK55" s="6" t="str">
        <f t="shared" si="2"/>
        <v>20Bo_One_Acc</v>
      </c>
      <c r="BL55" s="6" t="str">
        <f t="shared" si="3"/>
        <v>12Bo_One_Acc</v>
      </c>
      <c r="BM55" s="6" t="str">
        <f t="shared" si="4"/>
        <v>12BoN_One_Acc</v>
      </c>
      <c r="BN55" s="6"/>
      <c r="BO55" s="6">
        <f t="shared" ref="BO55:BQ55" si="64">IF(ISNUMBER(SEARCH("5",BK55)),5,IF(ISNUMBER(SEARCH("*8*",BK55)),8,IF(ISNUMBER(SEARCH("*10*",BK55)),10,IF(ISNUMBER(SEARCH("*12*",BK55)),12,IF(ISNUMBER(SEARCH("*20*",BK55)),20)))))</f>
        <v>20</v>
      </c>
      <c r="BP55" s="6">
        <f t="shared" si="64"/>
        <v>12</v>
      </c>
      <c r="BQ55" s="6">
        <f t="shared" si="64"/>
        <v>12</v>
      </c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</row>
    <row r="56" ht="15.75" customHeight="1">
      <c r="A56" s="1" t="s">
        <v>150</v>
      </c>
      <c r="B56" s="17">
        <v>80.0</v>
      </c>
      <c r="C56" s="17">
        <v>2.0</v>
      </c>
      <c r="D56" s="17" t="s">
        <v>300</v>
      </c>
      <c r="E56" s="9" t="s">
        <v>85</v>
      </c>
      <c r="F56" s="9" t="s">
        <v>85</v>
      </c>
      <c r="G56" s="9">
        <v>0.666667</v>
      </c>
      <c r="H56" s="9" t="s">
        <v>85</v>
      </c>
      <c r="I56" s="9" t="s">
        <v>85</v>
      </c>
      <c r="J56" s="9">
        <v>0.570447</v>
      </c>
      <c r="K56" s="9" t="s">
        <v>85</v>
      </c>
      <c r="L56" s="9" t="s">
        <v>85</v>
      </c>
      <c r="M56" s="9">
        <v>0.790378</v>
      </c>
      <c r="N56" s="9" t="s">
        <v>85</v>
      </c>
      <c r="O56" s="9" t="s">
        <v>85</v>
      </c>
      <c r="P56" s="9">
        <v>0.75945</v>
      </c>
      <c r="Q56" s="9" t="s">
        <v>85</v>
      </c>
      <c r="R56" s="9" t="s">
        <v>85</v>
      </c>
      <c r="S56" s="9">
        <v>0.762887</v>
      </c>
      <c r="T56" s="9" t="s">
        <v>85</v>
      </c>
      <c r="U56" s="9" t="s">
        <v>85</v>
      </c>
      <c r="V56" s="9">
        <v>0.718213</v>
      </c>
      <c r="W56" s="9" t="s">
        <v>85</v>
      </c>
      <c r="X56" s="9" t="s">
        <v>85</v>
      </c>
      <c r="Y56" s="9">
        <v>0.766323</v>
      </c>
      <c r="Z56" s="9" t="s">
        <v>85</v>
      </c>
      <c r="AA56" s="9" t="s">
        <v>85</v>
      </c>
      <c r="AB56" s="9">
        <v>0.766323</v>
      </c>
      <c r="AC56" s="10" t="s">
        <v>85</v>
      </c>
      <c r="AD56" s="10" t="s">
        <v>85</v>
      </c>
      <c r="AE56" s="9">
        <v>0.725086</v>
      </c>
      <c r="AF56" s="9" t="s">
        <v>85</v>
      </c>
      <c r="AG56" s="9" t="s">
        <v>85</v>
      </c>
      <c r="AH56" s="9">
        <v>0.728522</v>
      </c>
      <c r="AI56" s="9" t="s">
        <v>85</v>
      </c>
      <c r="AJ56" s="9" t="s">
        <v>85</v>
      </c>
      <c r="AK56" s="9">
        <v>0.800687</v>
      </c>
      <c r="AL56" s="9" t="s">
        <v>85</v>
      </c>
      <c r="AM56" s="9" t="s">
        <v>85</v>
      </c>
      <c r="AN56" s="9">
        <v>0.570447</v>
      </c>
      <c r="AO56" s="9" t="s">
        <v>85</v>
      </c>
      <c r="AP56" s="9" t="s">
        <v>85</v>
      </c>
      <c r="AQ56" s="9">
        <v>0.71134</v>
      </c>
      <c r="AR56" s="9" t="s">
        <v>85</v>
      </c>
      <c r="AS56" s="9" t="s">
        <v>85</v>
      </c>
      <c r="AT56" s="9">
        <v>0.728522</v>
      </c>
      <c r="AU56" s="9" t="s">
        <v>85</v>
      </c>
      <c r="AV56" s="9" t="s">
        <v>85</v>
      </c>
      <c r="AW56" s="9">
        <v>0.800687</v>
      </c>
      <c r="AX56" s="9" t="s">
        <v>85</v>
      </c>
      <c r="AY56" s="9" t="s">
        <v>85</v>
      </c>
      <c r="AZ56" s="9">
        <v>0.790378</v>
      </c>
      <c r="BA56" s="9" t="s">
        <v>85</v>
      </c>
      <c r="BB56" s="9" t="s">
        <v>85</v>
      </c>
      <c r="BC56" s="9">
        <v>0.683849</v>
      </c>
      <c r="BD56" s="10" t="s">
        <v>85</v>
      </c>
      <c r="BE56" s="10" t="s">
        <v>85</v>
      </c>
      <c r="BF56" s="9">
        <v>0.817869</v>
      </c>
      <c r="BG56" s="10" t="s">
        <v>85</v>
      </c>
      <c r="BH56" s="10" t="s">
        <v>85</v>
      </c>
      <c r="BI56" s="9" t="s">
        <v>85</v>
      </c>
      <c r="BJ56" s="6"/>
      <c r="BK56" s="6" t="str">
        <f t="shared" si="2"/>
        <v>20V_One_Acc</v>
      </c>
      <c r="BL56" s="6" t="str">
        <f t="shared" si="3"/>
        <v>10V_One_Acc</v>
      </c>
      <c r="BM56" s="6" t="str">
        <f t="shared" si="4"/>
        <v>10V_One_Acc</v>
      </c>
      <c r="BN56" s="6"/>
      <c r="BO56" s="6">
        <f t="shared" ref="BO56:BQ56" si="65">IF(ISNUMBER(SEARCH("5",BK56)),5,IF(ISNUMBER(SEARCH("*8*",BK56)),8,IF(ISNUMBER(SEARCH("*10*",BK56)),10,IF(ISNUMBER(SEARCH("*12*",BK56)),12,IF(ISNUMBER(SEARCH("*20*",BK56)),20)))))</f>
        <v>20</v>
      </c>
      <c r="BP56" s="6">
        <f t="shared" si="65"/>
        <v>10</v>
      </c>
      <c r="BQ56" s="6">
        <f t="shared" si="65"/>
        <v>10</v>
      </c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</row>
    <row r="57" ht="15.75" customHeight="1">
      <c r="A57" s="1" t="s">
        <v>151</v>
      </c>
      <c r="B57" s="17">
        <v>80.0</v>
      </c>
      <c r="C57" s="17">
        <v>6.0</v>
      </c>
      <c r="D57" s="17" t="s">
        <v>300</v>
      </c>
      <c r="E57" s="9" t="s">
        <v>85</v>
      </c>
      <c r="F57" s="9" t="s">
        <v>85</v>
      </c>
      <c r="G57" s="9">
        <v>0.525974</v>
      </c>
      <c r="H57" s="9" t="s">
        <v>85</v>
      </c>
      <c r="I57" s="9" t="s">
        <v>85</v>
      </c>
      <c r="J57" s="9">
        <v>0.272727</v>
      </c>
      <c r="K57" s="9" t="s">
        <v>85</v>
      </c>
      <c r="L57" s="9" t="s">
        <v>85</v>
      </c>
      <c r="M57" s="9">
        <v>0.590909</v>
      </c>
      <c r="N57" s="9" t="s">
        <v>85</v>
      </c>
      <c r="O57" s="9" t="s">
        <v>85</v>
      </c>
      <c r="P57" s="9">
        <v>0.558442</v>
      </c>
      <c r="Q57" s="9" t="s">
        <v>85</v>
      </c>
      <c r="R57" s="9" t="s">
        <v>85</v>
      </c>
      <c r="S57" s="9">
        <v>0.545455</v>
      </c>
      <c r="T57" s="9" t="s">
        <v>85</v>
      </c>
      <c r="U57" s="9" t="s">
        <v>85</v>
      </c>
      <c r="V57" s="9">
        <v>0.474026</v>
      </c>
      <c r="W57" s="9" t="s">
        <v>85</v>
      </c>
      <c r="X57" s="9" t="s">
        <v>85</v>
      </c>
      <c r="Y57" s="9">
        <v>0.558442</v>
      </c>
      <c r="Z57" s="9" t="s">
        <v>85</v>
      </c>
      <c r="AA57" s="9" t="s">
        <v>85</v>
      </c>
      <c r="AB57" s="9">
        <v>0.558442</v>
      </c>
      <c r="AC57" s="10" t="s">
        <v>85</v>
      </c>
      <c r="AD57" s="10" t="s">
        <v>85</v>
      </c>
      <c r="AE57" s="9">
        <v>0.506494</v>
      </c>
      <c r="AF57" s="9" t="s">
        <v>85</v>
      </c>
      <c r="AG57" s="9" t="s">
        <v>85</v>
      </c>
      <c r="AH57" s="9">
        <v>0.519481</v>
      </c>
      <c r="AI57" s="9" t="s">
        <v>85</v>
      </c>
      <c r="AJ57" s="9" t="s">
        <v>85</v>
      </c>
      <c r="AK57" s="9">
        <v>0.571429</v>
      </c>
      <c r="AL57" s="9" t="s">
        <v>85</v>
      </c>
      <c r="AM57" s="9" t="s">
        <v>85</v>
      </c>
      <c r="AN57" s="9">
        <v>0.558442</v>
      </c>
      <c r="AO57" s="9" t="s">
        <v>85</v>
      </c>
      <c r="AP57" s="9" t="s">
        <v>85</v>
      </c>
      <c r="AQ57" s="9">
        <v>0.506494</v>
      </c>
      <c r="AR57" s="9" t="s">
        <v>85</v>
      </c>
      <c r="AS57" s="9" t="s">
        <v>85</v>
      </c>
      <c r="AT57" s="9">
        <v>0.590909</v>
      </c>
      <c r="AU57" s="9" t="s">
        <v>85</v>
      </c>
      <c r="AV57" s="9" t="s">
        <v>85</v>
      </c>
      <c r="AW57" s="9">
        <v>0.558442</v>
      </c>
      <c r="AX57" s="9" t="s">
        <v>85</v>
      </c>
      <c r="AY57" s="9" t="s">
        <v>85</v>
      </c>
      <c r="AZ57" s="9">
        <v>0.558442</v>
      </c>
      <c r="BA57" s="9" t="s">
        <v>85</v>
      </c>
      <c r="BB57" s="9" t="s">
        <v>85</v>
      </c>
      <c r="BC57" s="9">
        <v>0.538961</v>
      </c>
      <c r="BD57" s="10" t="s">
        <v>85</v>
      </c>
      <c r="BE57" s="10" t="s">
        <v>85</v>
      </c>
      <c r="BF57" s="9">
        <v>0.558442</v>
      </c>
      <c r="BG57" s="10" t="s">
        <v>85</v>
      </c>
      <c r="BH57" s="10" t="s">
        <v>85</v>
      </c>
      <c r="BI57" s="9" t="s">
        <v>85</v>
      </c>
      <c r="BJ57" s="6"/>
      <c r="BK57" s="6" t="str">
        <f t="shared" si="2"/>
        <v>5V_One_Acc</v>
      </c>
      <c r="BL57" s="6" t="str">
        <f t="shared" si="3"/>
        <v>5V_One_Acc</v>
      </c>
      <c r="BM57" s="6" t="str">
        <f t="shared" si="4"/>
        <v>10V_One_Acc</v>
      </c>
      <c r="BN57" s="6"/>
      <c r="BO57" s="6">
        <f t="shared" ref="BO57:BQ57" si="66">IF(ISNUMBER(SEARCH("5",BK57)),5,IF(ISNUMBER(SEARCH("*8*",BK57)),8,IF(ISNUMBER(SEARCH("*10*",BK57)),10,IF(ISNUMBER(SEARCH("*12*",BK57)),12,IF(ISNUMBER(SEARCH("*20*",BK57)),20)))))</f>
        <v>5</v>
      </c>
      <c r="BP57" s="6">
        <f t="shared" si="66"/>
        <v>5</v>
      </c>
      <c r="BQ57" s="6">
        <f t="shared" si="66"/>
        <v>10</v>
      </c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</row>
    <row r="58" ht="15.75" customHeight="1">
      <c r="A58" s="1" t="s">
        <v>152</v>
      </c>
      <c r="B58" s="17">
        <v>1024.0</v>
      </c>
      <c r="C58" s="17">
        <v>5.0</v>
      </c>
      <c r="D58" s="17" t="s">
        <v>300</v>
      </c>
      <c r="E58" s="9" t="s">
        <v>85</v>
      </c>
      <c r="F58" s="9" t="s">
        <v>85</v>
      </c>
      <c r="G58" s="9">
        <v>0.822268</v>
      </c>
      <c r="H58" s="9" t="s">
        <v>85</v>
      </c>
      <c r="I58" s="9" t="s">
        <v>85</v>
      </c>
      <c r="J58" s="9">
        <v>0.188866</v>
      </c>
      <c r="K58" s="9" t="s">
        <v>85</v>
      </c>
      <c r="L58" s="9" t="s">
        <v>85</v>
      </c>
      <c r="M58" s="9">
        <v>0.858969</v>
      </c>
      <c r="N58" s="9" t="s">
        <v>85</v>
      </c>
      <c r="O58" s="9" t="s">
        <v>85</v>
      </c>
      <c r="P58" s="9">
        <v>0.854021</v>
      </c>
      <c r="Q58" s="9" t="s">
        <v>85</v>
      </c>
      <c r="R58" s="9" t="s">
        <v>85</v>
      </c>
      <c r="S58" s="9">
        <v>0.863505</v>
      </c>
      <c r="T58" s="9" t="s">
        <v>85</v>
      </c>
      <c r="U58" s="9" t="s">
        <v>85</v>
      </c>
      <c r="V58" s="9">
        <v>0.85732</v>
      </c>
      <c r="W58" s="9" t="s">
        <v>85</v>
      </c>
      <c r="X58" s="9" t="s">
        <v>85</v>
      </c>
      <c r="Y58" s="9">
        <v>0.875052</v>
      </c>
      <c r="Z58" s="9" t="s">
        <v>85</v>
      </c>
      <c r="AA58" s="9" t="s">
        <v>85</v>
      </c>
      <c r="AB58" s="9">
        <v>0.86268</v>
      </c>
      <c r="AC58" s="10" t="s">
        <v>85</v>
      </c>
      <c r="AD58" s="10" t="s">
        <v>85</v>
      </c>
      <c r="AE58" s="9">
        <v>0.863505</v>
      </c>
      <c r="AF58" s="9" t="s">
        <v>85</v>
      </c>
      <c r="AG58" s="9" t="s">
        <v>85</v>
      </c>
      <c r="AH58" s="9">
        <v>0.861031</v>
      </c>
      <c r="AI58" s="9" t="s">
        <v>85</v>
      </c>
      <c r="AJ58" s="9" t="s">
        <v>85</v>
      </c>
      <c r="AK58" s="9">
        <v>0.852371</v>
      </c>
      <c r="AL58" s="9" t="s">
        <v>85</v>
      </c>
      <c r="AM58" s="9" t="s">
        <v>85</v>
      </c>
      <c r="AN58" s="9">
        <v>0.870103</v>
      </c>
      <c r="AO58" s="9" t="s">
        <v>85</v>
      </c>
      <c r="AP58" s="9" t="s">
        <v>85</v>
      </c>
      <c r="AQ58" s="9">
        <v>0.863093</v>
      </c>
      <c r="AR58" s="9" t="s">
        <v>85</v>
      </c>
      <c r="AS58" s="9" t="s">
        <v>85</v>
      </c>
      <c r="AT58" s="9">
        <v>0.862268</v>
      </c>
      <c r="AU58" s="9" t="s">
        <v>85</v>
      </c>
      <c r="AV58" s="9" t="s">
        <v>85</v>
      </c>
      <c r="AW58" s="9">
        <v>0.863918</v>
      </c>
      <c r="AX58" s="9" t="s">
        <v>85</v>
      </c>
      <c r="AY58" s="9" t="s">
        <v>85</v>
      </c>
      <c r="AZ58" s="9">
        <v>0.872577</v>
      </c>
      <c r="BA58" s="9" t="s">
        <v>85</v>
      </c>
      <c r="BB58" s="9" t="s">
        <v>85</v>
      </c>
      <c r="BC58" s="9">
        <v>0.819381</v>
      </c>
      <c r="BD58" s="10" t="s">
        <v>85</v>
      </c>
      <c r="BE58" s="10" t="s">
        <v>85</v>
      </c>
      <c r="BF58" s="9">
        <v>0.890722</v>
      </c>
      <c r="BG58" s="10" t="s">
        <v>85</v>
      </c>
      <c r="BH58" s="10" t="s">
        <v>85</v>
      </c>
      <c r="BI58" s="9" t="s">
        <v>85</v>
      </c>
      <c r="BJ58" s="6"/>
      <c r="BK58" s="6" t="str">
        <f t="shared" si="2"/>
        <v>20V_One_Acc</v>
      </c>
      <c r="BL58" s="6" t="str">
        <f t="shared" si="3"/>
        <v>8V_One_Acc</v>
      </c>
      <c r="BM58" s="6" t="str">
        <f t="shared" si="4"/>
        <v>12VB_One_Acc</v>
      </c>
      <c r="BN58" s="6"/>
      <c r="BO58" s="6">
        <f t="shared" ref="BO58:BQ58" si="67">IF(ISNUMBER(SEARCH("5",BK58)),5,IF(ISNUMBER(SEARCH("*8*",BK58)),8,IF(ISNUMBER(SEARCH("*10*",BK58)),10,IF(ISNUMBER(SEARCH("*12*",BK58)),12,IF(ISNUMBER(SEARCH("*20*",BK58)),20)))))</f>
        <v>20</v>
      </c>
      <c r="BP58" s="6">
        <f t="shared" si="67"/>
        <v>8</v>
      </c>
      <c r="BQ58" s="6">
        <f t="shared" si="67"/>
        <v>12</v>
      </c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</row>
    <row r="59" ht="15.75" customHeight="1">
      <c r="A59" s="1" t="s">
        <v>153</v>
      </c>
      <c r="B59" s="17">
        <v>1024.0</v>
      </c>
      <c r="C59" s="17">
        <v>5.0</v>
      </c>
      <c r="D59" s="17" t="s">
        <v>300</v>
      </c>
      <c r="E59" s="9" t="s">
        <v>85</v>
      </c>
      <c r="F59" s="9" t="s">
        <v>85</v>
      </c>
      <c r="G59" s="9">
        <v>0.766186</v>
      </c>
      <c r="H59" s="9" t="s">
        <v>85</v>
      </c>
      <c r="I59" s="9" t="s">
        <v>85</v>
      </c>
      <c r="J59" s="9">
        <v>0.172371</v>
      </c>
      <c r="K59" s="9" t="s">
        <v>85</v>
      </c>
      <c r="L59" s="9" t="s">
        <v>85</v>
      </c>
      <c r="M59" s="9">
        <v>0.794227</v>
      </c>
      <c r="N59" s="9" t="s">
        <v>85</v>
      </c>
      <c r="O59" s="9" t="s">
        <v>85</v>
      </c>
      <c r="P59" s="9">
        <v>0.797938</v>
      </c>
      <c r="Q59" s="9" t="s">
        <v>85</v>
      </c>
      <c r="R59" s="9" t="s">
        <v>85</v>
      </c>
      <c r="S59" s="9">
        <v>0.814433</v>
      </c>
      <c r="T59" s="9" t="s">
        <v>85</v>
      </c>
      <c r="U59" s="9" t="s">
        <v>85</v>
      </c>
      <c r="V59" s="9">
        <v>0.803299</v>
      </c>
      <c r="W59" s="9" t="s">
        <v>85</v>
      </c>
      <c r="X59" s="9" t="s">
        <v>85</v>
      </c>
      <c r="Y59" s="9">
        <v>0.814845</v>
      </c>
      <c r="Z59" s="9" t="s">
        <v>85</v>
      </c>
      <c r="AA59" s="9" t="s">
        <v>85</v>
      </c>
      <c r="AB59" s="9">
        <v>0.795876</v>
      </c>
      <c r="AC59" s="10" t="s">
        <v>85</v>
      </c>
      <c r="AD59" s="10" t="s">
        <v>85</v>
      </c>
      <c r="AE59" s="9">
        <v>0.785567</v>
      </c>
      <c r="AF59" s="9" t="s">
        <v>85</v>
      </c>
      <c r="AG59" s="9" t="s">
        <v>85</v>
      </c>
      <c r="AH59" s="9">
        <v>0.806186</v>
      </c>
      <c r="AI59" s="9" t="s">
        <v>85</v>
      </c>
      <c r="AJ59" s="9" t="s">
        <v>85</v>
      </c>
      <c r="AK59" s="9">
        <v>0.732371</v>
      </c>
      <c r="AL59" s="9" t="s">
        <v>85</v>
      </c>
      <c r="AM59" s="9" t="s">
        <v>85</v>
      </c>
      <c r="AN59" s="9">
        <v>0.849897</v>
      </c>
      <c r="AO59" s="9" t="s">
        <v>85</v>
      </c>
      <c r="AP59" s="9" t="s">
        <v>85</v>
      </c>
      <c r="AQ59" s="9">
        <v>0.804948</v>
      </c>
      <c r="AR59" s="9" t="s">
        <v>85</v>
      </c>
      <c r="AS59" s="9" t="s">
        <v>85</v>
      </c>
      <c r="AT59" s="9">
        <v>0.813608</v>
      </c>
      <c r="AU59" s="9" t="s">
        <v>85</v>
      </c>
      <c r="AV59" s="9" t="s">
        <v>85</v>
      </c>
      <c r="AW59" s="9">
        <v>0.798351</v>
      </c>
      <c r="AX59" s="9" t="s">
        <v>85</v>
      </c>
      <c r="AY59" s="9" t="s">
        <v>85</v>
      </c>
      <c r="AZ59" s="9">
        <v>0.835052</v>
      </c>
      <c r="BA59" s="9" t="s">
        <v>85</v>
      </c>
      <c r="BB59" s="9" t="s">
        <v>85</v>
      </c>
      <c r="BC59" s="9">
        <v>0.816082</v>
      </c>
      <c r="BD59" s="10" t="s">
        <v>85</v>
      </c>
      <c r="BE59" s="10" t="s">
        <v>85</v>
      </c>
      <c r="BF59" s="9">
        <v>0.840825</v>
      </c>
      <c r="BG59" s="10" t="s">
        <v>85</v>
      </c>
      <c r="BH59" s="10" t="s">
        <v>85</v>
      </c>
      <c r="BI59" s="9" t="s">
        <v>85</v>
      </c>
      <c r="BJ59" s="6"/>
      <c r="BK59" s="6" t="str">
        <f t="shared" si="2"/>
        <v>10VB_One_Acc</v>
      </c>
      <c r="BL59" s="6" t="str">
        <f t="shared" si="3"/>
        <v>20V_One_Acc</v>
      </c>
      <c r="BM59" s="6" t="str">
        <f t="shared" si="4"/>
        <v>12VB_One_Acc</v>
      </c>
      <c r="BN59" s="6"/>
      <c r="BO59" s="6">
        <f t="shared" ref="BO59:BQ59" si="68">IF(ISNUMBER(SEARCH("5",BK59)),5,IF(ISNUMBER(SEARCH("*8*",BK59)),8,IF(ISNUMBER(SEARCH("*10*",BK59)),10,IF(ISNUMBER(SEARCH("*12*",BK59)),12,IF(ISNUMBER(SEARCH("*20*",BK59)),20)))))</f>
        <v>10</v>
      </c>
      <c r="BP59" s="6">
        <f t="shared" si="68"/>
        <v>20</v>
      </c>
      <c r="BQ59" s="6">
        <f t="shared" si="68"/>
        <v>12</v>
      </c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</row>
    <row r="60" ht="15.75" customHeight="1">
      <c r="A60" s="1" t="s">
        <v>154</v>
      </c>
      <c r="B60" s="17">
        <v>84.0</v>
      </c>
      <c r="C60" s="17">
        <v>2.0</v>
      </c>
      <c r="D60" s="17" t="s">
        <v>305</v>
      </c>
      <c r="E60" s="9" t="s">
        <v>85</v>
      </c>
      <c r="F60" s="9" t="s">
        <v>85</v>
      </c>
      <c r="G60" s="9">
        <v>0.789936</v>
      </c>
      <c r="H60" s="9" t="s">
        <v>85</v>
      </c>
      <c r="I60" s="9" t="s">
        <v>85</v>
      </c>
      <c r="J60" s="9">
        <v>0.539137</v>
      </c>
      <c r="K60" s="9" t="s">
        <v>85</v>
      </c>
      <c r="L60" s="9" t="s">
        <v>85</v>
      </c>
      <c r="M60" s="9">
        <v>0.841054</v>
      </c>
      <c r="N60" s="9" t="s">
        <v>85</v>
      </c>
      <c r="O60" s="9" t="s">
        <v>85</v>
      </c>
      <c r="P60" s="9">
        <v>0.828275</v>
      </c>
      <c r="Q60" s="9" t="s">
        <v>85</v>
      </c>
      <c r="R60" s="9" t="s">
        <v>85</v>
      </c>
      <c r="S60" s="9">
        <v>0.698083</v>
      </c>
      <c r="T60" s="9" t="s">
        <v>85</v>
      </c>
      <c r="U60" s="9" t="s">
        <v>85</v>
      </c>
      <c r="V60" s="9">
        <v>0.770767</v>
      </c>
      <c r="W60" s="9" t="s">
        <v>85</v>
      </c>
      <c r="X60" s="9" t="s">
        <v>85</v>
      </c>
      <c r="Y60" s="9">
        <v>0.833067</v>
      </c>
      <c r="Z60" s="9" t="s">
        <v>85</v>
      </c>
      <c r="AA60" s="9" t="s">
        <v>85</v>
      </c>
      <c r="AB60" s="9">
        <v>0.802716</v>
      </c>
      <c r="AC60" s="10" t="s">
        <v>85</v>
      </c>
      <c r="AD60" s="10" t="s">
        <v>85</v>
      </c>
      <c r="AE60" s="9">
        <v>0.759585</v>
      </c>
      <c r="AF60" s="9" t="s">
        <v>85</v>
      </c>
      <c r="AG60" s="9" t="s">
        <v>85</v>
      </c>
      <c r="AH60" s="9">
        <v>0.741214</v>
      </c>
      <c r="AI60" s="9" t="s">
        <v>85</v>
      </c>
      <c r="AJ60" s="9" t="s">
        <v>85</v>
      </c>
      <c r="AK60" s="9">
        <v>0.829872</v>
      </c>
      <c r="AL60" s="9" t="s">
        <v>85</v>
      </c>
      <c r="AM60" s="9" t="s">
        <v>85</v>
      </c>
      <c r="AN60" s="9">
        <v>0.83147</v>
      </c>
      <c r="AO60" s="9" t="s">
        <v>85</v>
      </c>
      <c r="AP60" s="9" t="s">
        <v>85</v>
      </c>
      <c r="AQ60" s="9">
        <v>0.798722</v>
      </c>
      <c r="AR60" s="9" t="s">
        <v>85</v>
      </c>
      <c r="AS60" s="9" t="s">
        <v>85</v>
      </c>
      <c r="AT60" s="9">
        <v>0.783546</v>
      </c>
      <c r="AU60" s="9" t="s">
        <v>85</v>
      </c>
      <c r="AV60" s="9" t="s">
        <v>85</v>
      </c>
      <c r="AW60" s="9">
        <v>0.826677</v>
      </c>
      <c r="AX60" s="9" t="s">
        <v>85</v>
      </c>
      <c r="AY60" s="9" t="s">
        <v>85</v>
      </c>
      <c r="AZ60" s="9">
        <v>0.826677</v>
      </c>
      <c r="BA60" s="9" t="s">
        <v>85</v>
      </c>
      <c r="BB60" s="9" t="s">
        <v>85</v>
      </c>
      <c r="BC60" s="9">
        <v>0.724441</v>
      </c>
      <c r="BD60" s="10" t="s">
        <v>85</v>
      </c>
      <c r="BE60" s="10" t="s">
        <v>85</v>
      </c>
      <c r="BF60" s="9">
        <v>0.807508</v>
      </c>
      <c r="BG60" s="10" t="s">
        <v>85</v>
      </c>
      <c r="BH60" s="10" t="s">
        <v>85</v>
      </c>
      <c r="BI60" s="9" t="s">
        <v>85</v>
      </c>
      <c r="BJ60" s="6"/>
      <c r="BK60" s="6" t="str">
        <f t="shared" si="2"/>
        <v>5V_One_Acc</v>
      </c>
      <c r="BL60" s="6" t="str">
        <f t="shared" si="3"/>
        <v>8V_One_Acc</v>
      </c>
      <c r="BM60" s="6" t="str">
        <f t="shared" si="4"/>
        <v>10VB_One_Acc</v>
      </c>
      <c r="BN60" s="6"/>
      <c r="BO60" s="6">
        <f t="shared" ref="BO60:BQ60" si="69">IF(ISNUMBER(SEARCH("5",BK60)),5,IF(ISNUMBER(SEARCH("*8*",BK60)),8,IF(ISNUMBER(SEARCH("*10*",BK60)),10,IF(ISNUMBER(SEARCH("*12*",BK60)),12,IF(ISNUMBER(SEARCH("*20*",BK60)),20)))))</f>
        <v>5</v>
      </c>
      <c r="BP60" s="6">
        <f t="shared" si="69"/>
        <v>8</v>
      </c>
      <c r="BQ60" s="6">
        <f t="shared" si="69"/>
        <v>10</v>
      </c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</row>
    <row r="61" ht="15.75" customHeight="1">
      <c r="A61" s="1" t="s">
        <v>155</v>
      </c>
      <c r="B61" s="17">
        <v>570.0</v>
      </c>
      <c r="C61" s="17">
        <v>4.0</v>
      </c>
      <c r="D61" s="17" t="s">
        <v>302</v>
      </c>
      <c r="E61" s="9" t="s">
        <v>85</v>
      </c>
      <c r="F61" s="9" t="s">
        <v>85</v>
      </c>
      <c r="G61" s="9">
        <v>0.4</v>
      </c>
      <c r="H61" s="9" t="s">
        <v>85</v>
      </c>
      <c r="I61" s="9" t="s">
        <v>85</v>
      </c>
      <c r="J61" s="9">
        <v>0.4</v>
      </c>
      <c r="K61" s="9" t="s">
        <v>85</v>
      </c>
      <c r="L61" s="9" t="s">
        <v>85</v>
      </c>
      <c r="M61" s="9">
        <v>0.4</v>
      </c>
      <c r="N61" s="9" t="s">
        <v>85</v>
      </c>
      <c r="O61" s="9" t="s">
        <v>85</v>
      </c>
      <c r="P61" s="9">
        <v>0.4</v>
      </c>
      <c r="Q61" s="9" t="s">
        <v>85</v>
      </c>
      <c r="R61" s="9" t="s">
        <v>85</v>
      </c>
      <c r="S61" s="9">
        <v>0.4</v>
      </c>
      <c r="T61" s="9" t="s">
        <v>85</v>
      </c>
      <c r="U61" s="9" t="s">
        <v>85</v>
      </c>
      <c r="V61" s="9">
        <v>0.4</v>
      </c>
      <c r="W61" s="9" t="s">
        <v>85</v>
      </c>
      <c r="X61" s="9" t="s">
        <v>85</v>
      </c>
      <c r="Y61" s="9">
        <v>0.4</v>
      </c>
      <c r="Z61" s="9" t="s">
        <v>85</v>
      </c>
      <c r="AA61" s="9" t="s">
        <v>85</v>
      </c>
      <c r="AB61" s="9">
        <v>0.4</v>
      </c>
      <c r="AC61" s="10" t="s">
        <v>85</v>
      </c>
      <c r="AD61" s="10" t="s">
        <v>85</v>
      </c>
      <c r="AE61" s="9">
        <v>0.4</v>
      </c>
      <c r="AF61" s="9" t="s">
        <v>85</v>
      </c>
      <c r="AG61" s="9" t="s">
        <v>85</v>
      </c>
      <c r="AH61" s="9">
        <v>0.4</v>
      </c>
      <c r="AI61" s="9" t="s">
        <v>85</v>
      </c>
      <c r="AJ61" s="9" t="s">
        <v>85</v>
      </c>
      <c r="AK61" s="9">
        <v>0.4</v>
      </c>
      <c r="AL61" s="9" t="s">
        <v>85</v>
      </c>
      <c r="AM61" s="9" t="s">
        <v>85</v>
      </c>
      <c r="AN61" s="9">
        <v>0.4</v>
      </c>
      <c r="AO61" s="9" t="s">
        <v>85</v>
      </c>
      <c r="AP61" s="9" t="s">
        <v>85</v>
      </c>
      <c r="AQ61" s="9">
        <v>0.4</v>
      </c>
      <c r="AR61" s="9" t="s">
        <v>85</v>
      </c>
      <c r="AS61" s="9" t="s">
        <v>85</v>
      </c>
      <c r="AT61" s="9">
        <v>0.5</v>
      </c>
      <c r="AU61" s="9" t="s">
        <v>85</v>
      </c>
      <c r="AV61" s="9" t="s">
        <v>85</v>
      </c>
      <c r="AW61" s="9">
        <v>0.3</v>
      </c>
      <c r="AX61" s="9" t="s">
        <v>85</v>
      </c>
      <c r="AY61" s="9" t="s">
        <v>85</v>
      </c>
      <c r="AZ61" s="9">
        <v>0.4</v>
      </c>
      <c r="BA61" s="9" t="s">
        <v>85</v>
      </c>
      <c r="BB61" s="9" t="s">
        <v>85</v>
      </c>
      <c r="BC61" s="9">
        <v>0.4</v>
      </c>
      <c r="BD61" s="10" t="s">
        <v>85</v>
      </c>
      <c r="BE61" s="10" t="s">
        <v>85</v>
      </c>
      <c r="BF61" s="9">
        <v>0.4</v>
      </c>
      <c r="BG61" s="10" t="s">
        <v>85</v>
      </c>
      <c r="BH61" s="10" t="s">
        <v>85</v>
      </c>
      <c r="BI61" s="9" t="s">
        <v>85</v>
      </c>
      <c r="BJ61" s="6"/>
      <c r="BK61" s="6" t="str">
        <f t="shared" si="2"/>
        <v>12BoN_One_Acc</v>
      </c>
      <c r="BL61" s="6" t="str">
        <f t="shared" si="3"/>
        <v>5Bo_One_Acc</v>
      </c>
      <c r="BM61" s="6" t="str">
        <f t="shared" si="4"/>
        <v>5Bo_One_Acc</v>
      </c>
      <c r="BN61" s="6"/>
      <c r="BO61" s="6">
        <f t="shared" ref="BO61:BQ61" si="70">IF(ISNUMBER(SEARCH("5",BK61)),5,IF(ISNUMBER(SEARCH("*8*",BK61)),8,IF(ISNUMBER(SEARCH("*10*",BK61)),10,IF(ISNUMBER(SEARCH("*12*",BK61)),12,IF(ISNUMBER(SEARCH("*20*",BK61)),20)))))</f>
        <v>12</v>
      </c>
      <c r="BP61" s="6">
        <f t="shared" si="70"/>
        <v>5</v>
      </c>
      <c r="BQ61" s="6">
        <f t="shared" si="70"/>
        <v>5</v>
      </c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</row>
    <row r="62" ht="15.75" customHeight="1">
      <c r="A62" s="1" t="s">
        <v>156</v>
      </c>
      <c r="B62" s="17">
        <v>427.0</v>
      </c>
      <c r="C62" s="17">
        <v>6.0</v>
      </c>
      <c r="D62" s="17" t="s">
        <v>300</v>
      </c>
      <c r="E62" s="9" t="s">
        <v>85</v>
      </c>
      <c r="F62" s="9" t="s">
        <v>85</v>
      </c>
      <c r="G62" s="9">
        <v>0.421488</v>
      </c>
      <c r="H62" s="9" t="s">
        <v>85</v>
      </c>
      <c r="I62" s="9" t="s">
        <v>85</v>
      </c>
      <c r="J62" s="9">
        <v>0.181818</v>
      </c>
      <c r="K62" s="9" t="s">
        <v>85</v>
      </c>
      <c r="L62" s="9" t="s">
        <v>85</v>
      </c>
      <c r="M62" s="9">
        <v>0.450413</v>
      </c>
      <c r="N62" s="9" t="s">
        <v>85</v>
      </c>
      <c r="O62" s="9" t="s">
        <v>85</v>
      </c>
      <c r="P62" s="9">
        <v>0.409091</v>
      </c>
      <c r="Q62" s="9" t="s">
        <v>85</v>
      </c>
      <c r="R62" s="9" t="s">
        <v>85</v>
      </c>
      <c r="S62" s="9">
        <v>0.404959</v>
      </c>
      <c r="T62" s="9" t="s">
        <v>85</v>
      </c>
      <c r="U62" s="9" t="s">
        <v>85</v>
      </c>
      <c r="V62" s="9">
        <v>0.404959</v>
      </c>
      <c r="W62" s="9" t="s">
        <v>85</v>
      </c>
      <c r="X62" s="9" t="s">
        <v>85</v>
      </c>
      <c r="Y62" s="9">
        <v>0.46281</v>
      </c>
      <c r="Z62" s="9" t="s">
        <v>85</v>
      </c>
      <c r="AA62" s="9" t="s">
        <v>85</v>
      </c>
      <c r="AB62" s="9">
        <v>0.454545</v>
      </c>
      <c r="AC62" s="10" t="s">
        <v>85</v>
      </c>
      <c r="AD62" s="10" t="s">
        <v>85</v>
      </c>
      <c r="AE62" s="9">
        <v>0.495868</v>
      </c>
      <c r="AF62" s="9" t="s">
        <v>85</v>
      </c>
      <c r="AG62" s="9" t="s">
        <v>85</v>
      </c>
      <c r="AH62" s="9">
        <v>0.487603</v>
      </c>
      <c r="AI62" s="9" t="s">
        <v>85</v>
      </c>
      <c r="AJ62" s="9" t="s">
        <v>85</v>
      </c>
      <c r="AK62" s="9">
        <v>0.5</v>
      </c>
      <c r="AL62" s="9" t="s">
        <v>85</v>
      </c>
      <c r="AM62" s="9" t="s">
        <v>85</v>
      </c>
      <c r="AN62" s="9">
        <v>0.454545</v>
      </c>
      <c r="AO62" s="9" t="s">
        <v>85</v>
      </c>
      <c r="AP62" s="9" t="s">
        <v>85</v>
      </c>
      <c r="AQ62" s="9">
        <v>0.508264</v>
      </c>
      <c r="AR62" s="9" t="s">
        <v>85</v>
      </c>
      <c r="AS62" s="9" t="s">
        <v>85</v>
      </c>
      <c r="AT62" s="9">
        <v>0.5</v>
      </c>
      <c r="AU62" s="9" t="s">
        <v>85</v>
      </c>
      <c r="AV62" s="9" t="s">
        <v>85</v>
      </c>
      <c r="AW62" s="9">
        <v>0.479339</v>
      </c>
      <c r="AX62" s="9" t="s">
        <v>85</v>
      </c>
      <c r="AY62" s="9" t="s">
        <v>85</v>
      </c>
      <c r="AZ62" s="9">
        <v>0.479339</v>
      </c>
      <c r="BA62" s="9" t="s">
        <v>85</v>
      </c>
      <c r="BB62" s="9" t="s">
        <v>85</v>
      </c>
      <c r="BC62" s="9">
        <v>0.479339</v>
      </c>
      <c r="BD62" s="10" t="s">
        <v>85</v>
      </c>
      <c r="BE62" s="10" t="s">
        <v>85</v>
      </c>
      <c r="BF62" s="9">
        <v>0.495868</v>
      </c>
      <c r="BG62" s="10" t="s">
        <v>85</v>
      </c>
      <c r="BH62" s="10" t="s">
        <v>85</v>
      </c>
      <c r="BI62" s="9" t="s">
        <v>85</v>
      </c>
      <c r="BJ62" s="6"/>
      <c r="BK62" s="6" t="str">
        <f t="shared" si="2"/>
        <v>12Bo_One_Acc</v>
      </c>
      <c r="BL62" s="6" t="str">
        <f t="shared" si="3"/>
        <v>10V_One_Acc</v>
      </c>
      <c r="BM62" s="6" t="str">
        <f t="shared" si="4"/>
        <v>10V_One_Acc</v>
      </c>
      <c r="BN62" s="6"/>
      <c r="BO62" s="6">
        <f t="shared" ref="BO62:BQ62" si="71">IF(ISNUMBER(SEARCH("5",BK62)),5,IF(ISNUMBER(SEARCH("*8*",BK62)),8,IF(ISNUMBER(SEARCH("*10*",BK62)),10,IF(ISNUMBER(SEARCH("*12*",BK62)),12,IF(ISNUMBER(SEARCH("*20*",BK62)),20)))))</f>
        <v>12</v>
      </c>
      <c r="BP62" s="6">
        <f t="shared" si="71"/>
        <v>10</v>
      </c>
      <c r="BQ62" s="6">
        <f t="shared" si="71"/>
        <v>10</v>
      </c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</row>
    <row r="63" ht="15.75" customHeight="1">
      <c r="A63" s="1" t="s">
        <v>157</v>
      </c>
      <c r="B63" s="17">
        <v>80.0</v>
      </c>
      <c r="C63" s="17">
        <v>2.0</v>
      </c>
      <c r="D63" s="17" t="s">
        <v>300</v>
      </c>
      <c r="E63" s="9" t="s">
        <v>85</v>
      </c>
      <c r="F63" s="9" t="s">
        <v>85</v>
      </c>
      <c r="G63" s="9">
        <v>0.744755</v>
      </c>
      <c r="H63" s="9" t="s">
        <v>85</v>
      </c>
      <c r="I63" s="9" t="s">
        <v>85</v>
      </c>
      <c r="J63" s="9">
        <v>0.613054</v>
      </c>
      <c r="K63" s="9" t="s">
        <v>85</v>
      </c>
      <c r="L63" s="9" t="s">
        <v>85</v>
      </c>
      <c r="M63" s="9">
        <v>0.791375</v>
      </c>
      <c r="N63" s="9" t="s">
        <v>85</v>
      </c>
      <c r="O63" s="9" t="s">
        <v>85</v>
      </c>
      <c r="P63" s="9">
        <v>0.749417</v>
      </c>
      <c r="Q63" s="9" t="s">
        <v>85</v>
      </c>
      <c r="R63" s="9" t="s">
        <v>85</v>
      </c>
      <c r="S63" s="9">
        <v>0.731935</v>
      </c>
      <c r="T63" s="9" t="s">
        <v>85</v>
      </c>
      <c r="U63" s="9" t="s">
        <v>85</v>
      </c>
      <c r="V63" s="9">
        <v>0.713287</v>
      </c>
      <c r="W63" s="9" t="s">
        <v>85</v>
      </c>
      <c r="X63" s="9" t="s">
        <v>85</v>
      </c>
      <c r="Y63" s="9">
        <v>0.763403</v>
      </c>
      <c r="Z63" s="9" t="s">
        <v>85</v>
      </c>
      <c r="AA63" s="9" t="s">
        <v>85</v>
      </c>
      <c r="AB63" s="9">
        <v>0.758741</v>
      </c>
      <c r="AC63" s="10" t="s">
        <v>85</v>
      </c>
      <c r="AD63" s="10" t="s">
        <v>85</v>
      </c>
      <c r="AE63" s="9">
        <v>0.740093</v>
      </c>
      <c r="AF63" s="9" t="s">
        <v>85</v>
      </c>
      <c r="AG63" s="9" t="s">
        <v>85</v>
      </c>
      <c r="AH63" s="9">
        <v>0.761072</v>
      </c>
      <c r="AI63" s="9" t="s">
        <v>85</v>
      </c>
      <c r="AJ63" s="9" t="s">
        <v>85</v>
      </c>
      <c r="AK63" s="9">
        <v>0.754079</v>
      </c>
      <c r="AL63" s="9" t="s">
        <v>85</v>
      </c>
      <c r="AM63" s="9" t="s">
        <v>85</v>
      </c>
      <c r="AN63" s="9">
        <v>0.772727</v>
      </c>
      <c r="AO63" s="9" t="s">
        <v>85</v>
      </c>
      <c r="AP63" s="9" t="s">
        <v>85</v>
      </c>
      <c r="AQ63" s="9">
        <v>0.750583</v>
      </c>
      <c r="AR63" s="9" t="s">
        <v>85</v>
      </c>
      <c r="AS63" s="9" t="s">
        <v>85</v>
      </c>
      <c r="AT63" s="9">
        <v>0.729604</v>
      </c>
      <c r="AU63" s="9" t="s">
        <v>85</v>
      </c>
      <c r="AV63" s="9" t="s">
        <v>85</v>
      </c>
      <c r="AW63" s="9">
        <v>0.789044</v>
      </c>
      <c r="AX63" s="9" t="s">
        <v>85</v>
      </c>
      <c r="AY63" s="9" t="s">
        <v>85</v>
      </c>
      <c r="AZ63" s="9">
        <v>0.765734</v>
      </c>
      <c r="BA63" s="9" t="s">
        <v>85</v>
      </c>
      <c r="BB63" s="9" t="s">
        <v>85</v>
      </c>
      <c r="BC63" s="9">
        <v>0.75641</v>
      </c>
      <c r="BD63" s="10" t="s">
        <v>85</v>
      </c>
      <c r="BE63" s="10" t="s">
        <v>85</v>
      </c>
      <c r="BF63" s="9">
        <v>0.763403</v>
      </c>
      <c r="BG63" s="10" t="s">
        <v>85</v>
      </c>
      <c r="BH63" s="10" t="s">
        <v>85</v>
      </c>
      <c r="BI63" s="9" t="s">
        <v>85</v>
      </c>
      <c r="BJ63" s="6"/>
      <c r="BK63" s="6" t="str">
        <f t="shared" si="2"/>
        <v>5V_One_Acc</v>
      </c>
      <c r="BL63" s="6" t="str">
        <f t="shared" si="3"/>
        <v>12V_One_Acc</v>
      </c>
      <c r="BM63" s="6" t="str">
        <f t="shared" si="4"/>
        <v>10VB_One_Acc</v>
      </c>
      <c r="BN63" s="6"/>
      <c r="BO63" s="6">
        <f t="shared" ref="BO63:BQ63" si="72">IF(ISNUMBER(SEARCH("5",BK63)),5,IF(ISNUMBER(SEARCH("*8*",BK63)),8,IF(ISNUMBER(SEARCH("*10*",BK63)),10,IF(ISNUMBER(SEARCH("*12*",BK63)),12,IF(ISNUMBER(SEARCH("*20*",BK63)),20)))))</f>
        <v>5</v>
      </c>
      <c r="BP63" s="6">
        <f t="shared" si="72"/>
        <v>12</v>
      </c>
      <c r="BQ63" s="6">
        <f t="shared" si="72"/>
        <v>10</v>
      </c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</row>
    <row r="64" ht="15.75" customHeight="1">
      <c r="A64" s="1" t="s">
        <v>158</v>
      </c>
      <c r="B64" s="17">
        <v>1024.0</v>
      </c>
      <c r="C64" s="17">
        <v>39.0</v>
      </c>
      <c r="D64" s="17" t="s">
        <v>312</v>
      </c>
      <c r="E64" s="9" t="s">
        <v>85</v>
      </c>
      <c r="F64" s="9" t="s">
        <v>85</v>
      </c>
      <c r="G64" s="9">
        <v>0.141878</v>
      </c>
      <c r="H64" s="9" t="s">
        <v>85</v>
      </c>
      <c r="I64" s="9" t="s">
        <v>85</v>
      </c>
      <c r="J64" s="9">
        <v>0.068565</v>
      </c>
      <c r="K64" s="9" t="s">
        <v>85</v>
      </c>
      <c r="L64" s="9" t="s">
        <v>85</v>
      </c>
      <c r="M64" s="9">
        <v>0.160338</v>
      </c>
      <c r="N64" s="9" t="s">
        <v>85</v>
      </c>
      <c r="O64" s="9" t="s">
        <v>85</v>
      </c>
      <c r="P64" s="9">
        <v>0.1577</v>
      </c>
      <c r="Q64" s="9" t="s">
        <v>85</v>
      </c>
      <c r="R64" s="9" t="s">
        <v>85</v>
      </c>
      <c r="S64" s="9">
        <v>0.144515</v>
      </c>
      <c r="T64" s="9" t="s">
        <v>85</v>
      </c>
      <c r="U64" s="9" t="s">
        <v>85</v>
      </c>
      <c r="V64" s="9">
        <v>0.159283</v>
      </c>
      <c r="W64" s="9" t="s">
        <v>85</v>
      </c>
      <c r="X64" s="9" t="s">
        <v>85</v>
      </c>
      <c r="Y64" s="9">
        <v>0.165084</v>
      </c>
      <c r="Z64" s="9" t="s">
        <v>85</v>
      </c>
      <c r="AA64" s="9" t="s">
        <v>85</v>
      </c>
      <c r="AB64" s="9">
        <v>0.145042</v>
      </c>
      <c r="AC64" s="10" t="s">
        <v>85</v>
      </c>
      <c r="AD64" s="10" t="s">
        <v>85</v>
      </c>
      <c r="AE64" s="9">
        <v>0.144515</v>
      </c>
      <c r="AF64" s="9" t="s">
        <v>85</v>
      </c>
      <c r="AG64" s="9" t="s">
        <v>85</v>
      </c>
      <c r="AH64" s="9">
        <v>0.142405</v>
      </c>
      <c r="AI64" s="9" t="s">
        <v>85</v>
      </c>
      <c r="AJ64" s="9" t="s">
        <v>85</v>
      </c>
      <c r="AK64" s="9">
        <v>0.159283</v>
      </c>
      <c r="AL64" s="9" t="s">
        <v>85</v>
      </c>
      <c r="AM64" s="9" t="s">
        <v>85</v>
      </c>
      <c r="AN64" s="9">
        <v>0.112869</v>
      </c>
      <c r="AO64" s="9" t="s">
        <v>85</v>
      </c>
      <c r="AP64" s="9" t="s">
        <v>85</v>
      </c>
      <c r="AQ64" s="9">
        <v>0.151899</v>
      </c>
      <c r="AR64" s="9" t="s">
        <v>85</v>
      </c>
      <c r="AS64" s="9" t="s">
        <v>85</v>
      </c>
      <c r="AT64" s="9">
        <v>0.158755</v>
      </c>
      <c r="AU64" s="9" t="s">
        <v>85</v>
      </c>
      <c r="AV64" s="9" t="s">
        <v>85</v>
      </c>
      <c r="AW64" s="9">
        <v>0.150844</v>
      </c>
      <c r="AX64" s="9" t="s">
        <v>85</v>
      </c>
      <c r="AY64" s="9" t="s">
        <v>85</v>
      </c>
      <c r="AZ64" s="9">
        <v>0.162447</v>
      </c>
      <c r="BA64" s="9" t="s">
        <v>85</v>
      </c>
      <c r="BB64" s="9" t="s">
        <v>85</v>
      </c>
      <c r="BC64" s="9">
        <v>0.112869</v>
      </c>
      <c r="BD64" s="10" t="s">
        <v>85</v>
      </c>
      <c r="BE64" s="10" t="s">
        <v>85</v>
      </c>
      <c r="BF64" s="9">
        <v>0.112869</v>
      </c>
      <c r="BG64" s="10" t="s">
        <v>85</v>
      </c>
      <c r="BH64" s="10" t="s">
        <v>85</v>
      </c>
      <c r="BI64" s="9" t="s">
        <v>85</v>
      </c>
      <c r="BJ64" s="6"/>
      <c r="BK64" s="6" t="str">
        <f t="shared" si="2"/>
        <v>8V_One_Acc</v>
      </c>
      <c r="BL64" s="6" t="str">
        <f t="shared" si="3"/>
        <v>12VB_One_Acc</v>
      </c>
      <c r="BM64" s="6" t="str">
        <f t="shared" si="4"/>
        <v>5V_One_Acc</v>
      </c>
      <c r="BN64" s="6"/>
      <c r="BO64" s="6">
        <f t="shared" ref="BO64:BQ64" si="73">IF(ISNUMBER(SEARCH("5",BK64)),5,IF(ISNUMBER(SEARCH("*8*",BK64)),8,IF(ISNUMBER(SEARCH("*10*",BK64)),10,IF(ISNUMBER(SEARCH("*12*",BK64)),12,IF(ISNUMBER(SEARCH("*20*",BK64)),20)))))</f>
        <v>8</v>
      </c>
      <c r="BP64" s="6">
        <f t="shared" si="73"/>
        <v>12</v>
      </c>
      <c r="BQ64" s="6">
        <f t="shared" si="73"/>
        <v>5</v>
      </c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</row>
    <row r="65" ht="15.75" customHeight="1">
      <c r="A65" s="1" t="s">
        <v>159</v>
      </c>
      <c r="B65" s="17">
        <v>2000.0</v>
      </c>
      <c r="C65" s="17">
        <v>52.0</v>
      </c>
      <c r="D65" s="17" t="s">
        <v>310</v>
      </c>
      <c r="E65" s="9" t="s">
        <v>85</v>
      </c>
      <c r="F65" s="9" t="s">
        <v>85</v>
      </c>
      <c r="G65" s="9">
        <v>0.125</v>
      </c>
      <c r="H65" s="9" t="s">
        <v>85</v>
      </c>
      <c r="I65" s="9" t="s">
        <v>85</v>
      </c>
      <c r="J65" s="9">
        <v>0.019231</v>
      </c>
      <c r="K65" s="9" t="s">
        <v>85</v>
      </c>
      <c r="L65" s="9" t="s">
        <v>85</v>
      </c>
      <c r="M65" s="9">
        <v>0.115385</v>
      </c>
      <c r="N65" s="9" t="s">
        <v>85</v>
      </c>
      <c r="O65" s="9" t="s">
        <v>85</v>
      </c>
      <c r="P65" s="9">
        <v>0.081731</v>
      </c>
      <c r="Q65" s="9" t="s">
        <v>85</v>
      </c>
      <c r="R65" s="9" t="s">
        <v>85</v>
      </c>
      <c r="S65" s="9">
        <v>0.100962</v>
      </c>
      <c r="T65" s="9" t="s">
        <v>85</v>
      </c>
      <c r="U65" s="9" t="s">
        <v>85</v>
      </c>
      <c r="V65" s="9">
        <v>0.067308</v>
      </c>
      <c r="W65" s="9" t="s">
        <v>85</v>
      </c>
      <c r="X65" s="9" t="s">
        <v>85</v>
      </c>
      <c r="Y65" s="9">
        <v>0.0625</v>
      </c>
      <c r="Z65" s="9" t="s">
        <v>85</v>
      </c>
      <c r="AA65" s="9" t="s">
        <v>85</v>
      </c>
      <c r="AB65" s="9">
        <v>0.0625</v>
      </c>
      <c r="AC65" s="10" t="s">
        <v>85</v>
      </c>
      <c r="AD65" s="10" t="s">
        <v>85</v>
      </c>
      <c r="AE65" s="9">
        <v>0.081731</v>
      </c>
      <c r="AF65" s="9" t="s">
        <v>85</v>
      </c>
      <c r="AG65" s="9" t="s">
        <v>85</v>
      </c>
      <c r="AH65" s="9">
        <v>0.072115</v>
      </c>
      <c r="AI65" s="9" t="s">
        <v>85</v>
      </c>
      <c r="AJ65" s="9" t="s">
        <v>85</v>
      </c>
      <c r="AK65" s="9">
        <v>0.096154</v>
      </c>
      <c r="AL65" s="9" t="s">
        <v>85</v>
      </c>
      <c r="AM65" s="9" t="s">
        <v>85</v>
      </c>
      <c r="AN65" s="9">
        <v>0.057692</v>
      </c>
      <c r="AO65" s="9" t="s">
        <v>85</v>
      </c>
      <c r="AP65" s="9" t="s">
        <v>85</v>
      </c>
      <c r="AQ65" s="9">
        <v>0.072115</v>
      </c>
      <c r="AR65" s="9" t="s">
        <v>85</v>
      </c>
      <c r="AS65" s="9" t="s">
        <v>85</v>
      </c>
      <c r="AT65" s="9">
        <v>0.076923</v>
      </c>
      <c r="AU65" s="9" t="s">
        <v>85</v>
      </c>
      <c r="AV65" s="9" t="s">
        <v>85</v>
      </c>
      <c r="AW65" s="9">
        <v>0.043269</v>
      </c>
      <c r="AX65" s="9" t="s">
        <v>85</v>
      </c>
      <c r="AY65" s="9" t="s">
        <v>85</v>
      </c>
      <c r="AZ65" s="9">
        <v>0.043269</v>
      </c>
      <c r="BA65" s="9" t="s">
        <v>85</v>
      </c>
      <c r="BB65" s="9" t="s">
        <v>85</v>
      </c>
      <c r="BC65" s="9">
        <v>0.076923</v>
      </c>
      <c r="BD65" s="10" t="s">
        <v>85</v>
      </c>
      <c r="BE65" s="10" t="s">
        <v>85</v>
      </c>
      <c r="BF65" s="9">
        <v>0.057692</v>
      </c>
      <c r="BG65" s="10" t="s">
        <v>85</v>
      </c>
      <c r="BH65" s="10" t="s">
        <v>85</v>
      </c>
      <c r="BI65" s="9" t="s">
        <v>85</v>
      </c>
      <c r="BJ65" s="6"/>
      <c r="BK65" s="6" t="str">
        <f t="shared" si="2"/>
        <v>5Bo_One_Acc</v>
      </c>
      <c r="BL65" s="6" t="str">
        <f t="shared" si="3"/>
        <v>5V_One_Acc</v>
      </c>
      <c r="BM65" s="6" t="str">
        <f t="shared" si="4"/>
        <v>8Bo_One_Acc</v>
      </c>
      <c r="BN65" s="6"/>
      <c r="BO65" s="6">
        <f t="shared" ref="BO65:BQ65" si="74">IF(ISNUMBER(SEARCH("5",BK65)),5,IF(ISNUMBER(SEARCH("*8*",BK65)),8,IF(ISNUMBER(SEARCH("*10*",BK65)),10,IF(ISNUMBER(SEARCH("*12*",BK65)),12,IF(ISNUMBER(SEARCH("*20*",BK65)),20)))))</f>
        <v>5</v>
      </c>
      <c r="BP65" s="6">
        <f t="shared" si="74"/>
        <v>5</v>
      </c>
      <c r="BQ65" s="6">
        <f t="shared" si="74"/>
        <v>8</v>
      </c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</row>
    <row r="66" ht="15.75" customHeight="1">
      <c r="A66" s="1" t="s">
        <v>160</v>
      </c>
      <c r="B66" s="17">
        <v>2000.0</v>
      </c>
      <c r="C66" s="17">
        <v>52.0</v>
      </c>
      <c r="D66" s="17" t="s">
        <v>310</v>
      </c>
      <c r="E66" s="9" t="s">
        <v>85</v>
      </c>
      <c r="F66" s="9" t="s">
        <v>85</v>
      </c>
      <c r="G66" s="9">
        <v>0.072115</v>
      </c>
      <c r="H66" s="9" t="s">
        <v>85</v>
      </c>
      <c r="I66" s="9" t="s">
        <v>85</v>
      </c>
      <c r="J66" s="9">
        <v>0.019231</v>
      </c>
      <c r="K66" s="9" t="s">
        <v>85</v>
      </c>
      <c r="L66" s="9" t="s">
        <v>85</v>
      </c>
      <c r="M66" s="9">
        <v>0.149038</v>
      </c>
      <c r="N66" s="9" t="s">
        <v>85</v>
      </c>
      <c r="O66" s="9" t="s">
        <v>85</v>
      </c>
      <c r="P66" s="9">
        <v>0.173077</v>
      </c>
      <c r="Q66" s="9" t="s">
        <v>85</v>
      </c>
      <c r="R66" s="9" t="s">
        <v>85</v>
      </c>
      <c r="S66" s="9">
        <v>0.043269</v>
      </c>
      <c r="T66" s="9" t="s">
        <v>85</v>
      </c>
      <c r="U66" s="9" t="s">
        <v>85</v>
      </c>
      <c r="V66" s="9">
        <v>0.072115</v>
      </c>
      <c r="W66" s="9" t="s">
        <v>85</v>
      </c>
      <c r="X66" s="9" t="s">
        <v>85</v>
      </c>
      <c r="Y66" s="9">
        <v>0.125</v>
      </c>
      <c r="Z66" s="9" t="s">
        <v>85</v>
      </c>
      <c r="AA66" s="9" t="s">
        <v>85</v>
      </c>
      <c r="AB66" s="9">
        <v>0.043269</v>
      </c>
      <c r="AC66" s="10" t="s">
        <v>85</v>
      </c>
      <c r="AD66" s="10" t="s">
        <v>85</v>
      </c>
      <c r="AE66" s="9">
        <v>0.038462</v>
      </c>
      <c r="AF66" s="9" t="s">
        <v>85</v>
      </c>
      <c r="AG66" s="9" t="s">
        <v>85</v>
      </c>
      <c r="AH66" s="9">
        <v>0.072115</v>
      </c>
      <c r="AI66" s="9" t="s">
        <v>85</v>
      </c>
      <c r="AJ66" s="9" t="s">
        <v>85</v>
      </c>
      <c r="AK66" s="9">
        <v>0.096154</v>
      </c>
      <c r="AL66" s="9" t="s">
        <v>85</v>
      </c>
      <c r="AM66" s="9" t="s">
        <v>85</v>
      </c>
      <c r="AN66" s="9">
        <v>0.019231</v>
      </c>
      <c r="AO66" s="9" t="s">
        <v>85</v>
      </c>
      <c r="AP66" s="9" t="s">
        <v>85</v>
      </c>
      <c r="AQ66" s="9">
        <v>0.052885</v>
      </c>
      <c r="AR66" s="9" t="s">
        <v>85</v>
      </c>
      <c r="AS66" s="9" t="s">
        <v>85</v>
      </c>
      <c r="AT66" s="9">
        <v>0.057692</v>
      </c>
      <c r="AU66" s="9" t="s">
        <v>85</v>
      </c>
      <c r="AV66" s="9" t="s">
        <v>85</v>
      </c>
      <c r="AW66" s="9">
        <v>0.043269</v>
      </c>
      <c r="AX66" s="9" t="s">
        <v>85</v>
      </c>
      <c r="AY66" s="9" t="s">
        <v>85</v>
      </c>
      <c r="AZ66" s="9">
        <v>0.019231</v>
      </c>
      <c r="BA66" s="9" t="s">
        <v>85</v>
      </c>
      <c r="BB66" s="9" t="s">
        <v>85</v>
      </c>
      <c r="BC66" s="9">
        <v>0.072115</v>
      </c>
      <c r="BD66" s="10" t="s">
        <v>85</v>
      </c>
      <c r="BE66" s="10" t="s">
        <v>85</v>
      </c>
      <c r="BF66" s="9">
        <v>0.024038</v>
      </c>
      <c r="BG66" s="10" t="s">
        <v>85</v>
      </c>
      <c r="BH66" s="10" t="s">
        <v>85</v>
      </c>
      <c r="BI66" s="9" t="s">
        <v>85</v>
      </c>
      <c r="BJ66" s="6"/>
      <c r="BK66" s="6" t="str">
        <f t="shared" si="2"/>
        <v>5VB_One_Acc</v>
      </c>
      <c r="BL66" s="6" t="str">
        <f t="shared" si="3"/>
        <v>5V_One_Acc</v>
      </c>
      <c r="BM66" s="6" t="str">
        <f t="shared" si="4"/>
        <v>8V_One_Acc</v>
      </c>
      <c r="BN66" s="6"/>
      <c r="BO66" s="6">
        <f t="shared" ref="BO66:BQ66" si="75">IF(ISNUMBER(SEARCH("5",BK66)),5,IF(ISNUMBER(SEARCH("*8*",BK66)),8,IF(ISNUMBER(SEARCH("*10*",BK66)),10,IF(ISNUMBER(SEARCH("*12*",BK66)),12,IF(ISNUMBER(SEARCH("*20*",BK66)),20)))))</f>
        <v>5</v>
      </c>
      <c r="BP66" s="6">
        <f t="shared" si="75"/>
        <v>5</v>
      </c>
      <c r="BQ66" s="6">
        <f t="shared" si="75"/>
        <v>8</v>
      </c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</row>
    <row r="67" ht="15.75" customHeight="1">
      <c r="A67" s="1" t="s">
        <v>161</v>
      </c>
      <c r="B67" s="17">
        <v>2000.0</v>
      </c>
      <c r="C67" s="17">
        <v>52.0</v>
      </c>
      <c r="D67" s="17" t="s">
        <v>310</v>
      </c>
      <c r="E67" s="9" t="s">
        <v>85</v>
      </c>
      <c r="F67" s="9" t="s">
        <v>85</v>
      </c>
      <c r="G67" s="9">
        <v>0.100962</v>
      </c>
      <c r="H67" s="9" t="s">
        <v>85</v>
      </c>
      <c r="I67" s="9" t="s">
        <v>85</v>
      </c>
      <c r="J67" s="9">
        <v>0.019231</v>
      </c>
      <c r="K67" s="9" t="s">
        <v>85</v>
      </c>
      <c r="L67" s="9" t="s">
        <v>85</v>
      </c>
      <c r="M67" s="9">
        <v>0.067308</v>
      </c>
      <c r="N67" s="9" t="s">
        <v>85</v>
      </c>
      <c r="O67" s="9" t="s">
        <v>85</v>
      </c>
      <c r="P67" s="9">
        <v>0.0625</v>
      </c>
      <c r="Q67" s="9" t="s">
        <v>85</v>
      </c>
      <c r="R67" s="9" t="s">
        <v>85</v>
      </c>
      <c r="S67" s="9">
        <v>0.057692</v>
      </c>
      <c r="T67" s="9" t="s">
        <v>85</v>
      </c>
      <c r="U67" s="9" t="s">
        <v>85</v>
      </c>
      <c r="V67" s="9">
        <v>0.028846</v>
      </c>
      <c r="W67" s="9" t="s">
        <v>85</v>
      </c>
      <c r="X67" s="9" t="s">
        <v>85</v>
      </c>
      <c r="Y67" s="9">
        <v>0.067308</v>
      </c>
      <c r="Z67" s="9" t="s">
        <v>85</v>
      </c>
      <c r="AA67" s="9" t="s">
        <v>85</v>
      </c>
      <c r="AB67" s="9">
        <v>0.043269</v>
      </c>
      <c r="AC67" s="10" t="s">
        <v>85</v>
      </c>
      <c r="AD67" s="10" t="s">
        <v>85</v>
      </c>
      <c r="AE67" s="9">
        <v>0.038462</v>
      </c>
      <c r="AF67" s="9" t="s">
        <v>85</v>
      </c>
      <c r="AG67" s="9" t="s">
        <v>85</v>
      </c>
      <c r="AH67" s="9">
        <v>0.052885</v>
      </c>
      <c r="AI67" s="9" t="s">
        <v>85</v>
      </c>
      <c r="AJ67" s="9" t="s">
        <v>85</v>
      </c>
      <c r="AK67" s="9">
        <v>0.057692</v>
      </c>
      <c r="AL67" s="9" t="s">
        <v>85</v>
      </c>
      <c r="AM67" s="9" t="s">
        <v>85</v>
      </c>
      <c r="AN67" s="9">
        <v>0.028846</v>
      </c>
      <c r="AO67" s="9" t="s">
        <v>85</v>
      </c>
      <c r="AP67" s="9" t="s">
        <v>85</v>
      </c>
      <c r="AQ67" s="9">
        <v>0.038462</v>
      </c>
      <c r="AR67" s="9" t="s">
        <v>85</v>
      </c>
      <c r="AS67" s="9" t="s">
        <v>85</v>
      </c>
      <c r="AT67" s="9">
        <v>0.057692</v>
      </c>
      <c r="AU67" s="9" t="s">
        <v>85</v>
      </c>
      <c r="AV67" s="9" t="s">
        <v>85</v>
      </c>
      <c r="AW67" s="9">
        <v>0.043269</v>
      </c>
      <c r="AX67" s="9" t="s">
        <v>85</v>
      </c>
      <c r="AY67" s="9" t="s">
        <v>85</v>
      </c>
      <c r="AZ67" s="9">
        <v>0.028846</v>
      </c>
      <c r="BA67" s="9" t="s">
        <v>85</v>
      </c>
      <c r="BB67" s="9" t="s">
        <v>85</v>
      </c>
      <c r="BC67" s="9">
        <v>0.076923</v>
      </c>
      <c r="BD67" s="10" t="s">
        <v>85</v>
      </c>
      <c r="BE67" s="10" t="s">
        <v>85</v>
      </c>
      <c r="BF67" s="9">
        <v>0.019231</v>
      </c>
      <c r="BG67" s="10" t="s">
        <v>85</v>
      </c>
      <c r="BH67" s="10" t="s">
        <v>85</v>
      </c>
      <c r="BI67" s="9" t="s">
        <v>85</v>
      </c>
      <c r="BJ67" s="6"/>
      <c r="BK67" s="6" t="str">
        <f t="shared" si="2"/>
        <v>5Bo_One_Acc</v>
      </c>
      <c r="BL67" s="6" t="str">
        <f t="shared" si="3"/>
        <v>20Bo_One_Acc</v>
      </c>
      <c r="BM67" s="6" t="str">
        <f t="shared" si="4"/>
        <v>5V_One_Acc</v>
      </c>
      <c r="BN67" s="6"/>
      <c r="BO67" s="6">
        <f t="shared" ref="BO67:BQ67" si="76">IF(ISNUMBER(SEARCH("5",BK67)),5,IF(ISNUMBER(SEARCH("*8*",BK67)),8,IF(ISNUMBER(SEARCH("*10*",BK67)),10,IF(ISNUMBER(SEARCH("*12*",BK67)),12,IF(ISNUMBER(SEARCH("*20*",BK67)),20)))))</f>
        <v>5</v>
      </c>
      <c r="BP67" s="6">
        <f t="shared" si="76"/>
        <v>20</v>
      </c>
      <c r="BQ67" s="6">
        <f t="shared" si="76"/>
        <v>5</v>
      </c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</row>
    <row r="68" ht="15.75" customHeight="1">
      <c r="A68" s="1" t="s">
        <v>162</v>
      </c>
      <c r="B68" s="17">
        <v>144.0</v>
      </c>
      <c r="C68" s="17">
        <v>7.0</v>
      </c>
      <c r="D68" s="17" t="s">
        <v>305</v>
      </c>
      <c r="E68" s="9" t="s">
        <v>85</v>
      </c>
      <c r="F68" s="9" t="s">
        <v>85</v>
      </c>
      <c r="G68" s="9">
        <v>0.971429</v>
      </c>
      <c r="H68" s="9" t="s">
        <v>85</v>
      </c>
      <c r="I68" s="9" t="s">
        <v>85</v>
      </c>
      <c r="J68" s="9">
        <v>0.095238</v>
      </c>
      <c r="K68" s="9" t="s">
        <v>85</v>
      </c>
      <c r="L68" s="9" t="s">
        <v>85</v>
      </c>
      <c r="M68" s="9">
        <v>0.990476</v>
      </c>
      <c r="N68" s="9" t="s">
        <v>85</v>
      </c>
      <c r="O68" s="9" t="s">
        <v>85</v>
      </c>
      <c r="P68" s="9">
        <v>0.990476</v>
      </c>
      <c r="Q68" s="9" t="s">
        <v>85</v>
      </c>
      <c r="R68" s="9" t="s">
        <v>85</v>
      </c>
      <c r="S68" s="9">
        <v>1.0</v>
      </c>
      <c r="T68" s="9" t="s">
        <v>85</v>
      </c>
      <c r="U68" s="9" t="s">
        <v>85</v>
      </c>
      <c r="V68" s="9">
        <v>1.0</v>
      </c>
      <c r="W68" s="9" t="s">
        <v>85</v>
      </c>
      <c r="X68" s="9" t="s">
        <v>85</v>
      </c>
      <c r="Y68" s="9">
        <v>0.990476</v>
      </c>
      <c r="Z68" s="9" t="s">
        <v>85</v>
      </c>
      <c r="AA68" s="9" t="s">
        <v>85</v>
      </c>
      <c r="AB68" s="9">
        <v>0.971429</v>
      </c>
      <c r="AC68" s="10" t="s">
        <v>85</v>
      </c>
      <c r="AD68" s="10" t="s">
        <v>85</v>
      </c>
      <c r="AE68" s="9">
        <v>1.0</v>
      </c>
      <c r="AF68" s="9" t="s">
        <v>85</v>
      </c>
      <c r="AG68" s="9" t="s">
        <v>85</v>
      </c>
      <c r="AH68" s="9">
        <v>0.990476</v>
      </c>
      <c r="AI68" s="9" t="s">
        <v>85</v>
      </c>
      <c r="AJ68" s="9" t="s">
        <v>85</v>
      </c>
      <c r="AK68" s="9">
        <v>0.990476</v>
      </c>
      <c r="AL68" s="9" t="s">
        <v>85</v>
      </c>
      <c r="AM68" s="9" t="s">
        <v>85</v>
      </c>
      <c r="AN68" s="9">
        <v>0.961905</v>
      </c>
      <c r="AO68" s="9" t="s">
        <v>85</v>
      </c>
      <c r="AP68" s="9" t="s">
        <v>85</v>
      </c>
      <c r="AQ68" s="9">
        <v>0.933333</v>
      </c>
      <c r="AR68" s="9" t="s">
        <v>85</v>
      </c>
      <c r="AS68" s="9" t="s">
        <v>85</v>
      </c>
      <c r="AT68" s="9">
        <v>1.0</v>
      </c>
      <c r="AU68" s="9" t="s">
        <v>85</v>
      </c>
      <c r="AV68" s="9" t="s">
        <v>85</v>
      </c>
      <c r="AW68" s="9">
        <v>0.990476</v>
      </c>
      <c r="AX68" s="9" t="s">
        <v>85</v>
      </c>
      <c r="AY68" s="9" t="s">
        <v>85</v>
      </c>
      <c r="AZ68" s="9">
        <v>0.980952</v>
      </c>
      <c r="BA68" s="9" t="s">
        <v>85</v>
      </c>
      <c r="BB68" s="9" t="s">
        <v>85</v>
      </c>
      <c r="BC68" s="9">
        <v>1.0</v>
      </c>
      <c r="BD68" s="10" t="s">
        <v>85</v>
      </c>
      <c r="BE68" s="10" t="s">
        <v>85</v>
      </c>
      <c r="BF68" s="9">
        <v>0.990476</v>
      </c>
      <c r="BG68" s="10" t="s">
        <v>85</v>
      </c>
      <c r="BH68" s="10" t="s">
        <v>85</v>
      </c>
      <c r="BI68" s="9" t="s">
        <v>85</v>
      </c>
      <c r="BJ68" s="6"/>
      <c r="BK68" s="6" t="str">
        <f t="shared" si="2"/>
        <v>8Bo_One_Acc</v>
      </c>
      <c r="BL68" s="6" t="str">
        <f t="shared" si="3"/>
        <v>8Bo_One_Acc</v>
      </c>
      <c r="BM68" s="6" t="str">
        <f t="shared" si="4"/>
        <v>8Bo_One_Acc</v>
      </c>
      <c r="BN68" s="6"/>
      <c r="BO68" s="6">
        <f t="shared" ref="BO68:BQ68" si="77">IF(ISNUMBER(SEARCH("5",BK68)),5,IF(ISNUMBER(SEARCH("*8*",BK68)),8,IF(ISNUMBER(SEARCH("*10*",BK68)),10,IF(ISNUMBER(SEARCH("*12*",BK68)),12,IF(ISNUMBER(SEARCH("*20*",BK68)),20)))))</f>
        <v>8</v>
      </c>
      <c r="BP68" s="6">
        <f t="shared" si="77"/>
        <v>8</v>
      </c>
      <c r="BQ68" s="6">
        <f t="shared" si="77"/>
        <v>8</v>
      </c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</row>
    <row r="69" ht="15.75" customHeight="1">
      <c r="A69" s="1" t="s">
        <v>163</v>
      </c>
      <c r="B69" s="17">
        <v>80.0</v>
      </c>
      <c r="C69" s="17">
        <v>3.0</v>
      </c>
      <c r="D69" s="17" t="s">
        <v>300</v>
      </c>
      <c r="E69" s="9" t="s">
        <v>85</v>
      </c>
      <c r="F69" s="9" t="s">
        <v>85</v>
      </c>
      <c r="G69" s="9">
        <v>0.834146</v>
      </c>
      <c r="H69" s="9" t="s">
        <v>85</v>
      </c>
      <c r="I69" s="9" t="s">
        <v>85</v>
      </c>
      <c r="J69" s="9">
        <v>0.487805</v>
      </c>
      <c r="K69" s="9" t="s">
        <v>85</v>
      </c>
      <c r="L69" s="9" t="s">
        <v>85</v>
      </c>
      <c r="M69" s="9">
        <v>0.868293</v>
      </c>
      <c r="N69" s="9" t="s">
        <v>85</v>
      </c>
      <c r="O69" s="9" t="s">
        <v>85</v>
      </c>
      <c r="P69" s="9">
        <v>0.839024</v>
      </c>
      <c r="Q69" s="9" t="s">
        <v>85</v>
      </c>
      <c r="R69" s="9" t="s">
        <v>85</v>
      </c>
      <c r="S69" s="9">
        <v>0.809756</v>
      </c>
      <c r="T69" s="9" t="s">
        <v>85</v>
      </c>
      <c r="U69" s="9" t="s">
        <v>85</v>
      </c>
      <c r="V69" s="9">
        <v>0.809756</v>
      </c>
      <c r="W69" s="9" t="s">
        <v>85</v>
      </c>
      <c r="X69" s="9" t="s">
        <v>85</v>
      </c>
      <c r="Y69" s="9">
        <v>0.848781</v>
      </c>
      <c r="Z69" s="9" t="s">
        <v>85</v>
      </c>
      <c r="AA69" s="9" t="s">
        <v>85</v>
      </c>
      <c r="AB69" s="9">
        <v>0.848781</v>
      </c>
      <c r="AC69" s="10" t="s">
        <v>85</v>
      </c>
      <c r="AD69" s="10" t="s">
        <v>85</v>
      </c>
      <c r="AE69" s="9">
        <v>0.829268</v>
      </c>
      <c r="AF69" s="9" t="s">
        <v>85</v>
      </c>
      <c r="AG69" s="9" t="s">
        <v>85</v>
      </c>
      <c r="AH69" s="9">
        <v>0.82439</v>
      </c>
      <c r="AI69" s="9" t="s">
        <v>85</v>
      </c>
      <c r="AJ69" s="9" t="s">
        <v>85</v>
      </c>
      <c r="AK69" s="9">
        <v>0.843902</v>
      </c>
      <c r="AL69" s="9" t="s">
        <v>85</v>
      </c>
      <c r="AM69" s="9" t="s">
        <v>85</v>
      </c>
      <c r="AN69" s="9">
        <v>0.843902</v>
      </c>
      <c r="AO69" s="9" t="s">
        <v>85</v>
      </c>
      <c r="AP69" s="9" t="s">
        <v>85</v>
      </c>
      <c r="AQ69" s="9">
        <v>0.848781</v>
      </c>
      <c r="AR69" s="9" t="s">
        <v>85</v>
      </c>
      <c r="AS69" s="9" t="s">
        <v>85</v>
      </c>
      <c r="AT69" s="9">
        <v>0.82439</v>
      </c>
      <c r="AU69" s="9" t="s">
        <v>85</v>
      </c>
      <c r="AV69" s="9" t="s">
        <v>85</v>
      </c>
      <c r="AW69" s="9">
        <v>0.834146</v>
      </c>
      <c r="AX69" s="9" t="s">
        <v>85</v>
      </c>
      <c r="AY69" s="9" t="s">
        <v>85</v>
      </c>
      <c r="AZ69" s="9">
        <v>0.848781</v>
      </c>
      <c r="BA69" s="9" t="s">
        <v>85</v>
      </c>
      <c r="BB69" s="9" t="s">
        <v>85</v>
      </c>
      <c r="BC69" s="9">
        <v>0.839024</v>
      </c>
      <c r="BD69" s="10" t="s">
        <v>85</v>
      </c>
      <c r="BE69" s="10" t="s">
        <v>85</v>
      </c>
      <c r="BF69" s="9">
        <v>0.843902</v>
      </c>
      <c r="BG69" s="10" t="s">
        <v>85</v>
      </c>
      <c r="BH69" s="10" t="s">
        <v>85</v>
      </c>
      <c r="BI69" s="9" t="s">
        <v>85</v>
      </c>
      <c r="BJ69" s="6"/>
      <c r="BK69" s="6" t="str">
        <f t="shared" si="2"/>
        <v>5V_One_Acc</v>
      </c>
      <c r="BL69" s="6" t="str">
        <f t="shared" si="3"/>
        <v>8V_One_Acc</v>
      </c>
      <c r="BM69" s="6" t="str">
        <f t="shared" si="4"/>
        <v>8V_One_Acc</v>
      </c>
      <c r="BN69" s="6"/>
      <c r="BO69" s="6">
        <f t="shared" ref="BO69:BQ69" si="78">IF(ISNUMBER(SEARCH("5",BK69)),5,IF(ISNUMBER(SEARCH("*8*",BK69)),8,IF(ISNUMBER(SEARCH("*10*",BK69)),10,IF(ISNUMBER(SEARCH("*12*",BK69)),12,IF(ISNUMBER(SEARCH("*20*",BK69)),20)))))</f>
        <v>5</v>
      </c>
      <c r="BP69" s="6">
        <f t="shared" si="78"/>
        <v>8</v>
      </c>
      <c r="BQ69" s="6">
        <f t="shared" si="78"/>
        <v>8</v>
      </c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</row>
    <row r="70" ht="15.75" customHeight="1">
      <c r="A70" s="1" t="s">
        <v>164</v>
      </c>
      <c r="B70" s="17">
        <v>80.0</v>
      </c>
      <c r="C70" s="17">
        <v>2.0</v>
      </c>
      <c r="D70" s="17" t="s">
        <v>300</v>
      </c>
      <c r="E70" s="9" t="s">
        <v>85</v>
      </c>
      <c r="F70" s="9" t="s">
        <v>85</v>
      </c>
      <c r="G70" s="9">
        <v>0.797251</v>
      </c>
      <c r="H70" s="9" t="s">
        <v>85</v>
      </c>
      <c r="I70" s="9" t="s">
        <v>85</v>
      </c>
      <c r="J70" s="9">
        <v>0.683849</v>
      </c>
      <c r="K70" s="9" t="s">
        <v>85</v>
      </c>
      <c r="L70" s="9" t="s">
        <v>85</v>
      </c>
      <c r="M70" s="9">
        <v>0.862543</v>
      </c>
      <c r="N70" s="9" t="s">
        <v>85</v>
      </c>
      <c r="O70" s="9" t="s">
        <v>85</v>
      </c>
      <c r="P70" s="9">
        <v>0.848797</v>
      </c>
      <c r="Q70" s="9" t="s">
        <v>85</v>
      </c>
      <c r="R70" s="9" t="s">
        <v>85</v>
      </c>
      <c r="S70" s="9">
        <v>0.821306</v>
      </c>
      <c r="T70" s="9" t="s">
        <v>85</v>
      </c>
      <c r="U70" s="9" t="s">
        <v>85</v>
      </c>
      <c r="V70" s="9">
        <v>0.814433</v>
      </c>
      <c r="W70" s="9" t="s">
        <v>85</v>
      </c>
      <c r="X70" s="9" t="s">
        <v>85</v>
      </c>
      <c r="Y70" s="9">
        <v>0.828179</v>
      </c>
      <c r="Z70" s="9" t="s">
        <v>85</v>
      </c>
      <c r="AA70" s="9" t="s">
        <v>85</v>
      </c>
      <c r="AB70" s="9">
        <v>0.821306</v>
      </c>
      <c r="AC70" s="10" t="s">
        <v>85</v>
      </c>
      <c r="AD70" s="10" t="s">
        <v>85</v>
      </c>
      <c r="AE70" s="9">
        <v>0.793814</v>
      </c>
      <c r="AF70" s="9" t="s">
        <v>85</v>
      </c>
      <c r="AG70" s="9" t="s">
        <v>85</v>
      </c>
      <c r="AH70" s="9">
        <v>0.793814</v>
      </c>
      <c r="AI70" s="9" t="s">
        <v>85</v>
      </c>
      <c r="AJ70" s="9" t="s">
        <v>85</v>
      </c>
      <c r="AK70" s="9">
        <v>0.821306</v>
      </c>
      <c r="AL70" s="9" t="s">
        <v>85</v>
      </c>
      <c r="AM70" s="9" t="s">
        <v>85</v>
      </c>
      <c r="AN70" s="9">
        <v>0.845361</v>
      </c>
      <c r="AO70" s="9" t="s">
        <v>85</v>
      </c>
      <c r="AP70" s="9" t="s">
        <v>85</v>
      </c>
      <c r="AQ70" s="9">
        <v>0.845361</v>
      </c>
      <c r="AR70" s="9" t="s">
        <v>85</v>
      </c>
      <c r="AS70" s="9" t="s">
        <v>85</v>
      </c>
      <c r="AT70" s="9">
        <v>0.848797</v>
      </c>
      <c r="AU70" s="9" t="s">
        <v>85</v>
      </c>
      <c r="AV70" s="9" t="s">
        <v>85</v>
      </c>
      <c r="AW70" s="9">
        <v>0.848797</v>
      </c>
      <c r="AX70" s="9" t="s">
        <v>85</v>
      </c>
      <c r="AY70" s="9" t="s">
        <v>85</v>
      </c>
      <c r="AZ70" s="9">
        <v>0.862543</v>
      </c>
      <c r="BA70" s="9" t="s">
        <v>85</v>
      </c>
      <c r="BB70" s="9" t="s">
        <v>85</v>
      </c>
      <c r="BC70" s="9">
        <v>0.841924</v>
      </c>
      <c r="BD70" s="10" t="s">
        <v>85</v>
      </c>
      <c r="BE70" s="10" t="s">
        <v>85</v>
      </c>
      <c r="BF70" s="9">
        <v>0.80756</v>
      </c>
      <c r="BG70" s="10" t="s">
        <v>85</v>
      </c>
      <c r="BH70" s="10" t="s">
        <v>85</v>
      </c>
      <c r="BI70" s="9" t="s">
        <v>85</v>
      </c>
      <c r="BJ70" s="6"/>
      <c r="BK70" s="6" t="str">
        <f t="shared" si="2"/>
        <v>5V_One_Acc</v>
      </c>
      <c r="BL70" s="6" t="str">
        <f t="shared" si="3"/>
        <v>5V_One_Acc</v>
      </c>
      <c r="BM70" s="6" t="str">
        <f t="shared" si="4"/>
        <v>5VB_One_Acc</v>
      </c>
      <c r="BN70" s="6"/>
      <c r="BO70" s="6">
        <f t="shared" ref="BO70:BQ70" si="79">IF(ISNUMBER(SEARCH("5",BK70)),5,IF(ISNUMBER(SEARCH("*8*",BK70)),8,IF(ISNUMBER(SEARCH("*10*",BK70)),10,IF(ISNUMBER(SEARCH("*12*",BK70)),12,IF(ISNUMBER(SEARCH("*20*",BK70)),20)))))</f>
        <v>5</v>
      </c>
      <c r="BP70" s="6">
        <f t="shared" si="79"/>
        <v>5</v>
      </c>
      <c r="BQ70" s="6">
        <f t="shared" si="79"/>
        <v>5</v>
      </c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</row>
    <row r="71" ht="15.75" customHeight="1">
      <c r="A71" s="1" t="s">
        <v>165</v>
      </c>
      <c r="B71" s="17">
        <v>80.0</v>
      </c>
      <c r="C71" s="17">
        <v>6.0</v>
      </c>
      <c r="D71" s="17" t="s">
        <v>300</v>
      </c>
      <c r="E71" s="9" t="s">
        <v>85</v>
      </c>
      <c r="F71" s="9" t="s">
        <v>85</v>
      </c>
      <c r="G71" s="9">
        <v>0.760976</v>
      </c>
      <c r="H71" s="9" t="s">
        <v>85</v>
      </c>
      <c r="I71" s="9" t="s">
        <v>85</v>
      </c>
      <c r="J71" s="9">
        <v>0.35122</v>
      </c>
      <c r="K71" s="9" t="s">
        <v>85</v>
      </c>
      <c r="L71" s="9" t="s">
        <v>85</v>
      </c>
      <c r="M71" s="9">
        <v>0.795122</v>
      </c>
      <c r="N71" s="9" t="s">
        <v>85</v>
      </c>
      <c r="O71" s="9" t="s">
        <v>85</v>
      </c>
      <c r="P71" s="9">
        <v>0.8</v>
      </c>
      <c r="Q71" s="9" t="s">
        <v>85</v>
      </c>
      <c r="R71" s="9" t="s">
        <v>85</v>
      </c>
      <c r="S71" s="9">
        <v>0.765854</v>
      </c>
      <c r="T71" s="9" t="s">
        <v>85</v>
      </c>
      <c r="U71" s="9" t="s">
        <v>85</v>
      </c>
      <c r="V71" s="9">
        <v>0.770732</v>
      </c>
      <c r="W71" s="9" t="s">
        <v>85</v>
      </c>
      <c r="X71" s="9" t="s">
        <v>85</v>
      </c>
      <c r="Y71" s="9">
        <v>0.804878</v>
      </c>
      <c r="Z71" s="9" t="s">
        <v>85</v>
      </c>
      <c r="AA71" s="9" t="s">
        <v>85</v>
      </c>
      <c r="AB71" s="9">
        <v>0.809756</v>
      </c>
      <c r="AC71" s="10" t="s">
        <v>85</v>
      </c>
      <c r="AD71" s="10" t="s">
        <v>85</v>
      </c>
      <c r="AE71" s="9">
        <v>0.760976</v>
      </c>
      <c r="AF71" s="9" t="s">
        <v>85</v>
      </c>
      <c r="AG71" s="9" t="s">
        <v>85</v>
      </c>
      <c r="AH71" s="9">
        <v>0.765854</v>
      </c>
      <c r="AI71" s="9" t="s">
        <v>85</v>
      </c>
      <c r="AJ71" s="9" t="s">
        <v>85</v>
      </c>
      <c r="AK71" s="9">
        <v>0.765854</v>
      </c>
      <c r="AL71" s="9" t="s">
        <v>85</v>
      </c>
      <c r="AM71" s="9" t="s">
        <v>85</v>
      </c>
      <c r="AN71" s="9">
        <v>0.780488</v>
      </c>
      <c r="AO71" s="9" t="s">
        <v>85</v>
      </c>
      <c r="AP71" s="9" t="s">
        <v>85</v>
      </c>
      <c r="AQ71" s="9">
        <v>0.77561</v>
      </c>
      <c r="AR71" s="9" t="s">
        <v>85</v>
      </c>
      <c r="AS71" s="9" t="s">
        <v>85</v>
      </c>
      <c r="AT71" s="9">
        <v>0.770732</v>
      </c>
      <c r="AU71" s="9" t="s">
        <v>85</v>
      </c>
      <c r="AV71" s="9" t="s">
        <v>85</v>
      </c>
      <c r="AW71" s="9">
        <v>0.785366</v>
      </c>
      <c r="AX71" s="9" t="s">
        <v>85</v>
      </c>
      <c r="AY71" s="9" t="s">
        <v>85</v>
      </c>
      <c r="AZ71" s="9">
        <v>0.678049</v>
      </c>
      <c r="BA71" s="9" t="s">
        <v>85</v>
      </c>
      <c r="BB71" s="9" t="s">
        <v>85</v>
      </c>
      <c r="BC71" s="9">
        <v>0.77561</v>
      </c>
      <c r="BD71" s="10" t="s">
        <v>85</v>
      </c>
      <c r="BE71" s="10" t="s">
        <v>85</v>
      </c>
      <c r="BF71" s="9">
        <v>0.795122</v>
      </c>
      <c r="BG71" s="10" t="s">
        <v>85</v>
      </c>
      <c r="BH71" s="10" t="s">
        <v>85</v>
      </c>
      <c r="BI71" s="9" t="s">
        <v>85</v>
      </c>
      <c r="BJ71" s="6"/>
      <c r="BK71" s="6" t="str">
        <f t="shared" si="2"/>
        <v>8VB_One_Acc</v>
      </c>
      <c r="BL71" s="6" t="str">
        <f t="shared" si="3"/>
        <v>8V_One_Acc</v>
      </c>
      <c r="BM71" s="6" t="str">
        <f t="shared" si="4"/>
        <v>5VB_One_Acc</v>
      </c>
      <c r="BN71" s="6"/>
      <c r="BO71" s="6">
        <f t="shared" ref="BO71:BQ71" si="80">IF(ISNUMBER(SEARCH("5",BK71)),5,IF(ISNUMBER(SEARCH("*8*",BK71)),8,IF(ISNUMBER(SEARCH("*10*",BK71)),10,IF(ISNUMBER(SEARCH("*12*",BK71)),12,IF(ISNUMBER(SEARCH("*20*",BK71)),20)))))</f>
        <v>8</v>
      </c>
      <c r="BP71" s="6">
        <f t="shared" si="80"/>
        <v>8</v>
      </c>
      <c r="BQ71" s="6">
        <f t="shared" si="80"/>
        <v>5</v>
      </c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</row>
    <row r="72" ht="15.75" customHeight="1">
      <c r="A72" s="1" t="s">
        <v>166</v>
      </c>
      <c r="B72" s="17">
        <v>2844.0</v>
      </c>
      <c r="C72" s="17">
        <v>4.0</v>
      </c>
      <c r="D72" s="17" t="s">
        <v>302</v>
      </c>
      <c r="E72" s="9" t="s">
        <v>85</v>
      </c>
      <c r="F72" s="9" t="s">
        <v>85</v>
      </c>
      <c r="G72" s="9">
        <v>0.6</v>
      </c>
      <c r="H72" s="9" t="s">
        <v>85</v>
      </c>
      <c r="I72" s="9" t="s">
        <v>85</v>
      </c>
      <c r="J72" s="9">
        <v>0.12</v>
      </c>
      <c r="K72" s="9" t="s">
        <v>85</v>
      </c>
      <c r="L72" s="9" t="s">
        <v>85</v>
      </c>
      <c r="M72" s="9">
        <v>0.6</v>
      </c>
      <c r="N72" s="9" t="s">
        <v>85</v>
      </c>
      <c r="O72" s="9" t="s">
        <v>85</v>
      </c>
      <c r="P72" s="9">
        <v>0.54</v>
      </c>
      <c r="Q72" s="9" t="s">
        <v>85</v>
      </c>
      <c r="R72" s="9" t="s">
        <v>85</v>
      </c>
      <c r="S72" s="9">
        <v>0.64</v>
      </c>
      <c r="T72" s="9" t="s">
        <v>85</v>
      </c>
      <c r="U72" s="9" t="s">
        <v>85</v>
      </c>
      <c r="V72" s="9">
        <v>0.525333</v>
      </c>
      <c r="W72" s="9" t="s">
        <v>85</v>
      </c>
      <c r="X72" s="9" t="s">
        <v>85</v>
      </c>
      <c r="Y72" s="9">
        <v>0.56</v>
      </c>
      <c r="Z72" s="9" t="s">
        <v>85</v>
      </c>
      <c r="AA72" s="9" t="s">
        <v>85</v>
      </c>
      <c r="AB72" s="9">
        <v>0.58</v>
      </c>
      <c r="AC72" s="10" t="s">
        <v>85</v>
      </c>
      <c r="AD72" s="10" t="s">
        <v>85</v>
      </c>
      <c r="AE72" s="9">
        <v>0.68</v>
      </c>
      <c r="AF72" s="9" t="s">
        <v>85</v>
      </c>
      <c r="AG72" s="9" t="s">
        <v>85</v>
      </c>
      <c r="AH72" s="9">
        <v>0.6</v>
      </c>
      <c r="AI72" s="9" t="s">
        <v>85</v>
      </c>
      <c r="AJ72" s="9" t="s">
        <v>85</v>
      </c>
      <c r="AK72" s="9">
        <v>0.66</v>
      </c>
      <c r="AL72" s="9" t="s">
        <v>85</v>
      </c>
      <c r="AM72" s="9" t="s">
        <v>85</v>
      </c>
      <c r="AN72" s="9">
        <v>0.68</v>
      </c>
      <c r="AO72" s="9" t="s">
        <v>85</v>
      </c>
      <c r="AP72" s="9" t="s">
        <v>85</v>
      </c>
      <c r="AQ72" s="9">
        <v>0.64</v>
      </c>
      <c r="AR72" s="9" t="s">
        <v>85</v>
      </c>
      <c r="AS72" s="9" t="s">
        <v>85</v>
      </c>
      <c r="AT72" s="9">
        <v>0.62</v>
      </c>
      <c r="AU72" s="9" t="s">
        <v>85</v>
      </c>
      <c r="AV72" s="9" t="s">
        <v>85</v>
      </c>
      <c r="AW72" s="9">
        <v>0.66</v>
      </c>
      <c r="AX72" s="9" t="s">
        <v>85</v>
      </c>
      <c r="AY72" s="9" t="s">
        <v>85</v>
      </c>
      <c r="AZ72" s="9">
        <v>0.66</v>
      </c>
      <c r="BA72" s="9" t="s">
        <v>85</v>
      </c>
      <c r="BB72" s="9" t="s">
        <v>85</v>
      </c>
      <c r="BC72" s="9">
        <v>0.62</v>
      </c>
      <c r="BD72" s="10" t="s">
        <v>85</v>
      </c>
      <c r="BE72" s="10" t="s">
        <v>85</v>
      </c>
      <c r="BF72" s="9">
        <v>0.72</v>
      </c>
      <c r="BG72" s="10" t="s">
        <v>85</v>
      </c>
      <c r="BH72" s="10" t="s">
        <v>85</v>
      </c>
      <c r="BI72" s="9" t="s">
        <v>85</v>
      </c>
      <c r="BJ72" s="6"/>
      <c r="BK72" s="6" t="str">
        <f t="shared" si="2"/>
        <v>20V_One_Acc</v>
      </c>
      <c r="BL72" s="6" t="str">
        <f t="shared" si="3"/>
        <v>10Bo_One_Acc</v>
      </c>
      <c r="BM72" s="6" t="str">
        <f t="shared" si="4"/>
        <v>10Bo_One_Acc</v>
      </c>
      <c r="BN72" s="6"/>
      <c r="BO72" s="6">
        <f t="shared" ref="BO72:BQ72" si="81">IF(ISNUMBER(SEARCH("5",BK72)),5,IF(ISNUMBER(SEARCH("*8*",BK72)),8,IF(ISNUMBER(SEARCH("*10*",BK72)),10,IF(ISNUMBER(SEARCH("*12*",BK72)),12,IF(ISNUMBER(SEARCH("*20*",BK72)),20)))))</f>
        <v>20</v>
      </c>
      <c r="BP72" s="6">
        <f t="shared" si="81"/>
        <v>10</v>
      </c>
      <c r="BQ72" s="6">
        <f t="shared" si="81"/>
        <v>10</v>
      </c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</row>
    <row r="73" ht="15.75" customHeight="1">
      <c r="A73" s="1" t="s">
        <v>167</v>
      </c>
      <c r="B73" s="17">
        <v>720.0</v>
      </c>
      <c r="C73" s="17">
        <v>3.0</v>
      </c>
      <c r="D73" s="17" t="s">
        <v>299</v>
      </c>
      <c r="E73" s="9" t="s">
        <v>85</v>
      </c>
      <c r="F73" s="9" t="s">
        <v>85</v>
      </c>
      <c r="G73" s="9">
        <v>0.576</v>
      </c>
      <c r="H73" s="9" t="s">
        <v>85</v>
      </c>
      <c r="I73" s="9" t="s">
        <v>85</v>
      </c>
      <c r="J73" s="9">
        <v>0.333333</v>
      </c>
      <c r="K73" s="9" t="s">
        <v>85</v>
      </c>
      <c r="L73" s="9" t="s">
        <v>85</v>
      </c>
      <c r="M73" s="9">
        <v>0.469333</v>
      </c>
      <c r="N73" s="9" t="s">
        <v>85</v>
      </c>
      <c r="O73" s="9" t="s">
        <v>85</v>
      </c>
      <c r="P73" s="9">
        <v>0.448</v>
      </c>
      <c r="Q73" s="9" t="s">
        <v>85</v>
      </c>
      <c r="R73" s="9" t="s">
        <v>85</v>
      </c>
      <c r="S73" s="9">
        <v>0.552</v>
      </c>
      <c r="T73" s="9" t="s">
        <v>85</v>
      </c>
      <c r="U73" s="9" t="s">
        <v>85</v>
      </c>
      <c r="V73" s="9">
        <v>0.7</v>
      </c>
      <c r="W73" s="9" t="s">
        <v>85</v>
      </c>
      <c r="X73" s="9" t="s">
        <v>85</v>
      </c>
      <c r="Y73" s="9">
        <v>0.418667</v>
      </c>
      <c r="Z73" s="9" t="s">
        <v>85</v>
      </c>
      <c r="AA73" s="9" t="s">
        <v>85</v>
      </c>
      <c r="AB73" s="9">
        <v>0.448</v>
      </c>
      <c r="AC73" s="10" t="s">
        <v>85</v>
      </c>
      <c r="AD73" s="10" t="s">
        <v>85</v>
      </c>
      <c r="AE73" s="9">
        <v>0.554667</v>
      </c>
      <c r="AF73" s="9" t="s">
        <v>85</v>
      </c>
      <c r="AG73" s="9" t="s">
        <v>85</v>
      </c>
      <c r="AH73" s="9">
        <v>0.592</v>
      </c>
      <c r="AI73" s="9" t="s">
        <v>85</v>
      </c>
      <c r="AJ73" s="9" t="s">
        <v>85</v>
      </c>
      <c r="AK73" s="9">
        <v>0.48</v>
      </c>
      <c r="AL73" s="9" t="s">
        <v>85</v>
      </c>
      <c r="AM73" s="9" t="s">
        <v>85</v>
      </c>
      <c r="AN73" s="9">
        <v>0.453333</v>
      </c>
      <c r="AO73" s="9" t="s">
        <v>85</v>
      </c>
      <c r="AP73" s="9" t="s">
        <v>85</v>
      </c>
      <c r="AQ73" s="9">
        <v>0.533333</v>
      </c>
      <c r="AR73" s="9" t="s">
        <v>85</v>
      </c>
      <c r="AS73" s="9" t="s">
        <v>85</v>
      </c>
      <c r="AT73" s="9">
        <v>0.621333</v>
      </c>
      <c r="AU73" s="9" t="s">
        <v>85</v>
      </c>
      <c r="AV73" s="9" t="s">
        <v>85</v>
      </c>
      <c r="AW73" s="9">
        <v>0.456</v>
      </c>
      <c r="AX73" s="9" t="s">
        <v>85</v>
      </c>
      <c r="AY73" s="9" t="s">
        <v>85</v>
      </c>
      <c r="AZ73" s="9">
        <v>0.461333</v>
      </c>
      <c r="BA73" s="9" t="s">
        <v>85</v>
      </c>
      <c r="BB73" s="9" t="s">
        <v>85</v>
      </c>
      <c r="BC73" s="9">
        <v>0.538667</v>
      </c>
      <c r="BD73" s="10" t="s">
        <v>85</v>
      </c>
      <c r="BE73" s="10" t="s">
        <v>85</v>
      </c>
      <c r="BF73" s="9">
        <v>0.466667</v>
      </c>
      <c r="BG73" s="10" t="s">
        <v>85</v>
      </c>
      <c r="BH73" s="10" t="s">
        <v>85</v>
      </c>
      <c r="BI73" s="9" t="s">
        <v>85</v>
      </c>
      <c r="BJ73" s="6"/>
      <c r="BK73" s="6" t="str">
        <f t="shared" si="2"/>
        <v>8BoN_One_Acc</v>
      </c>
      <c r="BL73" s="6" t="str">
        <f t="shared" si="3"/>
        <v>12BoN_One_Acc</v>
      </c>
      <c r="BM73" s="6" t="str">
        <f t="shared" si="4"/>
        <v>10BoN_One_Acc</v>
      </c>
      <c r="BN73" s="6"/>
      <c r="BO73" s="6">
        <f t="shared" ref="BO73:BQ73" si="82">IF(ISNUMBER(SEARCH("5",BK73)),5,IF(ISNUMBER(SEARCH("*8*",BK73)),8,IF(ISNUMBER(SEARCH("*10*",BK73)),10,IF(ISNUMBER(SEARCH("*12*",BK73)),12,IF(ISNUMBER(SEARCH("*20*",BK73)),20)))))</f>
        <v>8</v>
      </c>
      <c r="BP73" s="6">
        <f t="shared" si="82"/>
        <v>12</v>
      </c>
      <c r="BQ73" s="6">
        <f t="shared" si="82"/>
        <v>10</v>
      </c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</row>
    <row r="74" ht="15.75" customHeight="1">
      <c r="A74" s="1" t="s">
        <v>168</v>
      </c>
      <c r="B74" s="17">
        <v>1500.0</v>
      </c>
      <c r="C74" s="17">
        <v>2.0</v>
      </c>
      <c r="D74" s="17" t="s">
        <v>302</v>
      </c>
      <c r="E74" s="9" t="s">
        <v>85</v>
      </c>
      <c r="F74" s="9" t="s">
        <v>85</v>
      </c>
      <c r="G74" s="9">
        <v>0.84</v>
      </c>
      <c r="H74" s="9" t="s">
        <v>85</v>
      </c>
      <c r="I74" s="9" t="s">
        <v>85</v>
      </c>
      <c r="J74" s="9">
        <v>0.35</v>
      </c>
      <c r="K74" s="9" t="s">
        <v>85</v>
      </c>
      <c r="L74" s="9" t="s">
        <v>85</v>
      </c>
      <c r="M74" s="9">
        <v>0.896667</v>
      </c>
      <c r="N74" s="9" t="s">
        <v>85</v>
      </c>
      <c r="O74" s="9" t="s">
        <v>85</v>
      </c>
      <c r="P74" s="9">
        <v>0.903333</v>
      </c>
      <c r="Q74" s="9" t="s">
        <v>85</v>
      </c>
      <c r="R74" s="9" t="s">
        <v>85</v>
      </c>
      <c r="S74" s="9">
        <v>0.86</v>
      </c>
      <c r="T74" s="9" t="s">
        <v>85</v>
      </c>
      <c r="U74" s="9" t="s">
        <v>85</v>
      </c>
      <c r="V74" s="9">
        <v>0.858333</v>
      </c>
      <c r="W74" s="9" t="s">
        <v>85</v>
      </c>
      <c r="X74" s="9" t="s">
        <v>85</v>
      </c>
      <c r="Y74" s="9">
        <v>0.92</v>
      </c>
      <c r="Z74" s="9" t="s">
        <v>85</v>
      </c>
      <c r="AA74" s="9" t="s">
        <v>85</v>
      </c>
      <c r="AB74" s="9">
        <v>0.916667</v>
      </c>
      <c r="AC74" s="10" t="s">
        <v>85</v>
      </c>
      <c r="AD74" s="10" t="s">
        <v>85</v>
      </c>
      <c r="AE74" s="9">
        <v>0.87</v>
      </c>
      <c r="AF74" s="9" t="s">
        <v>85</v>
      </c>
      <c r="AG74" s="9" t="s">
        <v>85</v>
      </c>
      <c r="AH74" s="9">
        <v>0.856667</v>
      </c>
      <c r="AI74" s="9" t="s">
        <v>85</v>
      </c>
      <c r="AJ74" s="9" t="s">
        <v>85</v>
      </c>
      <c r="AK74" s="9">
        <v>0.913333</v>
      </c>
      <c r="AL74" s="9" t="s">
        <v>85</v>
      </c>
      <c r="AM74" s="9" t="s">
        <v>85</v>
      </c>
      <c r="AN74" s="9">
        <v>0.913333</v>
      </c>
      <c r="AO74" s="9" t="s">
        <v>85</v>
      </c>
      <c r="AP74" s="9" t="s">
        <v>85</v>
      </c>
      <c r="AQ74" s="9">
        <v>0.846667</v>
      </c>
      <c r="AR74" s="9" t="s">
        <v>85</v>
      </c>
      <c r="AS74" s="9" t="s">
        <v>85</v>
      </c>
      <c r="AT74" s="9">
        <v>0.856667</v>
      </c>
      <c r="AU74" s="9" t="s">
        <v>85</v>
      </c>
      <c r="AV74" s="9" t="s">
        <v>85</v>
      </c>
      <c r="AW74" s="9">
        <v>0.906667</v>
      </c>
      <c r="AX74" s="9" t="s">
        <v>85</v>
      </c>
      <c r="AY74" s="9" t="s">
        <v>85</v>
      </c>
      <c r="AZ74" s="9">
        <v>0.916667</v>
      </c>
      <c r="BA74" s="9" t="s">
        <v>85</v>
      </c>
      <c r="BB74" s="9" t="s">
        <v>85</v>
      </c>
      <c r="BC74" s="9">
        <v>0.871667</v>
      </c>
      <c r="BD74" s="10" t="s">
        <v>85</v>
      </c>
      <c r="BE74" s="10" t="s">
        <v>85</v>
      </c>
      <c r="BF74" s="9">
        <v>0.926667</v>
      </c>
      <c r="BG74" s="10" t="s">
        <v>85</v>
      </c>
      <c r="BH74" s="10" t="s">
        <v>85</v>
      </c>
      <c r="BI74" s="9" t="s">
        <v>85</v>
      </c>
      <c r="BJ74" s="6"/>
      <c r="BK74" s="6" t="str">
        <f t="shared" si="2"/>
        <v>20V_One_Acc</v>
      </c>
      <c r="BL74" s="6" t="str">
        <f t="shared" si="3"/>
        <v>8V_One_Acc</v>
      </c>
      <c r="BM74" s="6" t="str">
        <f t="shared" si="4"/>
        <v>8VB_One_Acc</v>
      </c>
      <c r="BN74" s="6"/>
      <c r="BO74" s="6">
        <f t="shared" ref="BO74:BQ74" si="83">IF(ISNUMBER(SEARCH("5",BK74)),5,IF(ISNUMBER(SEARCH("*8*",BK74)),8,IF(ISNUMBER(SEARCH("*10*",BK74)),10,IF(ISNUMBER(SEARCH("*12*",BK74)),12,IF(ISNUMBER(SEARCH("*20*",BK74)),20)))))</f>
        <v>20</v>
      </c>
      <c r="BP74" s="6">
        <f t="shared" si="83"/>
        <v>8</v>
      </c>
      <c r="BQ74" s="6">
        <f t="shared" si="83"/>
        <v>8</v>
      </c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</row>
    <row r="75" ht="15.75" customHeight="1">
      <c r="A75" s="1" t="s">
        <v>169</v>
      </c>
      <c r="B75" s="17">
        <v>1500.0</v>
      </c>
      <c r="C75" s="17">
        <v>6.0</v>
      </c>
      <c r="D75" s="17" t="s">
        <v>302</v>
      </c>
      <c r="E75" s="9" t="s">
        <v>85</v>
      </c>
      <c r="F75" s="9" t="s">
        <v>85</v>
      </c>
      <c r="G75" s="9">
        <v>0.442222</v>
      </c>
      <c r="H75" s="9" t="s">
        <v>85</v>
      </c>
      <c r="I75" s="9" t="s">
        <v>85</v>
      </c>
      <c r="J75" s="9">
        <v>0.166667</v>
      </c>
      <c r="K75" s="9" t="s">
        <v>85</v>
      </c>
      <c r="L75" s="9" t="s">
        <v>85</v>
      </c>
      <c r="M75" s="9">
        <v>0.637778</v>
      </c>
      <c r="N75" s="9" t="s">
        <v>85</v>
      </c>
      <c r="O75" s="9" t="s">
        <v>85</v>
      </c>
      <c r="P75" s="9">
        <v>0.515556</v>
      </c>
      <c r="Q75" s="9" t="s">
        <v>85</v>
      </c>
      <c r="R75" s="9" t="s">
        <v>85</v>
      </c>
      <c r="S75" s="9">
        <v>0.466667</v>
      </c>
      <c r="T75" s="9" t="s">
        <v>85</v>
      </c>
      <c r="U75" s="9" t="s">
        <v>85</v>
      </c>
      <c r="V75" s="9">
        <v>0.346667</v>
      </c>
      <c r="W75" s="9" t="s">
        <v>85</v>
      </c>
      <c r="X75" s="9" t="s">
        <v>85</v>
      </c>
      <c r="Y75" s="9">
        <v>0.355556</v>
      </c>
      <c r="Z75" s="9" t="s">
        <v>85</v>
      </c>
      <c r="AA75" s="9" t="s">
        <v>85</v>
      </c>
      <c r="AB75" s="9">
        <v>0.286667</v>
      </c>
      <c r="AC75" s="10" t="s">
        <v>85</v>
      </c>
      <c r="AD75" s="10" t="s">
        <v>85</v>
      </c>
      <c r="AE75" s="9">
        <v>0.395556</v>
      </c>
      <c r="AF75" s="9" t="s">
        <v>85</v>
      </c>
      <c r="AG75" s="9" t="s">
        <v>85</v>
      </c>
      <c r="AH75" s="9">
        <v>0.373333</v>
      </c>
      <c r="AI75" s="9" t="s">
        <v>85</v>
      </c>
      <c r="AJ75" s="9" t="s">
        <v>85</v>
      </c>
      <c r="AK75" s="9">
        <v>0.362222</v>
      </c>
      <c r="AL75" s="9" t="s">
        <v>85</v>
      </c>
      <c r="AM75" s="9" t="s">
        <v>85</v>
      </c>
      <c r="AN75" s="9">
        <v>0.442222</v>
      </c>
      <c r="AO75" s="9" t="s">
        <v>85</v>
      </c>
      <c r="AP75" s="9" t="s">
        <v>85</v>
      </c>
      <c r="AQ75" s="9">
        <v>0.504444</v>
      </c>
      <c r="AR75" s="9" t="s">
        <v>85</v>
      </c>
      <c r="AS75" s="9" t="s">
        <v>85</v>
      </c>
      <c r="AT75" s="9">
        <v>0.351111</v>
      </c>
      <c r="AU75" s="9" t="s">
        <v>85</v>
      </c>
      <c r="AV75" s="9" t="s">
        <v>85</v>
      </c>
      <c r="AW75" s="9">
        <v>0.493333</v>
      </c>
      <c r="AX75" s="9" t="s">
        <v>85</v>
      </c>
      <c r="AY75" s="9" t="s">
        <v>85</v>
      </c>
      <c r="AZ75" s="9">
        <v>0.491111</v>
      </c>
      <c r="BA75" s="9" t="s">
        <v>85</v>
      </c>
      <c r="BB75" s="9" t="s">
        <v>85</v>
      </c>
      <c r="BC75" s="9">
        <v>0.264444</v>
      </c>
      <c r="BD75" s="10" t="s">
        <v>85</v>
      </c>
      <c r="BE75" s="10" t="s">
        <v>85</v>
      </c>
      <c r="BF75" s="9">
        <v>0.262222</v>
      </c>
      <c r="BG75" s="10" t="s">
        <v>85</v>
      </c>
      <c r="BH75" s="10" t="s">
        <v>85</v>
      </c>
      <c r="BI75" s="9" t="s">
        <v>85</v>
      </c>
      <c r="BJ75" s="6"/>
      <c r="BK75" s="6" t="str">
        <f t="shared" si="2"/>
        <v>5V_One_Acc</v>
      </c>
      <c r="BL75" s="6" t="str">
        <f t="shared" si="3"/>
        <v>5VB_One_Acc</v>
      </c>
      <c r="BM75" s="6" t="str">
        <f t="shared" si="4"/>
        <v>12Bo_One_Acc</v>
      </c>
      <c r="BN75" s="6"/>
      <c r="BO75" s="6">
        <f t="shared" ref="BO75:BQ75" si="84">IF(ISNUMBER(SEARCH("5",BK75)),5,IF(ISNUMBER(SEARCH("*8*",BK75)),8,IF(ISNUMBER(SEARCH("*10*",BK75)),10,IF(ISNUMBER(SEARCH("*12*",BK75)),12,IF(ISNUMBER(SEARCH("*20*",BK75)),20)))))</f>
        <v>5</v>
      </c>
      <c r="BP75" s="6">
        <f t="shared" si="84"/>
        <v>5</v>
      </c>
      <c r="BQ75" s="6">
        <f t="shared" si="84"/>
        <v>12</v>
      </c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</row>
    <row r="76" ht="15.75" customHeight="1">
      <c r="A76" s="1" t="s">
        <v>170</v>
      </c>
      <c r="B76" s="17">
        <v>1500.0</v>
      </c>
      <c r="C76" s="17">
        <v>5.0</v>
      </c>
      <c r="D76" s="17" t="s">
        <v>302</v>
      </c>
      <c r="E76" s="9" t="s">
        <v>85</v>
      </c>
      <c r="F76" s="9" t="s">
        <v>85</v>
      </c>
      <c r="G76" s="9">
        <v>0.737778</v>
      </c>
      <c r="H76" s="9" t="s">
        <v>85</v>
      </c>
      <c r="I76" s="9" t="s">
        <v>85</v>
      </c>
      <c r="J76" s="9">
        <v>0.2</v>
      </c>
      <c r="K76" s="9" t="s">
        <v>85</v>
      </c>
      <c r="L76" s="9" t="s">
        <v>85</v>
      </c>
      <c r="M76" s="9">
        <v>0.846667</v>
      </c>
      <c r="N76" s="9" t="s">
        <v>85</v>
      </c>
      <c r="O76" s="9" t="s">
        <v>85</v>
      </c>
      <c r="P76" s="9">
        <v>0.833333</v>
      </c>
      <c r="Q76" s="9" t="s">
        <v>85</v>
      </c>
      <c r="R76" s="9" t="s">
        <v>85</v>
      </c>
      <c r="S76" s="9">
        <v>0.793333</v>
      </c>
      <c r="T76" s="9" t="s">
        <v>85</v>
      </c>
      <c r="U76" s="9" t="s">
        <v>85</v>
      </c>
      <c r="V76" s="9">
        <v>0.757778</v>
      </c>
      <c r="W76" s="9" t="s">
        <v>85</v>
      </c>
      <c r="X76" s="9" t="s">
        <v>85</v>
      </c>
      <c r="Y76" s="9">
        <v>0.822222</v>
      </c>
      <c r="Z76" s="9" t="s">
        <v>85</v>
      </c>
      <c r="AA76" s="9" t="s">
        <v>85</v>
      </c>
      <c r="AB76" s="9">
        <v>0.815556</v>
      </c>
      <c r="AC76" s="10" t="s">
        <v>85</v>
      </c>
      <c r="AD76" s="10" t="s">
        <v>85</v>
      </c>
      <c r="AE76" s="9">
        <v>0.773333</v>
      </c>
      <c r="AF76" s="9" t="s">
        <v>85</v>
      </c>
      <c r="AG76" s="9" t="s">
        <v>85</v>
      </c>
      <c r="AH76" s="9">
        <v>0.771111</v>
      </c>
      <c r="AI76" s="9" t="s">
        <v>85</v>
      </c>
      <c r="AJ76" s="9" t="s">
        <v>85</v>
      </c>
      <c r="AK76" s="9">
        <v>0.851111</v>
      </c>
      <c r="AL76" s="9" t="s">
        <v>85</v>
      </c>
      <c r="AM76" s="9" t="s">
        <v>85</v>
      </c>
      <c r="AN76" s="9">
        <v>0.784444</v>
      </c>
      <c r="AO76" s="9" t="s">
        <v>85</v>
      </c>
      <c r="AP76" s="9" t="s">
        <v>85</v>
      </c>
      <c r="AQ76" s="9">
        <v>0.755556</v>
      </c>
      <c r="AR76" s="9" t="s">
        <v>85</v>
      </c>
      <c r="AS76" s="9" t="s">
        <v>85</v>
      </c>
      <c r="AT76" s="9">
        <v>0.684444</v>
      </c>
      <c r="AU76" s="9" t="s">
        <v>85</v>
      </c>
      <c r="AV76" s="9" t="s">
        <v>85</v>
      </c>
      <c r="AW76" s="9">
        <v>0.855556</v>
      </c>
      <c r="AX76" s="9" t="s">
        <v>85</v>
      </c>
      <c r="AY76" s="9" t="s">
        <v>85</v>
      </c>
      <c r="AZ76" s="9">
        <v>0.831111</v>
      </c>
      <c r="BA76" s="9" t="s">
        <v>85</v>
      </c>
      <c r="BB76" s="9" t="s">
        <v>85</v>
      </c>
      <c r="BC76" s="9">
        <v>0.735556</v>
      </c>
      <c r="BD76" s="10" t="s">
        <v>85</v>
      </c>
      <c r="BE76" s="10" t="s">
        <v>85</v>
      </c>
      <c r="BF76" s="9">
        <v>0.824444</v>
      </c>
      <c r="BG76" s="10" t="s">
        <v>85</v>
      </c>
      <c r="BH76" s="10" t="s">
        <v>85</v>
      </c>
      <c r="BI76" s="9" t="s">
        <v>85</v>
      </c>
      <c r="BJ76" s="6"/>
      <c r="BK76" s="6" t="str">
        <f t="shared" si="2"/>
        <v>12V_One_Acc</v>
      </c>
      <c r="BL76" s="6" t="str">
        <f t="shared" si="3"/>
        <v>10V_One_Acc</v>
      </c>
      <c r="BM76" s="6" t="str">
        <f t="shared" si="4"/>
        <v>5V_One_Acc</v>
      </c>
      <c r="BN76" s="6"/>
      <c r="BO76" s="6">
        <f t="shared" ref="BO76:BQ76" si="85">IF(ISNUMBER(SEARCH("5",BK76)),5,IF(ISNUMBER(SEARCH("*8*",BK76)),8,IF(ISNUMBER(SEARCH("*10*",BK76)),10,IF(ISNUMBER(SEARCH("*12*",BK76)),12,IF(ISNUMBER(SEARCH("*20*",BK76)),20)))))</f>
        <v>12</v>
      </c>
      <c r="BP76" s="6">
        <f t="shared" si="85"/>
        <v>10</v>
      </c>
      <c r="BQ76" s="6">
        <f t="shared" si="85"/>
        <v>5</v>
      </c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</row>
    <row r="77" ht="15.75" customHeight="1">
      <c r="A77" s="1" t="s">
        <v>171</v>
      </c>
      <c r="B77" s="17">
        <v>500.0</v>
      </c>
      <c r="C77" s="17">
        <v>2.0</v>
      </c>
      <c r="D77" s="17" t="s">
        <v>303</v>
      </c>
      <c r="E77" s="9" t="s">
        <v>85</v>
      </c>
      <c r="F77" s="9" t="s">
        <v>85</v>
      </c>
      <c r="G77" s="9">
        <v>0.505556</v>
      </c>
      <c r="H77" s="9" t="s">
        <v>85</v>
      </c>
      <c r="I77" s="9" t="s">
        <v>85</v>
      </c>
      <c r="J77" s="9">
        <v>0.5</v>
      </c>
      <c r="K77" s="9" t="s">
        <v>85</v>
      </c>
      <c r="L77" s="9" t="s">
        <v>85</v>
      </c>
      <c r="M77" s="9">
        <v>0.511111</v>
      </c>
      <c r="N77" s="9" t="s">
        <v>85</v>
      </c>
      <c r="O77" s="9" t="s">
        <v>85</v>
      </c>
      <c r="P77" s="9">
        <v>0.5</v>
      </c>
      <c r="Q77" s="9" t="s">
        <v>85</v>
      </c>
      <c r="R77" s="9" t="s">
        <v>85</v>
      </c>
      <c r="S77" s="9">
        <v>0.533333</v>
      </c>
      <c r="T77" s="9" t="s">
        <v>85</v>
      </c>
      <c r="U77" s="9" t="s">
        <v>85</v>
      </c>
      <c r="V77" s="9">
        <v>0.544444</v>
      </c>
      <c r="W77" s="9" t="s">
        <v>85</v>
      </c>
      <c r="X77" s="9" t="s">
        <v>85</v>
      </c>
      <c r="Y77" s="9">
        <v>0.522222</v>
      </c>
      <c r="Z77" s="9" t="s">
        <v>85</v>
      </c>
      <c r="AA77" s="9" t="s">
        <v>85</v>
      </c>
      <c r="AB77" s="9">
        <v>0.5</v>
      </c>
      <c r="AC77" s="10" t="s">
        <v>85</v>
      </c>
      <c r="AD77" s="10" t="s">
        <v>85</v>
      </c>
      <c r="AE77" s="9">
        <v>0.494444</v>
      </c>
      <c r="AF77" s="9" t="s">
        <v>85</v>
      </c>
      <c r="AG77" s="9" t="s">
        <v>85</v>
      </c>
      <c r="AH77" s="9">
        <v>0.577778</v>
      </c>
      <c r="AI77" s="9" t="s">
        <v>85</v>
      </c>
      <c r="AJ77" s="9" t="s">
        <v>85</v>
      </c>
      <c r="AK77" s="9">
        <v>0.511111</v>
      </c>
      <c r="AL77" s="9" t="s">
        <v>85</v>
      </c>
      <c r="AM77" s="9" t="s">
        <v>85</v>
      </c>
      <c r="AN77" s="9">
        <v>0.527778</v>
      </c>
      <c r="AO77" s="9" t="s">
        <v>85</v>
      </c>
      <c r="AP77" s="9" t="s">
        <v>85</v>
      </c>
      <c r="AQ77" s="9">
        <v>0.5</v>
      </c>
      <c r="AR77" s="9" t="s">
        <v>85</v>
      </c>
      <c r="AS77" s="9" t="s">
        <v>85</v>
      </c>
      <c r="AT77" s="9">
        <v>0.5</v>
      </c>
      <c r="AU77" s="9" t="s">
        <v>85</v>
      </c>
      <c r="AV77" s="9" t="s">
        <v>85</v>
      </c>
      <c r="AW77" s="9">
        <v>0.466667</v>
      </c>
      <c r="AX77" s="9" t="s">
        <v>85</v>
      </c>
      <c r="AY77" s="9" t="s">
        <v>85</v>
      </c>
      <c r="AZ77" s="9">
        <v>0.477778</v>
      </c>
      <c r="BA77" s="9" t="s">
        <v>85</v>
      </c>
      <c r="BB77" s="9" t="s">
        <v>85</v>
      </c>
      <c r="BC77" s="9">
        <v>0.544444</v>
      </c>
      <c r="BD77" s="10" t="s">
        <v>85</v>
      </c>
      <c r="BE77" s="10" t="s">
        <v>85</v>
      </c>
      <c r="BF77" s="9">
        <v>0.5</v>
      </c>
      <c r="BG77" s="10" t="s">
        <v>85</v>
      </c>
      <c r="BH77" s="10" t="s">
        <v>85</v>
      </c>
      <c r="BI77" s="9" t="s">
        <v>85</v>
      </c>
      <c r="BJ77" s="6"/>
      <c r="BK77" s="6" t="str">
        <f t="shared" si="2"/>
        <v>10BoN_One_Acc</v>
      </c>
      <c r="BL77" s="6" t="str">
        <f t="shared" si="3"/>
        <v>8BoN_One_Acc</v>
      </c>
      <c r="BM77" s="6" t="str">
        <f t="shared" si="4"/>
        <v>8BoN_One_Acc</v>
      </c>
      <c r="BN77" s="6"/>
      <c r="BO77" s="6">
        <f t="shared" ref="BO77:BQ77" si="86">IF(ISNUMBER(SEARCH("5",BK77)),5,IF(ISNUMBER(SEARCH("*8*",BK77)),8,IF(ISNUMBER(SEARCH("*10*",BK77)),10,IF(ISNUMBER(SEARCH("*12*",BK77)),12,IF(ISNUMBER(SEARCH("*20*",BK77)),20)))))</f>
        <v>10</v>
      </c>
      <c r="BP77" s="6">
        <f t="shared" si="86"/>
        <v>8</v>
      </c>
      <c r="BQ77" s="6">
        <f t="shared" si="86"/>
        <v>8</v>
      </c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</row>
    <row r="78" ht="15.75" customHeight="1">
      <c r="A78" s="1" t="s">
        <v>172</v>
      </c>
      <c r="B78" s="17">
        <v>512.0</v>
      </c>
      <c r="C78" s="17">
        <v>60.0</v>
      </c>
      <c r="D78" s="17" t="s">
        <v>300</v>
      </c>
      <c r="E78" s="9" t="s">
        <v>85</v>
      </c>
      <c r="F78" s="9" t="s">
        <v>85</v>
      </c>
      <c r="G78" s="9">
        <v>0.165</v>
      </c>
      <c r="H78" s="9" t="s">
        <v>85</v>
      </c>
      <c r="I78" s="9" t="s">
        <v>85</v>
      </c>
      <c r="J78" s="9">
        <v>0.016667</v>
      </c>
      <c r="K78" s="9" t="s">
        <v>85</v>
      </c>
      <c r="L78" s="9" t="s">
        <v>85</v>
      </c>
      <c r="M78" s="9">
        <v>0.405</v>
      </c>
      <c r="N78" s="9" t="s">
        <v>85</v>
      </c>
      <c r="O78" s="9" t="s">
        <v>85</v>
      </c>
      <c r="P78" s="9">
        <v>0.26</v>
      </c>
      <c r="Q78" s="9" t="s">
        <v>85</v>
      </c>
      <c r="R78" s="9" t="s">
        <v>85</v>
      </c>
      <c r="S78" s="9">
        <v>0.4</v>
      </c>
      <c r="T78" s="9" t="s">
        <v>85</v>
      </c>
      <c r="U78" s="9" t="s">
        <v>85</v>
      </c>
      <c r="V78" s="9">
        <v>0.35</v>
      </c>
      <c r="W78" s="9" t="s">
        <v>85</v>
      </c>
      <c r="X78" s="9" t="s">
        <v>85</v>
      </c>
      <c r="Y78" s="9">
        <v>0.47</v>
      </c>
      <c r="Z78" s="9" t="s">
        <v>85</v>
      </c>
      <c r="AA78" s="9" t="s">
        <v>85</v>
      </c>
      <c r="AB78" s="9">
        <v>0.326667</v>
      </c>
      <c r="AC78" s="10" t="s">
        <v>85</v>
      </c>
      <c r="AD78" s="10" t="s">
        <v>85</v>
      </c>
      <c r="AE78" s="9">
        <v>0.618333</v>
      </c>
      <c r="AF78" s="9" t="s">
        <v>85</v>
      </c>
      <c r="AG78" s="9" t="s">
        <v>85</v>
      </c>
      <c r="AH78" s="9">
        <v>0.62</v>
      </c>
      <c r="AI78" s="9" t="s">
        <v>85</v>
      </c>
      <c r="AJ78" s="9" t="s">
        <v>85</v>
      </c>
      <c r="AK78" s="9">
        <v>0.236667</v>
      </c>
      <c r="AL78" s="9" t="s">
        <v>85</v>
      </c>
      <c r="AM78" s="9" t="s">
        <v>85</v>
      </c>
      <c r="AN78" s="9">
        <v>0.465</v>
      </c>
      <c r="AO78" s="9" t="s">
        <v>85</v>
      </c>
      <c r="AP78" s="9" t="s">
        <v>85</v>
      </c>
      <c r="AQ78" s="9">
        <v>0.395</v>
      </c>
      <c r="AR78" s="9" t="s">
        <v>85</v>
      </c>
      <c r="AS78" s="9" t="s">
        <v>85</v>
      </c>
      <c r="AT78" s="9">
        <v>0.411667</v>
      </c>
      <c r="AU78" s="9" t="s">
        <v>85</v>
      </c>
      <c r="AV78" s="9" t="s">
        <v>85</v>
      </c>
      <c r="AW78" s="9">
        <v>0.38</v>
      </c>
      <c r="AX78" s="9" t="s">
        <v>85</v>
      </c>
      <c r="AY78" s="9" t="s">
        <v>85</v>
      </c>
      <c r="AZ78" s="9">
        <v>0.463333</v>
      </c>
      <c r="BA78" s="9" t="s">
        <v>85</v>
      </c>
      <c r="BB78" s="9" t="s">
        <v>85</v>
      </c>
      <c r="BC78" s="9">
        <v>0.41</v>
      </c>
      <c r="BD78" s="10" t="s">
        <v>85</v>
      </c>
      <c r="BE78" s="10" t="s">
        <v>85</v>
      </c>
      <c r="BF78" s="9">
        <v>0.381667</v>
      </c>
      <c r="BG78" s="10" t="s">
        <v>85</v>
      </c>
      <c r="BH78" s="10" t="s">
        <v>85</v>
      </c>
      <c r="BI78" s="9" t="s">
        <v>85</v>
      </c>
      <c r="BJ78" s="6"/>
      <c r="BK78" s="6" t="str">
        <f t="shared" si="2"/>
        <v>10BoN_One_Acc</v>
      </c>
      <c r="BL78" s="6" t="str">
        <f t="shared" si="3"/>
        <v>10Bo_One_Acc</v>
      </c>
      <c r="BM78" s="6" t="str">
        <f t="shared" si="4"/>
        <v>8V_One_Acc</v>
      </c>
      <c r="BN78" s="6"/>
      <c r="BO78" s="6">
        <f t="shared" ref="BO78:BQ78" si="87">IF(ISNUMBER(SEARCH("5",BK78)),5,IF(ISNUMBER(SEARCH("*8*",BK78)),8,IF(ISNUMBER(SEARCH("*10*",BK78)),10,IF(ISNUMBER(SEARCH("*12*",BK78)),12,IF(ISNUMBER(SEARCH("*20*",BK78)),20)))))</f>
        <v>10</v>
      </c>
      <c r="BP78" s="6">
        <f t="shared" si="87"/>
        <v>10</v>
      </c>
      <c r="BQ78" s="6">
        <f t="shared" si="87"/>
        <v>8</v>
      </c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</row>
    <row r="79" ht="15.75" customHeight="1">
      <c r="A79" s="1" t="s">
        <v>173</v>
      </c>
      <c r="B79" s="17">
        <v>720.0</v>
      </c>
      <c r="C79" s="17">
        <v>3.0</v>
      </c>
      <c r="D79" s="17" t="s">
        <v>299</v>
      </c>
      <c r="E79" s="9" t="s">
        <v>85</v>
      </c>
      <c r="F79" s="9" t="s">
        <v>85</v>
      </c>
      <c r="G79" s="9">
        <v>0.629333</v>
      </c>
      <c r="H79" s="9" t="s">
        <v>85</v>
      </c>
      <c r="I79" s="9" t="s">
        <v>85</v>
      </c>
      <c r="J79" s="9">
        <v>0.333333</v>
      </c>
      <c r="K79" s="9" t="s">
        <v>85</v>
      </c>
      <c r="L79" s="9" t="s">
        <v>85</v>
      </c>
      <c r="M79" s="9">
        <v>0.752</v>
      </c>
      <c r="N79" s="9" t="s">
        <v>85</v>
      </c>
      <c r="O79" s="9" t="s">
        <v>85</v>
      </c>
      <c r="P79" s="9">
        <v>0.754667</v>
      </c>
      <c r="Q79" s="9" t="s">
        <v>85</v>
      </c>
      <c r="R79" s="9" t="s">
        <v>85</v>
      </c>
      <c r="S79" s="9">
        <v>0.52</v>
      </c>
      <c r="T79" s="9" t="s">
        <v>85</v>
      </c>
      <c r="U79" s="9" t="s">
        <v>85</v>
      </c>
      <c r="V79" s="9">
        <v>0.442667</v>
      </c>
      <c r="W79" s="9" t="s">
        <v>85</v>
      </c>
      <c r="X79" s="9" t="s">
        <v>85</v>
      </c>
      <c r="Y79" s="9">
        <v>0.805333</v>
      </c>
      <c r="Z79" s="9" t="s">
        <v>85</v>
      </c>
      <c r="AA79" s="9" t="s">
        <v>85</v>
      </c>
      <c r="AB79" s="9">
        <v>0.797333</v>
      </c>
      <c r="AC79" s="10" t="s">
        <v>85</v>
      </c>
      <c r="AD79" s="10" t="s">
        <v>85</v>
      </c>
      <c r="AE79" s="9">
        <v>0.624</v>
      </c>
      <c r="AF79" s="9" t="s">
        <v>85</v>
      </c>
      <c r="AG79" s="9" t="s">
        <v>85</v>
      </c>
      <c r="AH79" s="9">
        <v>0.64</v>
      </c>
      <c r="AI79" s="9" t="s">
        <v>85</v>
      </c>
      <c r="AJ79" s="9" t="s">
        <v>85</v>
      </c>
      <c r="AK79" s="9">
        <v>0.792</v>
      </c>
      <c r="AL79" s="9" t="s">
        <v>85</v>
      </c>
      <c r="AM79" s="9" t="s">
        <v>85</v>
      </c>
      <c r="AN79" s="9">
        <v>0.789333</v>
      </c>
      <c r="AO79" s="9" t="s">
        <v>85</v>
      </c>
      <c r="AP79" s="9" t="s">
        <v>85</v>
      </c>
      <c r="AQ79" s="9">
        <v>0.616</v>
      </c>
      <c r="AR79" s="9" t="s">
        <v>85</v>
      </c>
      <c r="AS79" s="9" t="s">
        <v>85</v>
      </c>
      <c r="AT79" s="9">
        <v>0.632</v>
      </c>
      <c r="AU79" s="9" t="s">
        <v>85</v>
      </c>
      <c r="AV79" s="9" t="s">
        <v>85</v>
      </c>
      <c r="AW79" s="9">
        <v>0.781333</v>
      </c>
      <c r="AX79" s="9" t="s">
        <v>85</v>
      </c>
      <c r="AY79" s="9" t="s">
        <v>85</v>
      </c>
      <c r="AZ79" s="9">
        <v>0.768</v>
      </c>
      <c r="BA79" s="9" t="s">
        <v>85</v>
      </c>
      <c r="BB79" s="9" t="s">
        <v>85</v>
      </c>
      <c r="BC79" s="9">
        <v>0.664</v>
      </c>
      <c r="BD79" s="10" t="s">
        <v>85</v>
      </c>
      <c r="BE79" s="10" t="s">
        <v>85</v>
      </c>
      <c r="BF79" s="9">
        <v>0.786667</v>
      </c>
      <c r="BG79" s="10" t="s">
        <v>85</v>
      </c>
      <c r="BH79" s="10" t="s">
        <v>85</v>
      </c>
      <c r="BI79" s="9" t="s">
        <v>85</v>
      </c>
      <c r="BJ79" s="6"/>
      <c r="BK79" s="6" t="str">
        <f t="shared" si="2"/>
        <v>8V_One_Acc</v>
      </c>
      <c r="BL79" s="6" t="str">
        <f t="shared" si="3"/>
        <v>8VB_One_Acc</v>
      </c>
      <c r="BM79" s="6" t="str">
        <f t="shared" si="4"/>
        <v>10V_One_Acc</v>
      </c>
      <c r="BN79" s="6"/>
      <c r="BO79" s="6">
        <f t="shared" ref="BO79:BQ79" si="88">IF(ISNUMBER(SEARCH("5",BK79)),5,IF(ISNUMBER(SEARCH("*8*",BK79)),8,IF(ISNUMBER(SEARCH("*10*",BK79)),10,IF(ISNUMBER(SEARCH("*12*",BK79)),12,IF(ISNUMBER(SEARCH("*20*",BK79)),20)))))</f>
        <v>8</v>
      </c>
      <c r="BP79" s="6">
        <f t="shared" si="88"/>
        <v>8</v>
      </c>
      <c r="BQ79" s="6">
        <f t="shared" si="88"/>
        <v>10</v>
      </c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</row>
    <row r="80" ht="15.75" customHeight="1">
      <c r="A80" s="1" t="s">
        <v>174</v>
      </c>
      <c r="B80" s="17">
        <v>15.0</v>
      </c>
      <c r="C80" s="17">
        <v>3.0</v>
      </c>
      <c r="D80" s="17" t="s">
        <v>303</v>
      </c>
      <c r="E80" s="9" t="s">
        <v>85</v>
      </c>
      <c r="F80" s="9" t="s">
        <v>85</v>
      </c>
      <c r="G80" s="9">
        <v>0.96</v>
      </c>
      <c r="H80" s="9" t="s">
        <v>85</v>
      </c>
      <c r="I80" s="9" t="s">
        <v>85</v>
      </c>
      <c r="J80" s="9">
        <v>0.34</v>
      </c>
      <c r="K80" s="9" t="s">
        <v>85</v>
      </c>
      <c r="L80" s="9" t="s">
        <v>85</v>
      </c>
      <c r="M80" s="9">
        <v>0.906667</v>
      </c>
      <c r="N80" s="9" t="s">
        <v>85</v>
      </c>
      <c r="O80" s="9" t="s">
        <v>85</v>
      </c>
      <c r="P80" s="9">
        <v>0.946667</v>
      </c>
      <c r="Q80" s="9" t="s">
        <v>85</v>
      </c>
      <c r="R80" s="9" t="s">
        <v>85</v>
      </c>
      <c r="S80" s="9">
        <v>0.926667</v>
      </c>
      <c r="T80" s="9" t="s">
        <v>85</v>
      </c>
      <c r="U80" s="9" t="s">
        <v>85</v>
      </c>
      <c r="V80" s="9">
        <v>0.933333</v>
      </c>
      <c r="W80" s="9" t="s">
        <v>85</v>
      </c>
      <c r="X80" s="9" t="s">
        <v>85</v>
      </c>
      <c r="Y80" s="9">
        <v>0.34</v>
      </c>
      <c r="Z80" s="9" t="s">
        <v>85</v>
      </c>
      <c r="AA80" s="9" t="s">
        <v>85</v>
      </c>
      <c r="AB80" s="9">
        <v>0.946667</v>
      </c>
      <c r="AC80" s="10" t="s">
        <v>85</v>
      </c>
      <c r="AD80" s="10" t="s">
        <v>85</v>
      </c>
      <c r="AE80" s="9">
        <v>0.92</v>
      </c>
      <c r="AF80" s="9" t="s">
        <v>85</v>
      </c>
      <c r="AG80" s="9" t="s">
        <v>85</v>
      </c>
      <c r="AH80" s="9">
        <v>0.94</v>
      </c>
      <c r="AI80" s="9" t="s">
        <v>85</v>
      </c>
      <c r="AJ80" s="9" t="s">
        <v>85</v>
      </c>
      <c r="AK80" s="9">
        <v>0.42</v>
      </c>
      <c r="AL80" s="9" t="s">
        <v>85</v>
      </c>
      <c r="AM80" s="9" t="s">
        <v>85</v>
      </c>
      <c r="AN80" s="9">
        <v>0.966667</v>
      </c>
      <c r="AO80" s="9" t="s">
        <v>85</v>
      </c>
      <c r="AP80" s="9" t="s">
        <v>85</v>
      </c>
      <c r="AQ80" s="9">
        <v>0.933333</v>
      </c>
      <c r="AR80" s="9" t="s">
        <v>85</v>
      </c>
      <c r="AS80" s="9" t="s">
        <v>85</v>
      </c>
      <c r="AT80" s="9">
        <v>0.933333</v>
      </c>
      <c r="AU80" s="9" t="s">
        <v>85</v>
      </c>
      <c r="AV80" s="9" t="s">
        <v>85</v>
      </c>
      <c r="AW80" s="9">
        <v>0.373333</v>
      </c>
      <c r="AX80" s="9" t="s">
        <v>85</v>
      </c>
      <c r="AY80" s="9" t="s">
        <v>85</v>
      </c>
      <c r="AZ80" s="9">
        <v>0.94</v>
      </c>
      <c r="BA80" s="9" t="s">
        <v>85</v>
      </c>
      <c r="BB80" s="9" t="s">
        <v>85</v>
      </c>
      <c r="BC80" s="9">
        <v>0.706667</v>
      </c>
      <c r="BD80" s="10" t="s">
        <v>85</v>
      </c>
      <c r="BE80" s="10" t="s">
        <v>85</v>
      </c>
      <c r="BF80" s="9">
        <v>0.826667</v>
      </c>
      <c r="BG80" s="10" t="s">
        <v>85</v>
      </c>
      <c r="BH80" s="10" t="s">
        <v>85</v>
      </c>
      <c r="BI80" s="9" t="s">
        <v>85</v>
      </c>
      <c r="BJ80" s="6"/>
      <c r="BK80" s="6" t="str">
        <f t="shared" si="2"/>
        <v>10VB_One_Acc</v>
      </c>
      <c r="BL80" s="6" t="str">
        <f t="shared" si="3"/>
        <v>5Bo_One_Acc</v>
      </c>
      <c r="BM80" s="6" t="str">
        <f t="shared" si="4"/>
        <v>5VB_One_Acc</v>
      </c>
      <c r="BN80" s="6"/>
      <c r="BO80" s="6">
        <f t="shared" ref="BO80:BQ80" si="89">IF(ISNUMBER(SEARCH("5",BK80)),5,IF(ISNUMBER(SEARCH("*8*",BK80)),8,IF(ISNUMBER(SEARCH("*10*",BK80)),10,IF(ISNUMBER(SEARCH("*12*",BK80)),12,IF(ISNUMBER(SEARCH("*20*",BK80)),20)))))</f>
        <v>10</v>
      </c>
      <c r="BP80" s="6">
        <f t="shared" si="89"/>
        <v>5</v>
      </c>
      <c r="BQ80" s="6">
        <f t="shared" si="89"/>
        <v>5</v>
      </c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</row>
    <row r="81" ht="15.75" customHeight="1">
      <c r="A81" s="1" t="s">
        <v>175</v>
      </c>
      <c r="B81" s="17">
        <v>70.0</v>
      </c>
      <c r="C81" s="17">
        <v>2.0</v>
      </c>
      <c r="D81" s="17" t="s">
        <v>305</v>
      </c>
      <c r="E81" s="9" t="s">
        <v>85</v>
      </c>
      <c r="F81" s="9" t="s">
        <v>85</v>
      </c>
      <c r="G81" s="9">
        <v>0.557404</v>
      </c>
      <c r="H81" s="9" t="s">
        <v>85</v>
      </c>
      <c r="I81" s="9" t="s">
        <v>85</v>
      </c>
      <c r="J81" s="9">
        <v>0.570715</v>
      </c>
      <c r="K81" s="9" t="s">
        <v>85</v>
      </c>
      <c r="L81" s="9" t="s">
        <v>85</v>
      </c>
      <c r="M81" s="9">
        <v>0.607321</v>
      </c>
      <c r="N81" s="9" t="s">
        <v>85</v>
      </c>
      <c r="O81" s="9" t="s">
        <v>85</v>
      </c>
      <c r="P81" s="9">
        <v>0.627288</v>
      </c>
      <c r="Q81" s="9" t="s">
        <v>85</v>
      </c>
      <c r="R81" s="9" t="s">
        <v>85</v>
      </c>
      <c r="S81" s="9">
        <v>0.673877</v>
      </c>
      <c r="T81" s="9" t="s">
        <v>85</v>
      </c>
      <c r="U81" s="9" t="s">
        <v>85</v>
      </c>
      <c r="V81" s="9">
        <v>0.65391</v>
      </c>
      <c r="W81" s="9" t="s">
        <v>85</v>
      </c>
      <c r="X81" s="9" t="s">
        <v>85</v>
      </c>
      <c r="Y81" s="9">
        <v>0.524126</v>
      </c>
      <c r="Z81" s="9" t="s">
        <v>85</v>
      </c>
      <c r="AA81" s="9" t="s">
        <v>85</v>
      </c>
      <c r="AB81" s="9">
        <v>0.550749</v>
      </c>
      <c r="AC81" s="10" t="s">
        <v>85</v>
      </c>
      <c r="AD81" s="10" t="s">
        <v>85</v>
      </c>
      <c r="AE81" s="9">
        <v>0.580699</v>
      </c>
      <c r="AF81" s="9" t="s">
        <v>85</v>
      </c>
      <c r="AG81" s="9" t="s">
        <v>85</v>
      </c>
      <c r="AH81" s="9">
        <v>0.552413</v>
      </c>
      <c r="AI81" s="9" t="s">
        <v>85</v>
      </c>
      <c r="AJ81" s="9" t="s">
        <v>85</v>
      </c>
      <c r="AK81" s="9">
        <v>0.552413</v>
      </c>
      <c r="AL81" s="9" t="s">
        <v>85</v>
      </c>
      <c r="AM81" s="9" t="s">
        <v>85</v>
      </c>
      <c r="AN81" s="9">
        <v>0.580699</v>
      </c>
      <c r="AO81" s="9" t="s">
        <v>85</v>
      </c>
      <c r="AP81" s="9" t="s">
        <v>85</v>
      </c>
      <c r="AQ81" s="9">
        <v>0.603993</v>
      </c>
      <c r="AR81" s="9" t="s">
        <v>85</v>
      </c>
      <c r="AS81" s="9" t="s">
        <v>85</v>
      </c>
      <c r="AT81" s="9">
        <v>0.499168</v>
      </c>
      <c r="AU81" s="9" t="s">
        <v>85</v>
      </c>
      <c r="AV81" s="9" t="s">
        <v>85</v>
      </c>
      <c r="AW81" s="9">
        <v>0.630616</v>
      </c>
      <c r="AX81" s="9" t="s">
        <v>85</v>
      </c>
      <c r="AY81" s="9" t="s">
        <v>85</v>
      </c>
      <c r="AZ81" s="9">
        <v>0.677205</v>
      </c>
      <c r="BA81" s="9" t="s">
        <v>85</v>
      </c>
      <c r="BB81" s="9" t="s">
        <v>85</v>
      </c>
      <c r="BC81" s="9">
        <v>0.49584</v>
      </c>
      <c r="BD81" s="10" t="s">
        <v>85</v>
      </c>
      <c r="BE81" s="10" t="s">
        <v>85</v>
      </c>
      <c r="BF81" s="9">
        <v>0.667221</v>
      </c>
      <c r="BG81" s="10" t="s">
        <v>85</v>
      </c>
      <c r="BH81" s="10" t="s">
        <v>85</v>
      </c>
      <c r="BI81" s="9" t="s">
        <v>85</v>
      </c>
      <c r="BJ81" s="6"/>
      <c r="BK81" s="6" t="str">
        <f t="shared" si="2"/>
        <v>12VB_One_Acc</v>
      </c>
      <c r="BL81" s="6" t="str">
        <f t="shared" si="3"/>
        <v>8Bo_One_Acc</v>
      </c>
      <c r="BM81" s="6" t="str">
        <f t="shared" si="4"/>
        <v>20V_One_Acc</v>
      </c>
      <c r="BN81" s="6"/>
      <c r="BO81" s="6">
        <f t="shared" ref="BO81:BQ81" si="90">IF(ISNUMBER(SEARCH("5",BK81)),5,IF(ISNUMBER(SEARCH("*8*",BK81)),8,IF(ISNUMBER(SEARCH("*10*",BK81)),10,IF(ISNUMBER(SEARCH("*12*",BK81)),12,IF(ISNUMBER(SEARCH("*20*",BK81)),20)))))</f>
        <v>12</v>
      </c>
      <c r="BP81" s="6">
        <f t="shared" si="90"/>
        <v>8</v>
      </c>
      <c r="BQ81" s="6">
        <f t="shared" si="90"/>
        <v>20</v>
      </c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</row>
    <row r="82" ht="15.75" customHeight="1">
      <c r="A82" s="1" t="s">
        <v>176</v>
      </c>
      <c r="B82" s="17">
        <v>65.0</v>
      </c>
      <c r="C82" s="17">
        <v>2.0</v>
      </c>
      <c r="D82" s="17" t="s">
        <v>305</v>
      </c>
      <c r="E82" s="9" t="s">
        <v>85</v>
      </c>
      <c r="F82" s="9" t="s">
        <v>85</v>
      </c>
      <c r="G82" s="9">
        <v>0.743966</v>
      </c>
      <c r="H82" s="9" t="s">
        <v>85</v>
      </c>
      <c r="I82" s="9" t="s">
        <v>85</v>
      </c>
      <c r="J82" s="9">
        <v>0.616999</v>
      </c>
      <c r="K82" s="9" t="s">
        <v>85</v>
      </c>
      <c r="L82" s="9" t="s">
        <v>85</v>
      </c>
      <c r="M82" s="9">
        <v>0.766002</v>
      </c>
      <c r="N82" s="9" t="s">
        <v>85</v>
      </c>
      <c r="O82" s="9" t="s">
        <v>85</v>
      </c>
      <c r="P82" s="9">
        <v>0.767051</v>
      </c>
      <c r="Q82" s="9" t="s">
        <v>85</v>
      </c>
      <c r="R82" s="9" t="s">
        <v>85</v>
      </c>
      <c r="S82" s="9">
        <v>0.796432</v>
      </c>
      <c r="T82" s="9" t="s">
        <v>85</v>
      </c>
      <c r="U82" s="9" t="s">
        <v>85</v>
      </c>
      <c r="V82" s="9">
        <v>0.797482</v>
      </c>
      <c r="W82" s="9" t="s">
        <v>85</v>
      </c>
      <c r="X82" s="9" t="s">
        <v>85</v>
      </c>
      <c r="Y82" s="9">
        <v>0.779643</v>
      </c>
      <c r="Z82" s="9" t="s">
        <v>85</v>
      </c>
      <c r="AA82" s="9" t="s">
        <v>85</v>
      </c>
      <c r="AB82" s="9">
        <v>0.782791</v>
      </c>
      <c r="AC82" s="10" t="s">
        <v>85</v>
      </c>
      <c r="AD82" s="10" t="s">
        <v>85</v>
      </c>
      <c r="AE82" s="9">
        <v>0.779643</v>
      </c>
      <c r="AF82" s="9" t="s">
        <v>85</v>
      </c>
      <c r="AG82" s="9" t="s">
        <v>85</v>
      </c>
      <c r="AH82" s="9">
        <v>0.776495</v>
      </c>
      <c r="AI82" s="9" t="s">
        <v>85</v>
      </c>
      <c r="AJ82" s="9" t="s">
        <v>85</v>
      </c>
      <c r="AK82" s="9">
        <v>0.755509</v>
      </c>
      <c r="AL82" s="9" t="s">
        <v>85</v>
      </c>
      <c r="AM82" s="9" t="s">
        <v>85</v>
      </c>
      <c r="AN82" s="9">
        <v>0.743966</v>
      </c>
      <c r="AO82" s="9" t="s">
        <v>85</v>
      </c>
      <c r="AP82" s="9" t="s">
        <v>85</v>
      </c>
      <c r="AQ82" s="9">
        <v>0.796432</v>
      </c>
      <c r="AR82" s="9" t="s">
        <v>85</v>
      </c>
      <c r="AS82" s="9" t="s">
        <v>85</v>
      </c>
      <c r="AT82" s="9">
        <v>0.795383</v>
      </c>
      <c r="AU82" s="9" t="s">
        <v>85</v>
      </c>
      <c r="AV82" s="9" t="s">
        <v>85</v>
      </c>
      <c r="AW82" s="9">
        <v>0.795383</v>
      </c>
      <c r="AX82" s="9" t="s">
        <v>85</v>
      </c>
      <c r="AY82" s="9" t="s">
        <v>85</v>
      </c>
      <c r="AZ82" s="9">
        <v>0.798531</v>
      </c>
      <c r="BA82" s="9" t="s">
        <v>85</v>
      </c>
      <c r="BB82" s="9" t="s">
        <v>85</v>
      </c>
      <c r="BC82" s="9">
        <v>0.78489</v>
      </c>
      <c r="BD82" s="10" t="s">
        <v>85</v>
      </c>
      <c r="BE82" s="10" t="s">
        <v>85</v>
      </c>
      <c r="BF82" s="9">
        <v>0.803778</v>
      </c>
      <c r="BG82" s="10" t="s">
        <v>85</v>
      </c>
      <c r="BH82" s="10" t="s">
        <v>85</v>
      </c>
      <c r="BI82" s="9" t="s">
        <v>85</v>
      </c>
      <c r="BJ82" s="6"/>
      <c r="BK82" s="6" t="str">
        <f t="shared" si="2"/>
        <v>20V_One_Acc</v>
      </c>
      <c r="BL82" s="6" t="str">
        <f t="shared" si="3"/>
        <v>12VB_One_Acc</v>
      </c>
      <c r="BM82" s="6" t="str">
        <f t="shared" si="4"/>
        <v>8BoN_One_Acc</v>
      </c>
      <c r="BN82" s="6"/>
      <c r="BO82" s="6">
        <f t="shared" ref="BO82:BQ82" si="91">IF(ISNUMBER(SEARCH("5",BK82)),5,IF(ISNUMBER(SEARCH("*8*",BK82)),8,IF(ISNUMBER(SEARCH("*10*",BK82)),10,IF(ISNUMBER(SEARCH("*12*",BK82)),12,IF(ISNUMBER(SEARCH("*20*",BK82)),20)))))</f>
        <v>20</v>
      </c>
      <c r="BP82" s="6">
        <f t="shared" si="91"/>
        <v>12</v>
      </c>
      <c r="BQ82" s="6">
        <f t="shared" si="91"/>
        <v>8</v>
      </c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</row>
    <row r="83" ht="15.75" customHeight="1">
      <c r="A83" s="1" t="s">
        <v>177</v>
      </c>
      <c r="B83" s="17">
        <v>1024.0</v>
      </c>
      <c r="C83" s="17">
        <v>3.0</v>
      </c>
      <c r="D83" s="17" t="s">
        <v>305</v>
      </c>
      <c r="E83" s="9" t="s">
        <v>85</v>
      </c>
      <c r="F83" s="9" t="s">
        <v>85</v>
      </c>
      <c r="G83" s="9">
        <v>0.927635</v>
      </c>
      <c r="H83" s="9" t="s">
        <v>85</v>
      </c>
      <c r="I83" s="9" t="s">
        <v>85</v>
      </c>
      <c r="J83" s="9">
        <v>0.577222</v>
      </c>
      <c r="K83" s="9" t="s">
        <v>85</v>
      </c>
      <c r="L83" s="9" t="s">
        <v>85</v>
      </c>
      <c r="M83" s="9">
        <v>0.930792</v>
      </c>
      <c r="N83" s="9" t="s">
        <v>85</v>
      </c>
      <c r="O83" s="9" t="s">
        <v>85</v>
      </c>
      <c r="P83" s="9">
        <v>0.932127</v>
      </c>
      <c r="Q83" s="9" t="s">
        <v>85</v>
      </c>
      <c r="R83" s="9" t="s">
        <v>85</v>
      </c>
      <c r="S83" s="9">
        <v>0.93407</v>
      </c>
      <c r="T83" s="9" t="s">
        <v>85</v>
      </c>
      <c r="U83" s="9" t="s">
        <v>85</v>
      </c>
      <c r="V83" s="9">
        <v>0.934677</v>
      </c>
      <c r="W83" s="9" t="s">
        <v>85</v>
      </c>
      <c r="X83" s="9" t="s">
        <v>85</v>
      </c>
      <c r="Y83" s="9">
        <v>0.934556</v>
      </c>
      <c r="Z83" s="9" t="s">
        <v>85</v>
      </c>
      <c r="AA83" s="9" t="s">
        <v>85</v>
      </c>
      <c r="AB83" s="9">
        <v>0.937227</v>
      </c>
      <c r="AC83" s="10" t="s">
        <v>85</v>
      </c>
      <c r="AD83" s="10" t="s">
        <v>85</v>
      </c>
      <c r="AE83" s="9">
        <v>0.934556</v>
      </c>
      <c r="AF83" s="9" t="s">
        <v>85</v>
      </c>
      <c r="AG83" s="9" t="s">
        <v>85</v>
      </c>
      <c r="AH83" s="9">
        <v>0.930792</v>
      </c>
      <c r="AI83" s="9" t="s">
        <v>85</v>
      </c>
      <c r="AJ83" s="9" t="s">
        <v>85</v>
      </c>
      <c r="AK83" s="9">
        <v>0.937834</v>
      </c>
      <c r="AL83" s="9" t="s">
        <v>85</v>
      </c>
      <c r="AM83" s="9" t="s">
        <v>85</v>
      </c>
      <c r="AN83" s="9">
        <v>0.939412</v>
      </c>
      <c r="AO83" s="9" t="s">
        <v>85</v>
      </c>
      <c r="AP83" s="9" t="s">
        <v>85</v>
      </c>
      <c r="AQ83" s="9">
        <v>0.941234</v>
      </c>
      <c r="AR83" s="9" t="s">
        <v>85</v>
      </c>
      <c r="AS83" s="9" t="s">
        <v>85</v>
      </c>
      <c r="AT83" s="9">
        <v>0.93577</v>
      </c>
      <c r="AU83" s="9" t="s">
        <v>85</v>
      </c>
      <c r="AV83" s="9" t="s">
        <v>85</v>
      </c>
      <c r="AW83" s="9">
        <v>0.95034</v>
      </c>
      <c r="AX83" s="9" t="s">
        <v>85</v>
      </c>
      <c r="AY83" s="9" t="s">
        <v>85</v>
      </c>
      <c r="AZ83" s="9">
        <v>0.953254</v>
      </c>
      <c r="BA83" s="9" t="s">
        <v>85</v>
      </c>
      <c r="BB83" s="9" t="s">
        <v>85</v>
      </c>
      <c r="BC83" s="9">
        <v>0.940869</v>
      </c>
      <c r="BD83" s="10" t="s">
        <v>85</v>
      </c>
      <c r="BE83" s="10" t="s">
        <v>85</v>
      </c>
      <c r="BF83" s="9">
        <v>0.954104</v>
      </c>
      <c r="BG83" s="10" t="s">
        <v>85</v>
      </c>
      <c r="BH83" s="10" t="s">
        <v>85</v>
      </c>
      <c r="BI83" s="9" t="s">
        <v>85</v>
      </c>
      <c r="BJ83" s="6"/>
      <c r="BK83" s="6" t="str">
        <f t="shared" si="2"/>
        <v>20V_One_Acc</v>
      </c>
      <c r="BL83" s="6" t="str">
        <f t="shared" si="3"/>
        <v>12VB_One_Acc</v>
      </c>
      <c r="BM83" s="6" t="str">
        <f t="shared" si="4"/>
        <v>12V_One_Acc</v>
      </c>
      <c r="BN83" s="6"/>
      <c r="BO83" s="6">
        <f t="shared" ref="BO83:BQ83" si="92">IF(ISNUMBER(SEARCH("5",BK83)),5,IF(ISNUMBER(SEARCH("*8*",BK83)),8,IF(ISNUMBER(SEARCH("*10*",BK83)),10,IF(ISNUMBER(SEARCH("*12*",BK83)),12,IF(ISNUMBER(SEARCH("*20*",BK83)),20)))))</f>
        <v>20</v>
      </c>
      <c r="BP83" s="6">
        <f t="shared" si="92"/>
        <v>12</v>
      </c>
      <c r="BQ83" s="6">
        <f t="shared" si="92"/>
        <v>12</v>
      </c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</row>
    <row r="84" ht="15.75" customHeight="1">
      <c r="A84" s="1" t="s">
        <v>178</v>
      </c>
      <c r="B84" s="17">
        <v>235.0</v>
      </c>
      <c r="C84" s="17">
        <v>2.0</v>
      </c>
      <c r="D84" s="17" t="s">
        <v>302</v>
      </c>
      <c r="E84" s="9" t="s">
        <v>85</v>
      </c>
      <c r="F84" s="9" t="s">
        <v>85</v>
      </c>
      <c r="G84" s="9">
        <v>0.908108</v>
      </c>
      <c r="H84" s="9" t="s">
        <v>85</v>
      </c>
      <c r="I84" s="9" t="s">
        <v>85</v>
      </c>
      <c r="J84" s="9">
        <v>0.643243</v>
      </c>
      <c r="K84" s="9" t="s">
        <v>85</v>
      </c>
      <c r="L84" s="9" t="s">
        <v>85</v>
      </c>
      <c r="M84" s="9">
        <v>0.910811</v>
      </c>
      <c r="N84" s="9" t="s">
        <v>85</v>
      </c>
      <c r="O84" s="9" t="s">
        <v>85</v>
      </c>
      <c r="P84" s="9">
        <v>0.913514</v>
      </c>
      <c r="Q84" s="9" t="s">
        <v>85</v>
      </c>
      <c r="R84" s="9" t="s">
        <v>85</v>
      </c>
      <c r="S84" s="9">
        <v>0.92973</v>
      </c>
      <c r="T84" s="9" t="s">
        <v>85</v>
      </c>
      <c r="U84" s="9" t="s">
        <v>85</v>
      </c>
      <c r="V84" s="9">
        <v>0.910811</v>
      </c>
      <c r="W84" s="9" t="s">
        <v>85</v>
      </c>
      <c r="X84" s="9" t="s">
        <v>85</v>
      </c>
      <c r="Y84" s="9">
        <v>0.897297</v>
      </c>
      <c r="Z84" s="9" t="s">
        <v>85</v>
      </c>
      <c r="AA84" s="9" t="s">
        <v>85</v>
      </c>
      <c r="AB84" s="9">
        <v>0.910811</v>
      </c>
      <c r="AC84" s="10" t="s">
        <v>85</v>
      </c>
      <c r="AD84" s="10" t="s">
        <v>85</v>
      </c>
      <c r="AE84" s="9">
        <v>0.92973</v>
      </c>
      <c r="AF84" s="9" t="s">
        <v>85</v>
      </c>
      <c r="AG84" s="9" t="s">
        <v>85</v>
      </c>
      <c r="AH84" s="9">
        <v>0.924324</v>
      </c>
      <c r="AI84" s="9" t="s">
        <v>85</v>
      </c>
      <c r="AJ84" s="9" t="s">
        <v>85</v>
      </c>
      <c r="AK84" s="9">
        <v>0.918919</v>
      </c>
      <c r="AL84" s="9" t="s">
        <v>85</v>
      </c>
      <c r="AM84" s="9" t="s">
        <v>85</v>
      </c>
      <c r="AN84" s="9">
        <v>0.918919</v>
      </c>
      <c r="AO84" s="9" t="s">
        <v>85</v>
      </c>
      <c r="AP84" s="9" t="s">
        <v>85</v>
      </c>
      <c r="AQ84" s="9">
        <v>0.940541</v>
      </c>
      <c r="AR84" s="9" t="s">
        <v>85</v>
      </c>
      <c r="AS84" s="9" t="s">
        <v>85</v>
      </c>
      <c r="AT84" s="9">
        <v>0.927027</v>
      </c>
      <c r="AU84" s="9" t="s">
        <v>85</v>
      </c>
      <c r="AV84" s="9" t="s">
        <v>85</v>
      </c>
      <c r="AW84" s="9">
        <v>0.937838</v>
      </c>
      <c r="AX84" s="9" t="s">
        <v>85</v>
      </c>
      <c r="AY84" s="9" t="s">
        <v>85</v>
      </c>
      <c r="AZ84" s="9">
        <v>0.951351</v>
      </c>
      <c r="BA84" s="9" t="s">
        <v>85</v>
      </c>
      <c r="BB84" s="9" t="s">
        <v>85</v>
      </c>
      <c r="BC84" s="9">
        <v>0.935135</v>
      </c>
      <c r="BD84" s="10" t="s">
        <v>85</v>
      </c>
      <c r="BE84" s="10" t="s">
        <v>85</v>
      </c>
      <c r="BF84" s="9">
        <v>0.943243</v>
      </c>
      <c r="BG84" s="10" t="s">
        <v>85</v>
      </c>
      <c r="BH84" s="10" t="s">
        <v>85</v>
      </c>
      <c r="BI84" s="9" t="s">
        <v>85</v>
      </c>
      <c r="BJ84" s="6"/>
      <c r="BK84" s="6" t="str">
        <f t="shared" si="2"/>
        <v>12VB_One_Acc</v>
      </c>
      <c r="BL84" s="6" t="str">
        <f t="shared" si="3"/>
        <v>20V_One_Acc</v>
      </c>
      <c r="BM84" s="6" t="str">
        <f t="shared" si="4"/>
        <v>12Bo_One_Acc</v>
      </c>
      <c r="BN84" s="6"/>
      <c r="BO84" s="6">
        <f t="shared" ref="BO84:BQ84" si="93">IF(ISNUMBER(SEARCH("5",BK84)),5,IF(ISNUMBER(SEARCH("*8*",BK84)),8,IF(ISNUMBER(SEARCH("*10*",BK84)),10,IF(ISNUMBER(SEARCH("*12*",BK84)),12,IF(ISNUMBER(SEARCH("*20*",BK84)),20)))))</f>
        <v>12</v>
      </c>
      <c r="BP84" s="6">
        <f t="shared" si="93"/>
        <v>20</v>
      </c>
      <c r="BQ84" s="6">
        <f t="shared" si="93"/>
        <v>12</v>
      </c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</row>
    <row r="85" ht="15.75" customHeight="1">
      <c r="A85" s="1" t="s">
        <v>179</v>
      </c>
      <c r="B85" s="17">
        <v>128.0</v>
      </c>
      <c r="C85" s="17">
        <v>15.0</v>
      </c>
      <c r="D85" s="17" t="s">
        <v>300</v>
      </c>
      <c r="E85" s="9" t="s">
        <v>85</v>
      </c>
      <c r="F85" s="9" t="s">
        <v>85</v>
      </c>
      <c r="G85" s="9">
        <v>0.7408</v>
      </c>
      <c r="H85" s="9" t="s">
        <v>85</v>
      </c>
      <c r="I85" s="9" t="s">
        <v>85</v>
      </c>
      <c r="J85" s="9">
        <v>0.0528</v>
      </c>
      <c r="K85" s="9" t="s">
        <v>85</v>
      </c>
      <c r="L85" s="9" t="s">
        <v>85</v>
      </c>
      <c r="M85" s="9">
        <v>0.7808</v>
      </c>
      <c r="N85" s="9" t="s">
        <v>85</v>
      </c>
      <c r="O85" s="9" t="s">
        <v>85</v>
      </c>
      <c r="P85" s="9">
        <v>0.5424</v>
      </c>
      <c r="Q85" s="9" t="s">
        <v>85</v>
      </c>
      <c r="R85" s="9" t="s">
        <v>85</v>
      </c>
      <c r="S85" s="9">
        <v>0.7216</v>
      </c>
      <c r="T85" s="9" t="s">
        <v>85</v>
      </c>
      <c r="U85" s="9" t="s">
        <v>85</v>
      </c>
      <c r="V85" s="9">
        <v>0.7856</v>
      </c>
      <c r="W85" s="9" t="s">
        <v>85</v>
      </c>
      <c r="X85" s="9" t="s">
        <v>85</v>
      </c>
      <c r="Y85" s="9">
        <v>0.8352</v>
      </c>
      <c r="Z85" s="9" t="s">
        <v>85</v>
      </c>
      <c r="AA85" s="9" t="s">
        <v>85</v>
      </c>
      <c r="AB85" s="9">
        <v>0.592</v>
      </c>
      <c r="AC85" s="10" t="s">
        <v>85</v>
      </c>
      <c r="AD85" s="10" t="s">
        <v>85</v>
      </c>
      <c r="AE85" s="9">
        <v>0.7504</v>
      </c>
      <c r="AF85" s="9" t="s">
        <v>85</v>
      </c>
      <c r="AG85" s="9" t="s">
        <v>85</v>
      </c>
      <c r="AH85" s="9">
        <v>0.7984</v>
      </c>
      <c r="AI85" s="9" t="s">
        <v>85</v>
      </c>
      <c r="AJ85" s="9" t="s">
        <v>85</v>
      </c>
      <c r="AK85" s="9">
        <v>0.7568</v>
      </c>
      <c r="AL85" s="9" t="s">
        <v>85</v>
      </c>
      <c r="AM85" s="9" t="s">
        <v>85</v>
      </c>
      <c r="AN85" s="9">
        <v>0.8288</v>
      </c>
      <c r="AO85" s="9" t="s">
        <v>85</v>
      </c>
      <c r="AP85" s="9" t="s">
        <v>85</v>
      </c>
      <c r="AQ85" s="9">
        <v>0.8144</v>
      </c>
      <c r="AR85" s="9" t="s">
        <v>85</v>
      </c>
      <c r="AS85" s="9" t="s">
        <v>85</v>
      </c>
      <c r="AT85" s="9">
        <v>0.7872</v>
      </c>
      <c r="AU85" s="9" t="s">
        <v>85</v>
      </c>
      <c r="AV85" s="9" t="s">
        <v>85</v>
      </c>
      <c r="AW85" s="9">
        <v>0.8272</v>
      </c>
      <c r="AX85" s="9" t="s">
        <v>85</v>
      </c>
      <c r="AY85" s="9" t="s">
        <v>85</v>
      </c>
      <c r="AZ85" s="9">
        <v>0.5824</v>
      </c>
      <c r="BA85" s="9" t="s">
        <v>85</v>
      </c>
      <c r="BB85" s="9" t="s">
        <v>85</v>
      </c>
      <c r="BC85" s="9">
        <v>0.8016</v>
      </c>
      <c r="BD85" s="10" t="s">
        <v>85</v>
      </c>
      <c r="BE85" s="10" t="s">
        <v>85</v>
      </c>
      <c r="BF85" s="9">
        <v>0.5024</v>
      </c>
      <c r="BG85" s="10" t="s">
        <v>85</v>
      </c>
      <c r="BH85" s="10" t="s">
        <v>85</v>
      </c>
      <c r="BI85" s="9" t="s">
        <v>85</v>
      </c>
      <c r="BJ85" s="6"/>
      <c r="BK85" s="6" t="str">
        <f t="shared" si="2"/>
        <v>8V_One_Acc</v>
      </c>
      <c r="BL85" s="6" t="str">
        <f t="shared" si="3"/>
        <v>10VB_One_Acc</v>
      </c>
      <c r="BM85" s="6" t="str">
        <f t="shared" si="4"/>
        <v>12V_One_Acc</v>
      </c>
      <c r="BN85" s="6"/>
      <c r="BO85" s="6">
        <f t="shared" ref="BO85:BQ85" si="94">IF(ISNUMBER(SEARCH("5",BK85)),5,IF(ISNUMBER(SEARCH("*8*",BK85)),8,IF(ISNUMBER(SEARCH("*10*",BK85)),10,IF(ISNUMBER(SEARCH("*12*",BK85)),12,IF(ISNUMBER(SEARCH("*20*",BK85)),20)))))</f>
        <v>8</v>
      </c>
      <c r="BP85" s="6">
        <f t="shared" si="94"/>
        <v>10</v>
      </c>
      <c r="BQ85" s="6">
        <f t="shared" si="94"/>
        <v>12</v>
      </c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</row>
    <row r="86" ht="15.75" customHeight="1">
      <c r="A86" s="1" t="s">
        <v>180</v>
      </c>
      <c r="B86" s="17">
        <v>398.0</v>
      </c>
      <c r="C86" s="17">
        <v>6.0</v>
      </c>
      <c r="D86" s="17" t="s">
        <v>300</v>
      </c>
      <c r="E86" s="9" t="s">
        <v>85</v>
      </c>
      <c r="F86" s="9" t="s">
        <v>85</v>
      </c>
      <c r="G86" s="9">
        <v>0.738693</v>
      </c>
      <c r="H86" s="9" t="s">
        <v>85</v>
      </c>
      <c r="I86" s="9" t="s">
        <v>85</v>
      </c>
      <c r="J86" s="9">
        <v>0.173869</v>
      </c>
      <c r="K86" s="9" t="s">
        <v>85</v>
      </c>
      <c r="L86" s="9" t="s">
        <v>85</v>
      </c>
      <c r="M86" s="9">
        <v>0.747739</v>
      </c>
      <c r="N86" s="9" t="s">
        <v>85</v>
      </c>
      <c r="O86" s="9" t="s">
        <v>85</v>
      </c>
      <c r="P86" s="9">
        <v>0.78995</v>
      </c>
      <c r="Q86" s="9" t="s">
        <v>85</v>
      </c>
      <c r="R86" s="9" t="s">
        <v>85</v>
      </c>
      <c r="S86" s="9">
        <v>0.735678</v>
      </c>
      <c r="T86" s="9" t="s">
        <v>85</v>
      </c>
      <c r="U86" s="9" t="s">
        <v>85</v>
      </c>
      <c r="V86" s="9">
        <v>0.809045</v>
      </c>
      <c r="W86" s="9" t="s">
        <v>85</v>
      </c>
      <c r="X86" s="9" t="s">
        <v>85</v>
      </c>
      <c r="Y86" s="9">
        <v>0.777889</v>
      </c>
      <c r="Z86" s="9" t="s">
        <v>85</v>
      </c>
      <c r="AA86" s="9" t="s">
        <v>85</v>
      </c>
      <c r="AB86" s="9">
        <v>0.838191</v>
      </c>
      <c r="AC86" s="10" t="s">
        <v>85</v>
      </c>
      <c r="AD86" s="10" t="s">
        <v>85</v>
      </c>
      <c r="AE86" s="9">
        <v>0.750754</v>
      </c>
      <c r="AF86" s="9" t="s">
        <v>85</v>
      </c>
      <c r="AG86" s="9" t="s">
        <v>85</v>
      </c>
      <c r="AH86" s="9">
        <v>0.715578</v>
      </c>
      <c r="AI86" s="9" t="s">
        <v>85</v>
      </c>
      <c r="AJ86" s="9" t="s">
        <v>85</v>
      </c>
      <c r="AK86" s="9">
        <v>0.729648</v>
      </c>
      <c r="AL86" s="9" t="s">
        <v>85</v>
      </c>
      <c r="AM86" s="9" t="s">
        <v>85</v>
      </c>
      <c r="AN86" s="9">
        <v>0.776884</v>
      </c>
      <c r="AO86" s="9" t="s">
        <v>85</v>
      </c>
      <c r="AP86" s="9" t="s">
        <v>85</v>
      </c>
      <c r="AQ86" s="9">
        <v>0.743719</v>
      </c>
      <c r="AR86" s="9" t="s">
        <v>85</v>
      </c>
      <c r="AS86" s="9" t="s">
        <v>85</v>
      </c>
      <c r="AT86" s="9">
        <v>0.768844</v>
      </c>
      <c r="AU86" s="9" t="s">
        <v>85</v>
      </c>
      <c r="AV86" s="9" t="s">
        <v>85</v>
      </c>
      <c r="AW86" s="9">
        <v>0.780905</v>
      </c>
      <c r="AX86" s="9" t="s">
        <v>85</v>
      </c>
      <c r="AY86" s="9" t="s">
        <v>85</v>
      </c>
      <c r="AZ86" s="9">
        <v>0.81407</v>
      </c>
      <c r="BA86" s="9" t="s">
        <v>85</v>
      </c>
      <c r="BB86" s="9" t="s">
        <v>85</v>
      </c>
      <c r="BC86" s="9">
        <v>0.61206</v>
      </c>
      <c r="BD86" s="10" t="s">
        <v>85</v>
      </c>
      <c r="BE86" s="10" t="s">
        <v>85</v>
      </c>
      <c r="BF86" s="9">
        <v>0.78191</v>
      </c>
      <c r="BG86" s="10" t="s">
        <v>85</v>
      </c>
      <c r="BH86" s="10" t="s">
        <v>85</v>
      </c>
      <c r="BI86" s="9" t="s">
        <v>85</v>
      </c>
      <c r="BJ86" s="6"/>
      <c r="BK86" s="6" t="str">
        <f t="shared" si="2"/>
        <v>8VB_One_Acc</v>
      </c>
      <c r="BL86" s="6" t="str">
        <f t="shared" si="3"/>
        <v>12VB_One_Acc</v>
      </c>
      <c r="BM86" s="6" t="str">
        <f t="shared" si="4"/>
        <v>8BoN_One_Acc</v>
      </c>
      <c r="BN86" s="6"/>
      <c r="BO86" s="6">
        <f t="shared" ref="BO86:BQ86" si="95">IF(ISNUMBER(SEARCH("5",BK86)),5,IF(ISNUMBER(SEARCH("*8*",BK86)),8,IF(ISNUMBER(SEARCH("*10*",BK86)),10,IF(ISNUMBER(SEARCH("*12*",BK86)),12,IF(ISNUMBER(SEARCH("*20*",BK86)),20)))))</f>
        <v>8</v>
      </c>
      <c r="BP86" s="6">
        <f t="shared" si="95"/>
        <v>12</v>
      </c>
      <c r="BQ86" s="6">
        <f t="shared" si="95"/>
        <v>8</v>
      </c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</row>
    <row r="87" ht="15.75" customHeight="1">
      <c r="A87" s="1" t="s">
        <v>181</v>
      </c>
      <c r="B87" s="17">
        <v>60.0</v>
      </c>
      <c r="C87" s="17">
        <v>6.0</v>
      </c>
      <c r="D87" s="17" t="s">
        <v>303</v>
      </c>
      <c r="E87" s="9" t="s">
        <v>85</v>
      </c>
      <c r="F87" s="9" t="s">
        <v>85</v>
      </c>
      <c r="G87" s="9">
        <v>0.963333</v>
      </c>
      <c r="H87" s="9" t="s">
        <v>85</v>
      </c>
      <c r="I87" s="9" t="s">
        <v>85</v>
      </c>
      <c r="J87" s="9">
        <v>0.166667</v>
      </c>
      <c r="K87" s="9" t="s">
        <v>85</v>
      </c>
      <c r="L87" s="9" t="s">
        <v>85</v>
      </c>
      <c r="M87" s="9">
        <v>0.94</v>
      </c>
      <c r="N87" s="9" t="s">
        <v>85</v>
      </c>
      <c r="O87" s="9" t="s">
        <v>85</v>
      </c>
      <c r="P87" s="9">
        <v>0.943333</v>
      </c>
      <c r="Q87" s="9" t="s">
        <v>85</v>
      </c>
      <c r="R87" s="9" t="s">
        <v>85</v>
      </c>
      <c r="S87" s="9">
        <v>0.963333</v>
      </c>
      <c r="T87" s="9" t="s">
        <v>85</v>
      </c>
      <c r="U87" s="9" t="s">
        <v>85</v>
      </c>
      <c r="V87" s="9">
        <v>0.96</v>
      </c>
      <c r="W87" s="9" t="s">
        <v>85</v>
      </c>
      <c r="X87" s="9" t="s">
        <v>85</v>
      </c>
      <c r="Y87" s="9">
        <v>0.933333</v>
      </c>
      <c r="Z87" s="9" t="s">
        <v>85</v>
      </c>
      <c r="AA87" s="9" t="s">
        <v>85</v>
      </c>
      <c r="AB87" s="9">
        <v>0.93</v>
      </c>
      <c r="AC87" s="10" t="s">
        <v>85</v>
      </c>
      <c r="AD87" s="10" t="s">
        <v>85</v>
      </c>
      <c r="AE87" s="9">
        <v>0.946667</v>
      </c>
      <c r="AF87" s="9" t="s">
        <v>85</v>
      </c>
      <c r="AG87" s="9" t="s">
        <v>85</v>
      </c>
      <c r="AH87" s="9">
        <v>0.96</v>
      </c>
      <c r="AI87" s="9" t="s">
        <v>85</v>
      </c>
      <c r="AJ87" s="9" t="s">
        <v>85</v>
      </c>
      <c r="AK87" s="9">
        <v>0.963333</v>
      </c>
      <c r="AL87" s="9" t="s">
        <v>85</v>
      </c>
      <c r="AM87" s="9" t="s">
        <v>85</v>
      </c>
      <c r="AN87" s="9">
        <v>0.953333</v>
      </c>
      <c r="AO87" s="9" t="s">
        <v>85</v>
      </c>
      <c r="AP87" s="9" t="s">
        <v>85</v>
      </c>
      <c r="AQ87" s="9">
        <v>0.983333</v>
      </c>
      <c r="AR87" s="9" t="s">
        <v>85</v>
      </c>
      <c r="AS87" s="9" t="s">
        <v>85</v>
      </c>
      <c r="AT87" s="9">
        <v>0.983333</v>
      </c>
      <c r="AU87" s="9" t="s">
        <v>85</v>
      </c>
      <c r="AV87" s="9" t="s">
        <v>85</v>
      </c>
      <c r="AW87" s="9">
        <v>0.946667</v>
      </c>
      <c r="AX87" s="9" t="s">
        <v>85</v>
      </c>
      <c r="AY87" s="9" t="s">
        <v>85</v>
      </c>
      <c r="AZ87" s="9">
        <v>0.956667</v>
      </c>
      <c r="BA87" s="9" t="s">
        <v>85</v>
      </c>
      <c r="BB87" s="9" t="s">
        <v>85</v>
      </c>
      <c r="BC87" s="9">
        <v>0.993333</v>
      </c>
      <c r="BD87" s="10" t="s">
        <v>85</v>
      </c>
      <c r="BE87" s="10" t="s">
        <v>85</v>
      </c>
      <c r="BF87" s="9">
        <v>0.96</v>
      </c>
      <c r="BG87" s="10" t="s">
        <v>85</v>
      </c>
      <c r="BH87" s="10" t="s">
        <v>85</v>
      </c>
      <c r="BI87" s="9" t="s">
        <v>85</v>
      </c>
      <c r="BJ87" s="6"/>
      <c r="BK87" s="6" t="str">
        <f t="shared" si="2"/>
        <v>20Bo_One_Acc</v>
      </c>
      <c r="BL87" s="6" t="str">
        <f t="shared" si="3"/>
        <v>12Bo_One_Acc</v>
      </c>
      <c r="BM87" s="6" t="str">
        <f t="shared" si="4"/>
        <v>12Bo_One_Acc</v>
      </c>
      <c r="BN87" s="6"/>
      <c r="BO87" s="6">
        <f t="shared" ref="BO87:BQ87" si="96">IF(ISNUMBER(SEARCH("5",BK87)),5,IF(ISNUMBER(SEARCH("*8*",BK87)),8,IF(ISNUMBER(SEARCH("*10*",BK87)),10,IF(ISNUMBER(SEARCH("*12*",BK87)),12,IF(ISNUMBER(SEARCH("*20*",BK87)),20)))))</f>
        <v>20</v>
      </c>
      <c r="BP87" s="6">
        <f t="shared" si="96"/>
        <v>12</v>
      </c>
      <c r="BQ87" s="6">
        <f t="shared" si="96"/>
        <v>12</v>
      </c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</row>
    <row r="88" ht="15.75" customHeight="1">
      <c r="A88" s="1" t="s">
        <v>182</v>
      </c>
      <c r="B88" s="17">
        <v>277.0</v>
      </c>
      <c r="C88" s="17">
        <v>2.0</v>
      </c>
      <c r="D88" s="17" t="s">
        <v>311</v>
      </c>
      <c r="E88" s="9" t="s">
        <v>85</v>
      </c>
      <c r="F88" s="9" t="s">
        <v>85</v>
      </c>
      <c r="G88" s="9">
        <v>0.758772</v>
      </c>
      <c r="H88" s="9" t="s">
        <v>85</v>
      </c>
      <c r="I88" s="9" t="s">
        <v>85</v>
      </c>
      <c r="J88" s="9">
        <v>0.04386</v>
      </c>
      <c r="K88" s="9" t="s">
        <v>85</v>
      </c>
      <c r="L88" s="9" t="s">
        <v>85</v>
      </c>
      <c r="M88" s="9">
        <v>0.719298</v>
      </c>
      <c r="N88" s="9" t="s">
        <v>85</v>
      </c>
      <c r="O88" s="9" t="s">
        <v>85</v>
      </c>
      <c r="P88" s="9">
        <v>0.723684</v>
      </c>
      <c r="Q88" s="9" t="s">
        <v>85</v>
      </c>
      <c r="R88" s="9" t="s">
        <v>85</v>
      </c>
      <c r="S88" s="9">
        <v>0.671053</v>
      </c>
      <c r="T88" s="9" t="s">
        <v>85</v>
      </c>
      <c r="U88" s="9" t="s">
        <v>85</v>
      </c>
      <c r="V88" s="9">
        <v>0.666667</v>
      </c>
      <c r="W88" s="9" t="s">
        <v>85</v>
      </c>
      <c r="X88" s="9" t="s">
        <v>85</v>
      </c>
      <c r="Y88" s="9">
        <v>0.72807</v>
      </c>
      <c r="Z88" s="9" t="s">
        <v>85</v>
      </c>
      <c r="AA88" s="9" t="s">
        <v>85</v>
      </c>
      <c r="AB88" s="9">
        <v>0.75</v>
      </c>
      <c r="AC88" s="10" t="s">
        <v>85</v>
      </c>
      <c r="AD88" s="10" t="s">
        <v>85</v>
      </c>
      <c r="AE88" s="9">
        <v>0.692982</v>
      </c>
      <c r="AF88" s="9" t="s">
        <v>85</v>
      </c>
      <c r="AG88" s="9" t="s">
        <v>85</v>
      </c>
      <c r="AH88" s="9">
        <v>0.692982</v>
      </c>
      <c r="AI88" s="9" t="s">
        <v>85</v>
      </c>
      <c r="AJ88" s="9" t="s">
        <v>85</v>
      </c>
      <c r="AK88" s="9">
        <v>0.714912</v>
      </c>
      <c r="AL88" s="9" t="s">
        <v>85</v>
      </c>
      <c r="AM88" s="9" t="s">
        <v>85</v>
      </c>
      <c r="AN88" s="9">
        <v>0.732456</v>
      </c>
      <c r="AO88" s="9" t="s">
        <v>85</v>
      </c>
      <c r="AP88" s="9" t="s">
        <v>85</v>
      </c>
      <c r="AQ88" s="9">
        <v>0.666667</v>
      </c>
      <c r="AR88" s="9" t="s">
        <v>85</v>
      </c>
      <c r="AS88" s="9" t="s">
        <v>85</v>
      </c>
      <c r="AT88" s="9">
        <v>0.684211</v>
      </c>
      <c r="AU88" s="9" t="s">
        <v>85</v>
      </c>
      <c r="AV88" s="9" t="s">
        <v>85</v>
      </c>
      <c r="AW88" s="9">
        <v>0.714912</v>
      </c>
      <c r="AX88" s="9" t="s">
        <v>85</v>
      </c>
      <c r="AY88" s="9" t="s">
        <v>85</v>
      </c>
      <c r="AZ88" s="9">
        <v>0.70614</v>
      </c>
      <c r="BA88" s="9" t="s">
        <v>85</v>
      </c>
      <c r="BB88" s="9" t="s">
        <v>85</v>
      </c>
      <c r="BC88" s="9">
        <v>0.671053</v>
      </c>
      <c r="BD88" s="10" t="s">
        <v>85</v>
      </c>
      <c r="BE88" s="10" t="s">
        <v>85</v>
      </c>
      <c r="BF88" s="9">
        <v>0.679825</v>
      </c>
      <c r="BG88" s="10" t="s">
        <v>85</v>
      </c>
      <c r="BH88" s="10" t="s">
        <v>85</v>
      </c>
      <c r="BI88" s="9" t="s">
        <v>85</v>
      </c>
      <c r="BJ88" s="6"/>
      <c r="BK88" s="6" t="str">
        <f t="shared" si="2"/>
        <v>5Bo_One_Acc</v>
      </c>
      <c r="BL88" s="6" t="str">
        <f t="shared" si="3"/>
        <v>8VB_One_Acc</v>
      </c>
      <c r="BM88" s="6" t="str">
        <f t="shared" si="4"/>
        <v>10VB_One_Acc</v>
      </c>
      <c r="BN88" s="6"/>
      <c r="BO88" s="6">
        <f t="shared" ref="BO88:BQ88" si="97">IF(ISNUMBER(SEARCH("5",BK88)),5,IF(ISNUMBER(SEARCH("*8*",BK88)),8,IF(ISNUMBER(SEARCH("*10*",BK88)),10,IF(ISNUMBER(SEARCH("*12*",BK88)),12,IF(ISNUMBER(SEARCH("*20*",BK88)),20)))))</f>
        <v>5</v>
      </c>
      <c r="BP88" s="6">
        <f t="shared" si="97"/>
        <v>8</v>
      </c>
      <c r="BQ88" s="6">
        <f t="shared" si="97"/>
        <v>10</v>
      </c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</row>
    <row r="89" ht="15.75" customHeight="1">
      <c r="A89" s="1" t="s">
        <v>183</v>
      </c>
      <c r="B89" s="17">
        <v>343.0</v>
      </c>
      <c r="C89" s="17">
        <v>2.0</v>
      </c>
      <c r="D89" s="17" t="s">
        <v>311</v>
      </c>
      <c r="E89" s="9" t="s">
        <v>85</v>
      </c>
      <c r="F89" s="9" t="s">
        <v>85</v>
      </c>
      <c r="G89" s="9">
        <v>0.823077</v>
      </c>
      <c r="H89" s="9" t="s">
        <v>85</v>
      </c>
      <c r="I89" s="9" t="s">
        <v>85</v>
      </c>
      <c r="J89" s="9">
        <v>0.169231</v>
      </c>
      <c r="K89" s="9" t="s">
        <v>85</v>
      </c>
      <c r="L89" s="9" t="s">
        <v>85</v>
      </c>
      <c r="M89" s="9">
        <v>0.784615</v>
      </c>
      <c r="N89" s="9" t="s">
        <v>85</v>
      </c>
      <c r="O89" s="9" t="s">
        <v>85</v>
      </c>
      <c r="P89" s="9">
        <v>0.784615</v>
      </c>
      <c r="Q89" s="9" t="s">
        <v>85</v>
      </c>
      <c r="R89" s="9" t="s">
        <v>85</v>
      </c>
      <c r="S89" s="9">
        <v>0.792308</v>
      </c>
      <c r="T89" s="9" t="s">
        <v>85</v>
      </c>
      <c r="U89" s="9" t="s">
        <v>85</v>
      </c>
      <c r="V89" s="9">
        <v>0.830769</v>
      </c>
      <c r="W89" s="9" t="s">
        <v>85</v>
      </c>
      <c r="X89" s="9" t="s">
        <v>85</v>
      </c>
      <c r="Y89" s="9">
        <v>0.838462</v>
      </c>
      <c r="Z89" s="9" t="s">
        <v>85</v>
      </c>
      <c r="AA89" s="9" t="s">
        <v>85</v>
      </c>
      <c r="AB89" s="9">
        <v>0.838462</v>
      </c>
      <c r="AC89" s="10" t="s">
        <v>85</v>
      </c>
      <c r="AD89" s="10" t="s">
        <v>85</v>
      </c>
      <c r="AE89" s="9">
        <v>0.838462</v>
      </c>
      <c r="AF89" s="9" t="s">
        <v>85</v>
      </c>
      <c r="AG89" s="9" t="s">
        <v>85</v>
      </c>
      <c r="AH89" s="9">
        <v>0.830769</v>
      </c>
      <c r="AI89" s="9" t="s">
        <v>85</v>
      </c>
      <c r="AJ89" s="9" t="s">
        <v>85</v>
      </c>
      <c r="AK89" s="9">
        <v>0.746154</v>
      </c>
      <c r="AL89" s="9" t="s">
        <v>85</v>
      </c>
      <c r="AM89" s="9" t="s">
        <v>85</v>
      </c>
      <c r="AN89" s="9">
        <v>0.792308</v>
      </c>
      <c r="AO89" s="9" t="s">
        <v>85</v>
      </c>
      <c r="AP89" s="9" t="s">
        <v>85</v>
      </c>
      <c r="AQ89" s="9">
        <v>0.838462</v>
      </c>
      <c r="AR89" s="9" t="s">
        <v>85</v>
      </c>
      <c r="AS89" s="9" t="s">
        <v>85</v>
      </c>
      <c r="AT89" s="9">
        <v>0.823077</v>
      </c>
      <c r="AU89" s="9" t="s">
        <v>85</v>
      </c>
      <c r="AV89" s="9" t="s">
        <v>85</v>
      </c>
      <c r="AW89" s="9">
        <v>0.715385</v>
      </c>
      <c r="AX89" s="9" t="s">
        <v>85</v>
      </c>
      <c r="AY89" s="9" t="s">
        <v>85</v>
      </c>
      <c r="AZ89" s="9">
        <v>0.784615</v>
      </c>
      <c r="BA89" s="9" t="s">
        <v>85</v>
      </c>
      <c r="BB89" s="9" t="s">
        <v>85</v>
      </c>
      <c r="BC89" s="9">
        <v>0.784615</v>
      </c>
      <c r="BD89" s="10" t="s">
        <v>85</v>
      </c>
      <c r="BE89" s="10" t="s">
        <v>85</v>
      </c>
      <c r="BF89" s="9">
        <v>0.776923</v>
      </c>
      <c r="BG89" s="10" t="s">
        <v>85</v>
      </c>
      <c r="BH89" s="10" t="s">
        <v>85</v>
      </c>
      <c r="BI89" s="9" t="s">
        <v>85</v>
      </c>
      <c r="BJ89" s="6"/>
      <c r="BK89" s="6" t="str">
        <f t="shared" si="2"/>
        <v>8V_One_Acc</v>
      </c>
      <c r="BL89" s="6" t="str">
        <f t="shared" si="3"/>
        <v>8V_One_Acc</v>
      </c>
      <c r="BM89" s="6" t="str">
        <f t="shared" si="4"/>
        <v>8V_One_Acc</v>
      </c>
      <c r="BN89" s="6"/>
      <c r="BO89" s="6">
        <f t="shared" ref="BO89:BQ89" si="98">IF(ISNUMBER(SEARCH("5",BK89)),5,IF(ISNUMBER(SEARCH("*8*",BK89)),8,IF(ISNUMBER(SEARCH("*10*",BK89)),10,IF(ISNUMBER(SEARCH("*12*",BK89)),12,IF(ISNUMBER(SEARCH("*20*",BK89)),20)))))</f>
        <v>8</v>
      </c>
      <c r="BP89" s="6">
        <f t="shared" si="98"/>
        <v>8</v>
      </c>
      <c r="BQ89" s="6">
        <f t="shared" si="98"/>
        <v>8</v>
      </c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</row>
    <row r="90" ht="15.75" customHeight="1">
      <c r="A90" s="1" t="s">
        <v>184</v>
      </c>
      <c r="B90" s="17">
        <v>275.0</v>
      </c>
      <c r="C90" s="17">
        <v>4.0</v>
      </c>
      <c r="D90" s="17" t="s">
        <v>305</v>
      </c>
      <c r="E90" s="9" t="s">
        <v>85</v>
      </c>
      <c r="F90" s="9" t="s">
        <v>85</v>
      </c>
      <c r="G90" s="9">
        <v>1.0</v>
      </c>
      <c r="H90" s="9" t="s">
        <v>85</v>
      </c>
      <c r="I90" s="9" t="s">
        <v>85</v>
      </c>
      <c r="J90" s="9">
        <v>0.25</v>
      </c>
      <c r="K90" s="9" t="s">
        <v>85</v>
      </c>
      <c r="L90" s="9" t="s">
        <v>85</v>
      </c>
      <c r="M90" s="9">
        <v>0.99</v>
      </c>
      <c r="N90" s="9" t="s">
        <v>85</v>
      </c>
      <c r="O90" s="9" t="s">
        <v>85</v>
      </c>
      <c r="P90" s="9">
        <v>0.99</v>
      </c>
      <c r="Q90" s="9" t="s">
        <v>85</v>
      </c>
      <c r="R90" s="9" t="s">
        <v>85</v>
      </c>
      <c r="S90" s="9">
        <v>1.0</v>
      </c>
      <c r="T90" s="9" t="s">
        <v>85</v>
      </c>
      <c r="U90" s="9" t="s">
        <v>85</v>
      </c>
      <c r="V90" s="9">
        <v>1.0</v>
      </c>
      <c r="W90" s="9" t="s">
        <v>85</v>
      </c>
      <c r="X90" s="9" t="s">
        <v>85</v>
      </c>
      <c r="Y90" s="9">
        <v>0.97</v>
      </c>
      <c r="Z90" s="9" t="s">
        <v>85</v>
      </c>
      <c r="AA90" s="9" t="s">
        <v>85</v>
      </c>
      <c r="AB90" s="9">
        <v>0.97</v>
      </c>
      <c r="AC90" s="10" t="s">
        <v>85</v>
      </c>
      <c r="AD90" s="10" t="s">
        <v>85</v>
      </c>
      <c r="AE90" s="9">
        <v>1.0</v>
      </c>
      <c r="AF90" s="9" t="s">
        <v>85</v>
      </c>
      <c r="AG90" s="9" t="s">
        <v>85</v>
      </c>
      <c r="AH90" s="9">
        <v>1.0</v>
      </c>
      <c r="AI90" s="9" t="s">
        <v>85</v>
      </c>
      <c r="AJ90" s="9" t="s">
        <v>85</v>
      </c>
      <c r="AK90" s="9">
        <v>0.99</v>
      </c>
      <c r="AL90" s="9" t="s">
        <v>85</v>
      </c>
      <c r="AM90" s="9" t="s">
        <v>85</v>
      </c>
      <c r="AN90" s="9">
        <v>0.99</v>
      </c>
      <c r="AO90" s="9" t="s">
        <v>85</v>
      </c>
      <c r="AP90" s="9" t="s">
        <v>85</v>
      </c>
      <c r="AQ90" s="9">
        <v>1.0</v>
      </c>
      <c r="AR90" s="9" t="s">
        <v>85</v>
      </c>
      <c r="AS90" s="9" t="s">
        <v>85</v>
      </c>
      <c r="AT90" s="9">
        <v>1.0</v>
      </c>
      <c r="AU90" s="9" t="s">
        <v>85</v>
      </c>
      <c r="AV90" s="9" t="s">
        <v>85</v>
      </c>
      <c r="AW90" s="9">
        <v>0.99</v>
      </c>
      <c r="AX90" s="9" t="s">
        <v>85</v>
      </c>
      <c r="AY90" s="9" t="s">
        <v>85</v>
      </c>
      <c r="AZ90" s="9">
        <v>0.99</v>
      </c>
      <c r="BA90" s="9" t="s">
        <v>85</v>
      </c>
      <c r="BB90" s="9" t="s">
        <v>85</v>
      </c>
      <c r="BC90" s="9">
        <v>1.0</v>
      </c>
      <c r="BD90" s="10" t="s">
        <v>85</v>
      </c>
      <c r="BE90" s="10" t="s">
        <v>85</v>
      </c>
      <c r="BF90" s="9">
        <v>1.0</v>
      </c>
      <c r="BG90" s="10" t="s">
        <v>85</v>
      </c>
      <c r="BH90" s="10" t="s">
        <v>85</v>
      </c>
      <c r="BI90" s="9" t="s">
        <v>85</v>
      </c>
      <c r="BJ90" s="6"/>
      <c r="BK90" s="6" t="str">
        <f t="shared" si="2"/>
        <v>5Bo_One_Acc</v>
      </c>
      <c r="BL90" s="6" t="str">
        <f t="shared" si="3"/>
        <v>5Bo_One_Acc</v>
      </c>
      <c r="BM90" s="6" t="str">
        <f t="shared" si="4"/>
        <v>5Bo_One_Acc</v>
      </c>
      <c r="BN90" s="6"/>
      <c r="BO90" s="6">
        <f t="shared" ref="BO90:BQ90" si="99">IF(ISNUMBER(SEARCH("5",BK90)),5,IF(ISNUMBER(SEARCH("*8*",BK90)),8,IF(ISNUMBER(SEARCH("*10*",BK90)),10,IF(ISNUMBER(SEARCH("*12*",BK90)),12,IF(ISNUMBER(SEARCH("*20*",BK90)),20)))))</f>
        <v>5</v>
      </c>
      <c r="BP90" s="6">
        <f t="shared" si="99"/>
        <v>5</v>
      </c>
      <c r="BQ90" s="6">
        <f t="shared" si="99"/>
        <v>5</v>
      </c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</row>
    <row r="91" ht="15.75" customHeight="1">
      <c r="A91" s="1" t="s">
        <v>185</v>
      </c>
      <c r="B91" s="17">
        <v>82.0</v>
      </c>
      <c r="C91" s="17">
        <v>2.0</v>
      </c>
      <c r="D91" s="17" t="s">
        <v>307</v>
      </c>
      <c r="E91" s="9" t="s">
        <v>85</v>
      </c>
      <c r="F91" s="9" t="s">
        <v>85</v>
      </c>
      <c r="G91" s="9">
        <v>0.772608</v>
      </c>
      <c r="H91" s="9" t="s">
        <v>85</v>
      </c>
      <c r="I91" s="9" t="s">
        <v>85</v>
      </c>
      <c r="J91" s="9">
        <v>0.499561</v>
      </c>
      <c r="K91" s="9" t="s">
        <v>85</v>
      </c>
      <c r="L91" s="9" t="s">
        <v>85</v>
      </c>
      <c r="M91" s="9">
        <v>0.872695</v>
      </c>
      <c r="N91" s="9" t="s">
        <v>85</v>
      </c>
      <c r="O91" s="9" t="s">
        <v>85</v>
      </c>
      <c r="P91" s="9">
        <v>0.854258</v>
      </c>
      <c r="Q91" s="9" t="s">
        <v>85</v>
      </c>
      <c r="R91" s="9" t="s">
        <v>85</v>
      </c>
      <c r="S91" s="9">
        <v>0.725198</v>
      </c>
      <c r="T91" s="9" t="s">
        <v>85</v>
      </c>
      <c r="U91" s="9" t="s">
        <v>85</v>
      </c>
      <c r="V91" s="9">
        <v>0.720808</v>
      </c>
      <c r="W91" s="9" t="s">
        <v>85</v>
      </c>
      <c r="X91" s="9" t="s">
        <v>85</v>
      </c>
      <c r="Y91" s="9">
        <v>0.837577</v>
      </c>
      <c r="Z91" s="9" t="s">
        <v>85</v>
      </c>
      <c r="AA91" s="9" t="s">
        <v>85</v>
      </c>
      <c r="AB91" s="9">
        <v>0.845478</v>
      </c>
      <c r="AC91" s="10" t="s">
        <v>85</v>
      </c>
      <c r="AD91" s="10" t="s">
        <v>85</v>
      </c>
      <c r="AE91" s="9">
        <v>0.71993</v>
      </c>
      <c r="AF91" s="9" t="s">
        <v>85</v>
      </c>
      <c r="AG91" s="9" t="s">
        <v>85</v>
      </c>
      <c r="AH91" s="9">
        <v>0.757682</v>
      </c>
      <c r="AI91" s="9" t="s">
        <v>85</v>
      </c>
      <c r="AJ91" s="9" t="s">
        <v>85</v>
      </c>
      <c r="AK91" s="9">
        <v>0.906058</v>
      </c>
      <c r="AL91" s="9" t="s">
        <v>85</v>
      </c>
      <c r="AM91" s="9" t="s">
        <v>85</v>
      </c>
      <c r="AN91" s="9">
        <v>0.864794</v>
      </c>
      <c r="AO91" s="9" t="s">
        <v>85</v>
      </c>
      <c r="AP91" s="9" t="s">
        <v>85</v>
      </c>
      <c r="AQ91" s="9">
        <v>0.737489</v>
      </c>
      <c r="AR91" s="9" t="s">
        <v>85</v>
      </c>
      <c r="AS91" s="9" t="s">
        <v>85</v>
      </c>
      <c r="AT91" s="9">
        <v>0.745391</v>
      </c>
      <c r="AU91" s="9" t="s">
        <v>85</v>
      </c>
      <c r="AV91" s="9" t="s">
        <v>85</v>
      </c>
      <c r="AW91" s="9">
        <v>0.833187</v>
      </c>
      <c r="AX91" s="9" t="s">
        <v>85</v>
      </c>
      <c r="AY91" s="9" t="s">
        <v>85</v>
      </c>
      <c r="AZ91" s="9">
        <v>0.835821</v>
      </c>
      <c r="BA91" s="9" t="s">
        <v>85</v>
      </c>
      <c r="BB91" s="9" t="s">
        <v>85</v>
      </c>
      <c r="BC91" s="9">
        <v>0.714662</v>
      </c>
      <c r="BD91" s="10" t="s">
        <v>85</v>
      </c>
      <c r="BE91" s="10" t="s">
        <v>85</v>
      </c>
      <c r="BF91" s="9">
        <v>0.774363</v>
      </c>
      <c r="BG91" s="10" t="s">
        <v>85</v>
      </c>
      <c r="BH91" s="10" t="s">
        <v>85</v>
      </c>
      <c r="BI91" s="9" t="s">
        <v>85</v>
      </c>
      <c r="BJ91" s="6"/>
      <c r="BK91" s="6" t="str">
        <f t="shared" si="2"/>
        <v>10V_One_Acc</v>
      </c>
      <c r="BL91" s="6" t="str">
        <f t="shared" si="3"/>
        <v>5V_One_Acc</v>
      </c>
      <c r="BM91" s="6" t="str">
        <f t="shared" si="4"/>
        <v>10VB_One_Acc</v>
      </c>
      <c r="BN91" s="6"/>
      <c r="BO91" s="6">
        <f t="shared" ref="BO91:BQ91" si="100">IF(ISNUMBER(SEARCH("5",BK91)),5,IF(ISNUMBER(SEARCH("*8*",BK91)),8,IF(ISNUMBER(SEARCH("*10*",BK91)),10,IF(ISNUMBER(SEARCH("*12*",BK91)),12,IF(ISNUMBER(SEARCH("*20*",BK91)),20)))))</f>
        <v>10</v>
      </c>
      <c r="BP91" s="6">
        <f t="shared" si="100"/>
        <v>5</v>
      </c>
      <c r="BQ91" s="6">
        <f t="shared" si="100"/>
        <v>10</v>
      </c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</row>
    <row r="92" ht="15.75" customHeight="1">
      <c r="A92" s="1" t="s">
        <v>186</v>
      </c>
      <c r="B92" s="17">
        <v>128.0</v>
      </c>
      <c r="C92" s="17">
        <v>4.0</v>
      </c>
      <c r="D92" s="17" t="s">
        <v>303</v>
      </c>
      <c r="E92" s="9" t="s">
        <v>85</v>
      </c>
      <c r="F92" s="9" t="s">
        <v>85</v>
      </c>
      <c r="G92" s="9">
        <v>0.4965</v>
      </c>
      <c r="H92" s="9" t="s">
        <v>85</v>
      </c>
      <c r="I92" s="9" t="s">
        <v>85</v>
      </c>
      <c r="J92" s="9">
        <v>0.25875</v>
      </c>
      <c r="K92" s="9" t="s">
        <v>85</v>
      </c>
      <c r="L92" s="9" t="s">
        <v>85</v>
      </c>
      <c r="M92" s="9">
        <v>0.62775</v>
      </c>
      <c r="N92" s="9" t="s">
        <v>85</v>
      </c>
      <c r="O92" s="9" t="s">
        <v>85</v>
      </c>
      <c r="P92" s="9">
        <v>0.602</v>
      </c>
      <c r="Q92" s="9" t="s">
        <v>85</v>
      </c>
      <c r="R92" s="9" t="s">
        <v>85</v>
      </c>
      <c r="S92" s="9">
        <v>0.5255</v>
      </c>
      <c r="T92" s="9" t="s">
        <v>85</v>
      </c>
      <c r="U92" s="9" t="s">
        <v>85</v>
      </c>
      <c r="V92" s="9">
        <v>0.53</v>
      </c>
      <c r="W92" s="9" t="s">
        <v>85</v>
      </c>
      <c r="X92" s="9" t="s">
        <v>85</v>
      </c>
      <c r="Y92" s="9">
        <v>0.39375</v>
      </c>
      <c r="Z92" s="9" t="s">
        <v>85</v>
      </c>
      <c r="AA92" s="9" t="s">
        <v>85</v>
      </c>
      <c r="AB92" s="9">
        <v>0.48875</v>
      </c>
      <c r="AC92" s="10" t="s">
        <v>85</v>
      </c>
      <c r="AD92" s="10" t="s">
        <v>85</v>
      </c>
      <c r="AE92" s="9">
        <v>0.53875</v>
      </c>
      <c r="AF92" s="9" t="s">
        <v>85</v>
      </c>
      <c r="AG92" s="9" t="s">
        <v>85</v>
      </c>
      <c r="AH92" s="9">
        <v>0.55</v>
      </c>
      <c r="AI92" s="9" t="s">
        <v>85</v>
      </c>
      <c r="AJ92" s="9" t="s">
        <v>85</v>
      </c>
      <c r="AK92" s="9">
        <v>0.324</v>
      </c>
      <c r="AL92" s="9" t="s">
        <v>85</v>
      </c>
      <c r="AM92" s="9" t="s">
        <v>85</v>
      </c>
      <c r="AN92" s="9">
        <v>0.25875</v>
      </c>
      <c r="AO92" s="9" t="s">
        <v>85</v>
      </c>
      <c r="AP92" s="9" t="s">
        <v>85</v>
      </c>
      <c r="AQ92" s="9">
        <v>0.43075</v>
      </c>
      <c r="AR92" s="9" t="s">
        <v>85</v>
      </c>
      <c r="AS92" s="9" t="s">
        <v>85</v>
      </c>
      <c r="AT92" s="9">
        <v>0.50025</v>
      </c>
      <c r="AU92" s="9" t="s">
        <v>85</v>
      </c>
      <c r="AV92" s="9" t="s">
        <v>85</v>
      </c>
      <c r="AW92" s="9">
        <v>0.407</v>
      </c>
      <c r="AX92" s="9" t="s">
        <v>85</v>
      </c>
      <c r="AY92" s="9" t="s">
        <v>85</v>
      </c>
      <c r="AZ92" s="9">
        <v>0.4795</v>
      </c>
      <c r="BA92" s="9" t="s">
        <v>85</v>
      </c>
      <c r="BB92" s="9" t="s">
        <v>85</v>
      </c>
      <c r="BC92" s="9">
        <v>0.53325</v>
      </c>
      <c r="BD92" s="10" t="s">
        <v>85</v>
      </c>
      <c r="BE92" s="10" t="s">
        <v>85</v>
      </c>
      <c r="BF92" s="9">
        <v>0.25875</v>
      </c>
      <c r="BG92" s="10" t="s">
        <v>85</v>
      </c>
      <c r="BH92" s="10" t="s">
        <v>85</v>
      </c>
      <c r="BI92" s="9" t="s">
        <v>85</v>
      </c>
      <c r="BJ92" s="6"/>
      <c r="BK92" s="6" t="str">
        <f t="shared" si="2"/>
        <v>5V_One_Acc</v>
      </c>
      <c r="BL92" s="6" t="str">
        <f t="shared" si="3"/>
        <v>5VB_One_Acc</v>
      </c>
      <c r="BM92" s="6" t="str">
        <f t="shared" si="4"/>
        <v>10BoN_One_Acc</v>
      </c>
      <c r="BN92" s="6"/>
      <c r="BO92" s="6">
        <f t="shared" ref="BO92:BQ92" si="101">IF(ISNUMBER(SEARCH("5",BK92)),5,IF(ISNUMBER(SEARCH("*8*",BK92)),8,IF(ISNUMBER(SEARCH("*10*",BK92)),10,IF(ISNUMBER(SEARCH("*12*",BK92)),12,IF(ISNUMBER(SEARCH("*20*",BK92)),20)))))</f>
        <v>5</v>
      </c>
      <c r="BP92" s="6">
        <f t="shared" si="101"/>
        <v>5</v>
      </c>
      <c r="BQ92" s="6">
        <f t="shared" si="101"/>
        <v>10</v>
      </c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</row>
    <row r="93" ht="15.75" customHeight="1">
      <c r="A93" s="1" t="s">
        <v>187</v>
      </c>
      <c r="B93" s="17">
        <v>150.0</v>
      </c>
      <c r="C93" s="17">
        <v>3.0</v>
      </c>
      <c r="D93" s="17" t="s">
        <v>303</v>
      </c>
      <c r="E93" s="9" t="s">
        <v>85</v>
      </c>
      <c r="F93" s="9" t="s">
        <v>85</v>
      </c>
      <c r="G93" s="9">
        <v>0.868056</v>
      </c>
      <c r="H93" s="9" t="s">
        <v>85</v>
      </c>
      <c r="I93" s="9" t="s">
        <v>85</v>
      </c>
      <c r="J93" s="9">
        <v>0.333333</v>
      </c>
      <c r="K93" s="9" t="s">
        <v>85</v>
      </c>
      <c r="L93" s="9" t="s">
        <v>85</v>
      </c>
      <c r="M93" s="9">
        <v>0.805556</v>
      </c>
      <c r="N93" s="9" t="s">
        <v>85</v>
      </c>
      <c r="O93" s="9" t="s">
        <v>85</v>
      </c>
      <c r="P93" s="9">
        <v>0.826389</v>
      </c>
      <c r="Q93" s="9" t="s">
        <v>85</v>
      </c>
      <c r="R93" s="9" t="s">
        <v>85</v>
      </c>
      <c r="S93" s="9">
        <v>0.881944</v>
      </c>
      <c r="T93" s="9" t="s">
        <v>85</v>
      </c>
      <c r="U93" s="9" t="s">
        <v>85</v>
      </c>
      <c r="V93" s="9">
        <v>0.861111</v>
      </c>
      <c r="W93" s="9" t="s">
        <v>85</v>
      </c>
      <c r="X93" s="9" t="s">
        <v>85</v>
      </c>
      <c r="Y93" s="9">
        <v>0.930556</v>
      </c>
      <c r="Z93" s="9" t="s">
        <v>85</v>
      </c>
      <c r="AA93" s="9" t="s">
        <v>85</v>
      </c>
      <c r="AB93" s="9">
        <v>0.965278</v>
      </c>
      <c r="AC93" s="10" t="s">
        <v>85</v>
      </c>
      <c r="AD93" s="10" t="s">
        <v>85</v>
      </c>
      <c r="AE93" s="9">
        <v>0.881944</v>
      </c>
      <c r="AF93" s="9" t="s">
        <v>85</v>
      </c>
      <c r="AG93" s="9" t="s">
        <v>85</v>
      </c>
      <c r="AH93" s="9">
        <v>0.881944</v>
      </c>
      <c r="AI93" s="9" t="s">
        <v>85</v>
      </c>
      <c r="AJ93" s="9" t="s">
        <v>85</v>
      </c>
      <c r="AK93" s="9">
        <v>0.861111</v>
      </c>
      <c r="AL93" s="9" t="s">
        <v>85</v>
      </c>
      <c r="AM93" s="9" t="s">
        <v>85</v>
      </c>
      <c r="AN93" s="9">
        <v>0.881944</v>
      </c>
      <c r="AO93" s="9" t="s">
        <v>85</v>
      </c>
      <c r="AP93" s="9" t="s">
        <v>85</v>
      </c>
      <c r="AQ93" s="9">
        <v>0.875</v>
      </c>
      <c r="AR93" s="9" t="s">
        <v>85</v>
      </c>
      <c r="AS93" s="9" t="s">
        <v>85</v>
      </c>
      <c r="AT93" s="9">
        <v>0.875</v>
      </c>
      <c r="AU93" s="9" t="s">
        <v>85</v>
      </c>
      <c r="AV93" s="9" t="s">
        <v>85</v>
      </c>
      <c r="AW93" s="9">
        <v>0.826389</v>
      </c>
      <c r="AX93" s="9" t="s">
        <v>85</v>
      </c>
      <c r="AY93" s="9" t="s">
        <v>85</v>
      </c>
      <c r="AZ93" s="9">
        <v>0.902778</v>
      </c>
      <c r="BA93" s="9" t="s">
        <v>85</v>
      </c>
      <c r="BB93" s="9" t="s">
        <v>85</v>
      </c>
      <c r="BC93" s="9">
        <v>0.895833</v>
      </c>
      <c r="BD93" s="10" t="s">
        <v>85</v>
      </c>
      <c r="BE93" s="10" t="s">
        <v>85</v>
      </c>
      <c r="BF93" s="9">
        <v>0.909722</v>
      </c>
      <c r="BG93" s="10" t="s">
        <v>85</v>
      </c>
      <c r="BH93" s="10" t="s">
        <v>85</v>
      </c>
      <c r="BI93" s="9" t="s">
        <v>85</v>
      </c>
      <c r="BJ93" s="6"/>
      <c r="BK93" s="6" t="str">
        <f t="shared" si="2"/>
        <v>8VB_One_Acc</v>
      </c>
      <c r="BL93" s="6" t="str">
        <f t="shared" si="3"/>
        <v>8V_One_Acc</v>
      </c>
      <c r="BM93" s="6" t="str">
        <f t="shared" si="4"/>
        <v>20V_One_Acc</v>
      </c>
      <c r="BN93" s="6"/>
      <c r="BO93" s="6">
        <f t="shared" ref="BO93:BQ93" si="102">IF(ISNUMBER(SEARCH("5",BK93)),5,IF(ISNUMBER(SEARCH("*8*",BK93)),8,IF(ISNUMBER(SEARCH("*10*",BK93)),10,IF(ISNUMBER(SEARCH("*12*",BK93)),12,IF(ISNUMBER(SEARCH("*20*",BK93)),20)))))</f>
        <v>8</v>
      </c>
      <c r="BP93" s="6">
        <f t="shared" si="102"/>
        <v>8</v>
      </c>
      <c r="BQ93" s="6">
        <f t="shared" si="102"/>
        <v>20</v>
      </c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</row>
    <row r="94" ht="15.75" customHeight="1">
      <c r="A94" s="1" t="s">
        <v>188</v>
      </c>
      <c r="B94" s="17">
        <v>945.0</v>
      </c>
      <c r="C94" s="17">
        <v>8.0</v>
      </c>
      <c r="D94" s="17" t="s">
        <v>311</v>
      </c>
      <c r="E94" s="9" t="s">
        <v>85</v>
      </c>
      <c r="F94" s="9" t="s">
        <v>85</v>
      </c>
      <c r="G94" s="9">
        <v>0.729202</v>
      </c>
      <c r="H94" s="9" t="s">
        <v>85</v>
      </c>
      <c r="I94" s="9" t="s">
        <v>85</v>
      </c>
      <c r="J94" s="9">
        <v>0.120882</v>
      </c>
      <c r="K94" s="9" t="s">
        <v>85</v>
      </c>
      <c r="L94" s="9" t="s">
        <v>85</v>
      </c>
      <c r="M94" s="9">
        <v>0.605807</v>
      </c>
      <c r="N94" s="9" t="s">
        <v>85</v>
      </c>
      <c r="O94" s="9" t="s">
        <v>85</v>
      </c>
      <c r="P94" s="9">
        <v>0.800112</v>
      </c>
      <c r="Q94" s="9" t="s">
        <v>85</v>
      </c>
      <c r="R94" s="9" t="s">
        <v>85</v>
      </c>
      <c r="S94" s="9">
        <v>0.861809</v>
      </c>
      <c r="T94" s="9" t="s">
        <v>85</v>
      </c>
      <c r="U94" s="9" t="s">
        <v>85</v>
      </c>
      <c r="V94" s="9">
        <v>0.711893</v>
      </c>
      <c r="W94" s="9" t="s">
        <v>85</v>
      </c>
      <c r="X94" s="9" t="s">
        <v>85</v>
      </c>
      <c r="Y94" s="9">
        <v>0.729481</v>
      </c>
      <c r="Z94" s="9" t="s">
        <v>85</v>
      </c>
      <c r="AA94" s="9" t="s">
        <v>85</v>
      </c>
      <c r="AB94" s="9">
        <v>0.646845</v>
      </c>
      <c r="AC94" s="10" t="s">
        <v>85</v>
      </c>
      <c r="AD94" s="10" t="s">
        <v>85</v>
      </c>
      <c r="AE94" s="9">
        <v>0.886656</v>
      </c>
      <c r="AF94" s="9" t="s">
        <v>85</v>
      </c>
      <c r="AG94" s="9" t="s">
        <v>85</v>
      </c>
      <c r="AH94" s="9">
        <v>0.896985</v>
      </c>
      <c r="AI94" s="9" t="s">
        <v>85</v>
      </c>
      <c r="AJ94" s="9" t="s">
        <v>85</v>
      </c>
      <c r="AK94" s="9">
        <v>0.721664</v>
      </c>
      <c r="AL94" s="9" t="s">
        <v>85</v>
      </c>
      <c r="AM94" s="9" t="s">
        <v>85</v>
      </c>
      <c r="AN94" s="9">
        <v>0.884701</v>
      </c>
      <c r="AO94" s="9" t="s">
        <v>85</v>
      </c>
      <c r="AP94" s="9" t="s">
        <v>85</v>
      </c>
      <c r="AQ94" s="9">
        <v>0.882468</v>
      </c>
      <c r="AR94" s="9" t="s">
        <v>85</v>
      </c>
      <c r="AS94" s="9" t="s">
        <v>85</v>
      </c>
      <c r="AT94" s="9">
        <v>0.852596</v>
      </c>
      <c r="AU94" s="9" t="s">
        <v>85</v>
      </c>
      <c r="AV94" s="9" t="s">
        <v>85</v>
      </c>
      <c r="AW94" s="9">
        <v>0.80402</v>
      </c>
      <c r="AX94" s="9" t="s">
        <v>85</v>
      </c>
      <c r="AY94" s="9" t="s">
        <v>85</v>
      </c>
      <c r="AZ94" s="9">
        <v>0.78392</v>
      </c>
      <c r="BA94" s="9" t="s">
        <v>85</v>
      </c>
      <c r="BB94" s="9" t="s">
        <v>85</v>
      </c>
      <c r="BC94" s="9">
        <v>0.898939</v>
      </c>
      <c r="BD94" s="10" t="s">
        <v>85</v>
      </c>
      <c r="BE94" s="10" t="s">
        <v>85</v>
      </c>
      <c r="BF94" s="9">
        <v>0.911223</v>
      </c>
      <c r="BG94" s="10" t="s">
        <v>85</v>
      </c>
      <c r="BH94" s="10" t="s">
        <v>85</v>
      </c>
      <c r="BI94" s="9" t="s">
        <v>85</v>
      </c>
      <c r="BJ94" s="6"/>
      <c r="BK94" s="6" t="str">
        <f t="shared" si="2"/>
        <v>20V_One_Acc</v>
      </c>
      <c r="BL94" s="6" t="str">
        <f t="shared" si="3"/>
        <v>20Bo_One_Acc</v>
      </c>
      <c r="BM94" s="6" t="str">
        <f t="shared" si="4"/>
        <v>10BoN_One_Acc</v>
      </c>
      <c r="BN94" s="6"/>
      <c r="BO94" s="6">
        <f t="shared" ref="BO94:BQ94" si="103">IF(ISNUMBER(SEARCH("5",BK94)),5,IF(ISNUMBER(SEARCH("*8*",BK94)),8,IF(ISNUMBER(SEARCH("*10*",BK94)),10,IF(ISNUMBER(SEARCH("*12*",BK94)),12,IF(ISNUMBER(SEARCH("*20*",BK94)),20)))))</f>
        <v>20</v>
      </c>
      <c r="BP94" s="6">
        <f t="shared" si="103"/>
        <v>20</v>
      </c>
      <c r="BQ94" s="6">
        <f t="shared" si="103"/>
        <v>10</v>
      </c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</row>
    <row r="95" ht="15.75" customHeight="1">
      <c r="A95" s="1" t="s">
        <v>189</v>
      </c>
      <c r="B95" s="17">
        <v>152.0</v>
      </c>
      <c r="C95" s="17">
        <v>2.0</v>
      </c>
      <c r="D95" s="17" t="s">
        <v>305</v>
      </c>
      <c r="E95" s="9" t="s">
        <v>85</v>
      </c>
      <c r="F95" s="9" t="s">
        <v>85</v>
      </c>
      <c r="G95" s="9">
        <v>0.892116</v>
      </c>
      <c r="H95" s="9" t="s">
        <v>85</v>
      </c>
      <c r="I95" s="9" t="s">
        <v>85</v>
      </c>
      <c r="J95" s="9">
        <v>0.892116</v>
      </c>
      <c r="K95" s="9" t="s">
        <v>85</v>
      </c>
      <c r="L95" s="9" t="s">
        <v>85</v>
      </c>
      <c r="M95" s="9">
        <v>0.892116</v>
      </c>
      <c r="N95" s="9" t="s">
        <v>85</v>
      </c>
      <c r="O95" s="9" t="s">
        <v>85</v>
      </c>
      <c r="P95" s="9">
        <v>0.892116</v>
      </c>
      <c r="Q95" s="9" t="s">
        <v>85</v>
      </c>
      <c r="R95" s="9" t="s">
        <v>85</v>
      </c>
      <c r="S95" s="9">
        <v>0.892116</v>
      </c>
      <c r="T95" s="9" t="s">
        <v>85</v>
      </c>
      <c r="U95" s="9" t="s">
        <v>85</v>
      </c>
      <c r="V95" s="9">
        <v>0.892116</v>
      </c>
      <c r="W95" s="9" t="s">
        <v>85</v>
      </c>
      <c r="X95" s="9" t="s">
        <v>85</v>
      </c>
      <c r="Y95" s="9">
        <v>0.892116</v>
      </c>
      <c r="Z95" s="9" t="s">
        <v>85</v>
      </c>
      <c r="AA95" s="9" t="s">
        <v>85</v>
      </c>
      <c r="AB95" s="9">
        <v>0.892116</v>
      </c>
      <c r="AC95" s="10" t="s">
        <v>85</v>
      </c>
      <c r="AD95" s="10" t="s">
        <v>85</v>
      </c>
      <c r="AE95" s="9">
        <v>0.892116</v>
      </c>
      <c r="AF95" s="9" t="s">
        <v>85</v>
      </c>
      <c r="AG95" s="9" t="s">
        <v>85</v>
      </c>
      <c r="AH95" s="9">
        <v>0.892116</v>
      </c>
      <c r="AI95" s="9" t="s">
        <v>85</v>
      </c>
      <c r="AJ95" s="9" t="s">
        <v>85</v>
      </c>
      <c r="AK95" s="9">
        <v>0.892116</v>
      </c>
      <c r="AL95" s="9" t="s">
        <v>85</v>
      </c>
      <c r="AM95" s="9" t="s">
        <v>85</v>
      </c>
      <c r="AN95" s="9">
        <v>0.892116</v>
      </c>
      <c r="AO95" s="9" t="s">
        <v>85</v>
      </c>
      <c r="AP95" s="9" t="s">
        <v>85</v>
      </c>
      <c r="AQ95" s="9">
        <v>0.892116</v>
      </c>
      <c r="AR95" s="9" t="s">
        <v>85</v>
      </c>
      <c r="AS95" s="9" t="s">
        <v>85</v>
      </c>
      <c r="AT95" s="9">
        <v>0.892116</v>
      </c>
      <c r="AU95" s="9" t="s">
        <v>85</v>
      </c>
      <c r="AV95" s="9" t="s">
        <v>85</v>
      </c>
      <c r="AW95" s="9">
        <v>0.892116</v>
      </c>
      <c r="AX95" s="9" t="s">
        <v>85</v>
      </c>
      <c r="AY95" s="9" t="s">
        <v>85</v>
      </c>
      <c r="AZ95" s="9">
        <v>0.892116</v>
      </c>
      <c r="BA95" s="9" t="s">
        <v>85</v>
      </c>
      <c r="BB95" s="9" t="s">
        <v>85</v>
      </c>
      <c r="BC95" s="9">
        <v>0.892116</v>
      </c>
      <c r="BD95" s="10" t="s">
        <v>85</v>
      </c>
      <c r="BE95" s="10" t="s">
        <v>85</v>
      </c>
      <c r="BF95" s="9">
        <v>0.892116</v>
      </c>
      <c r="BG95" s="10" t="s">
        <v>85</v>
      </c>
      <c r="BH95" s="10" t="s">
        <v>85</v>
      </c>
      <c r="BI95" s="9" t="s">
        <v>85</v>
      </c>
      <c r="BJ95" s="6"/>
      <c r="BK95" s="6" t="str">
        <f t="shared" si="2"/>
        <v>5Bo_One_Acc</v>
      </c>
      <c r="BL95" s="6" t="str">
        <f t="shared" si="3"/>
        <v>5Bo_One_Acc</v>
      </c>
      <c r="BM95" s="6" t="str">
        <f t="shared" si="4"/>
        <v>5Bo_One_Acc</v>
      </c>
      <c r="BN95" s="6"/>
      <c r="BO95" s="6">
        <f t="shared" ref="BO95:BQ95" si="104">IF(ISNUMBER(SEARCH("5",BK95)),5,IF(ISNUMBER(SEARCH("*8*",BK95)),8,IF(ISNUMBER(SEARCH("*10*",BK95)),10,IF(ISNUMBER(SEARCH("*12*",BK95)),12,IF(ISNUMBER(SEARCH("*20*",BK95)),20)))))</f>
        <v>5</v>
      </c>
      <c r="BP95" s="6">
        <f t="shared" si="104"/>
        <v>5</v>
      </c>
      <c r="BQ95" s="6">
        <f t="shared" si="104"/>
        <v>5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</row>
    <row r="96" ht="15.75" customHeight="1">
      <c r="A96" s="1" t="s">
        <v>190</v>
      </c>
      <c r="B96" s="17">
        <v>234.0</v>
      </c>
      <c r="C96" s="17">
        <v>2.0</v>
      </c>
      <c r="D96" s="17" t="s">
        <v>302</v>
      </c>
      <c r="E96" s="9" t="s">
        <v>85</v>
      </c>
      <c r="F96" s="9" t="s">
        <v>85</v>
      </c>
      <c r="G96" s="9">
        <v>0.5</v>
      </c>
      <c r="H96" s="9" t="s">
        <v>85</v>
      </c>
      <c r="I96" s="9" t="s">
        <v>85</v>
      </c>
      <c r="J96" s="9">
        <v>0.5</v>
      </c>
      <c r="K96" s="9" t="s">
        <v>85</v>
      </c>
      <c r="L96" s="9" t="s">
        <v>85</v>
      </c>
      <c r="M96" s="9">
        <v>0.5</v>
      </c>
      <c r="N96" s="9" t="s">
        <v>85</v>
      </c>
      <c r="O96" s="9" t="s">
        <v>85</v>
      </c>
      <c r="P96" s="9">
        <v>0.5</v>
      </c>
      <c r="Q96" s="9" t="s">
        <v>85</v>
      </c>
      <c r="R96" s="9" t="s">
        <v>85</v>
      </c>
      <c r="S96" s="9">
        <v>0.5</v>
      </c>
      <c r="T96" s="9" t="s">
        <v>85</v>
      </c>
      <c r="U96" s="9" t="s">
        <v>85</v>
      </c>
      <c r="V96" s="9">
        <v>0.444444</v>
      </c>
      <c r="W96" s="9" t="s">
        <v>85</v>
      </c>
      <c r="X96" s="9" t="s">
        <v>85</v>
      </c>
      <c r="Y96" s="9">
        <v>0.5</v>
      </c>
      <c r="Z96" s="9" t="s">
        <v>85</v>
      </c>
      <c r="AA96" s="9" t="s">
        <v>85</v>
      </c>
      <c r="AB96" s="9">
        <v>0.5</v>
      </c>
      <c r="AC96" s="10" t="s">
        <v>85</v>
      </c>
      <c r="AD96" s="10" t="s">
        <v>85</v>
      </c>
      <c r="AE96" s="9">
        <v>0.5</v>
      </c>
      <c r="AF96" s="9" t="s">
        <v>85</v>
      </c>
      <c r="AG96" s="9" t="s">
        <v>85</v>
      </c>
      <c r="AH96" s="9">
        <v>0.5</v>
      </c>
      <c r="AI96" s="9" t="s">
        <v>85</v>
      </c>
      <c r="AJ96" s="9" t="s">
        <v>85</v>
      </c>
      <c r="AK96" s="9">
        <v>0.5</v>
      </c>
      <c r="AL96" s="9" t="s">
        <v>85</v>
      </c>
      <c r="AM96" s="9" t="s">
        <v>85</v>
      </c>
      <c r="AN96" s="9">
        <v>0.5</v>
      </c>
      <c r="AO96" s="9" t="s">
        <v>85</v>
      </c>
      <c r="AP96" s="9" t="s">
        <v>85</v>
      </c>
      <c r="AQ96" s="9">
        <v>0.5</v>
      </c>
      <c r="AR96" s="9" t="s">
        <v>85</v>
      </c>
      <c r="AS96" s="9" t="s">
        <v>85</v>
      </c>
      <c r="AT96" s="9">
        <v>0.5</v>
      </c>
      <c r="AU96" s="9" t="s">
        <v>85</v>
      </c>
      <c r="AV96" s="9" t="s">
        <v>85</v>
      </c>
      <c r="AW96" s="9">
        <v>0.592593</v>
      </c>
      <c r="AX96" s="9" t="s">
        <v>85</v>
      </c>
      <c r="AY96" s="9" t="s">
        <v>85</v>
      </c>
      <c r="AZ96" s="9">
        <v>0.5</v>
      </c>
      <c r="BA96" s="9" t="s">
        <v>85</v>
      </c>
      <c r="BB96" s="9" t="s">
        <v>85</v>
      </c>
      <c r="BC96" s="9">
        <v>0.5</v>
      </c>
      <c r="BD96" s="10" t="s">
        <v>85</v>
      </c>
      <c r="BE96" s="10" t="s">
        <v>85</v>
      </c>
      <c r="BF96" s="9">
        <v>0.5</v>
      </c>
      <c r="BG96" s="10" t="s">
        <v>85</v>
      </c>
      <c r="BH96" s="10" t="s">
        <v>85</v>
      </c>
      <c r="BI96" s="9" t="s">
        <v>85</v>
      </c>
      <c r="BJ96" s="6"/>
      <c r="BK96" s="6" t="str">
        <f t="shared" si="2"/>
        <v>12V_One_Acc</v>
      </c>
      <c r="BL96" s="6" t="str">
        <f t="shared" si="3"/>
        <v>5Bo_One_Acc</v>
      </c>
      <c r="BM96" s="6" t="str">
        <f t="shared" si="4"/>
        <v>5Bo_One_Acc</v>
      </c>
      <c r="BN96" s="6"/>
      <c r="BO96" s="6">
        <f t="shared" ref="BO96:BQ96" si="105">IF(ISNUMBER(SEARCH("5",BK96)),5,IF(ISNUMBER(SEARCH("*8*",BK96)),8,IF(ISNUMBER(SEARCH("*10*",BK96)),10,IF(ISNUMBER(SEARCH("*12*",BK96)),12,IF(ISNUMBER(SEARCH("*20*",BK96)),20)))))</f>
        <v>12</v>
      </c>
      <c r="BP96" s="6">
        <f t="shared" si="105"/>
        <v>5</v>
      </c>
      <c r="BQ96" s="6">
        <f t="shared" si="105"/>
        <v>5</v>
      </c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</row>
    <row r="97" ht="15.75" customHeight="1">
      <c r="A97" s="1" t="s">
        <v>191</v>
      </c>
      <c r="B97" s="17">
        <v>270.0</v>
      </c>
      <c r="C97" s="17">
        <v>25.0</v>
      </c>
      <c r="D97" s="17" t="s">
        <v>300</v>
      </c>
      <c r="E97" s="9" t="s">
        <v>85</v>
      </c>
      <c r="F97" s="9" t="s">
        <v>85</v>
      </c>
      <c r="G97" s="9">
        <v>0.423197</v>
      </c>
      <c r="H97" s="9" t="s">
        <v>85</v>
      </c>
      <c r="I97" s="9" t="s">
        <v>85</v>
      </c>
      <c r="J97" s="9">
        <v>0.219436</v>
      </c>
      <c r="K97" s="9" t="s">
        <v>85</v>
      </c>
      <c r="L97" s="9" t="s">
        <v>85</v>
      </c>
      <c r="M97" s="9">
        <v>0.402821</v>
      </c>
      <c r="N97" s="9" t="s">
        <v>85</v>
      </c>
      <c r="O97" s="9" t="s">
        <v>85</v>
      </c>
      <c r="P97" s="9">
        <v>0.401254</v>
      </c>
      <c r="Q97" s="9" t="s">
        <v>85</v>
      </c>
      <c r="R97" s="9" t="s">
        <v>85</v>
      </c>
      <c r="S97" s="9">
        <v>0.478056</v>
      </c>
      <c r="T97" s="9" t="s">
        <v>85</v>
      </c>
      <c r="U97" s="9" t="s">
        <v>85</v>
      </c>
      <c r="V97" s="9">
        <v>0.473354</v>
      </c>
      <c r="W97" s="9" t="s">
        <v>85</v>
      </c>
      <c r="X97" s="9" t="s">
        <v>85</v>
      </c>
      <c r="Y97" s="9">
        <v>0.368339</v>
      </c>
      <c r="Z97" s="9" t="s">
        <v>85</v>
      </c>
      <c r="AA97" s="9" t="s">
        <v>85</v>
      </c>
      <c r="AB97" s="9">
        <v>0.46395</v>
      </c>
      <c r="AC97" s="10" t="s">
        <v>85</v>
      </c>
      <c r="AD97" s="10" t="s">
        <v>85</v>
      </c>
      <c r="AE97" s="9">
        <v>0.420063</v>
      </c>
      <c r="AF97" s="9" t="s">
        <v>85</v>
      </c>
      <c r="AG97" s="9" t="s">
        <v>85</v>
      </c>
      <c r="AH97" s="9">
        <v>0.474922</v>
      </c>
      <c r="AI97" s="9" t="s">
        <v>85</v>
      </c>
      <c r="AJ97" s="9" t="s">
        <v>85</v>
      </c>
      <c r="AK97" s="9">
        <v>0.432602</v>
      </c>
      <c r="AL97" s="9" t="s">
        <v>85</v>
      </c>
      <c r="AM97" s="9" t="s">
        <v>85</v>
      </c>
      <c r="AN97" s="9">
        <v>0.426332</v>
      </c>
      <c r="AO97" s="9" t="s">
        <v>85</v>
      </c>
      <c r="AP97" s="9" t="s">
        <v>85</v>
      </c>
      <c r="AQ97" s="9">
        <v>0.470219</v>
      </c>
      <c r="AR97" s="9" t="s">
        <v>85</v>
      </c>
      <c r="AS97" s="9" t="s">
        <v>85</v>
      </c>
      <c r="AT97" s="9">
        <v>0.487461</v>
      </c>
      <c r="AU97" s="9" t="s">
        <v>85</v>
      </c>
      <c r="AV97" s="9" t="s">
        <v>85</v>
      </c>
      <c r="AW97" s="9">
        <v>0.380878</v>
      </c>
      <c r="AX97" s="9" t="s">
        <v>85</v>
      </c>
      <c r="AY97" s="9" t="s">
        <v>85</v>
      </c>
      <c r="AZ97" s="9">
        <v>0.409091</v>
      </c>
      <c r="BA97" s="9" t="s">
        <v>85</v>
      </c>
      <c r="BB97" s="9" t="s">
        <v>85</v>
      </c>
      <c r="BC97" s="9">
        <v>0.393417</v>
      </c>
      <c r="BD97" s="10" t="s">
        <v>85</v>
      </c>
      <c r="BE97" s="10" t="s">
        <v>85</v>
      </c>
      <c r="BF97" s="9">
        <v>0.442006</v>
      </c>
      <c r="BG97" s="10" t="s">
        <v>85</v>
      </c>
      <c r="BH97" s="10" t="s">
        <v>85</v>
      </c>
      <c r="BI97" s="9" t="s">
        <v>85</v>
      </c>
      <c r="BJ97" s="6"/>
      <c r="BK97" s="6" t="str">
        <f t="shared" si="2"/>
        <v>12BoN_One_Acc</v>
      </c>
      <c r="BL97" s="6" t="str">
        <f t="shared" si="3"/>
        <v>8Bo_One_Acc</v>
      </c>
      <c r="BM97" s="6" t="str">
        <f t="shared" si="4"/>
        <v>10BoN_One_Acc</v>
      </c>
      <c r="BN97" s="6"/>
      <c r="BO97" s="6">
        <f t="shared" ref="BO97:BQ97" si="106">IF(ISNUMBER(SEARCH("5",BK97)),5,IF(ISNUMBER(SEARCH("*8*",BK97)),8,IF(ISNUMBER(SEARCH("*10*",BK97)),10,IF(ISNUMBER(SEARCH("*12*",BK97)),12,IF(ISNUMBER(SEARCH("*20*",BK97)),20)))))</f>
        <v>12</v>
      </c>
      <c r="BP97" s="6">
        <f t="shared" si="106"/>
        <v>8</v>
      </c>
      <c r="BQ97" s="6">
        <f t="shared" si="106"/>
        <v>10</v>
      </c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</row>
    <row r="98" ht="15.75" customHeight="1">
      <c r="A98" s="1" t="s">
        <v>192</v>
      </c>
      <c r="B98" s="17">
        <v>900.0</v>
      </c>
      <c r="C98" s="17">
        <v>5.0</v>
      </c>
      <c r="D98" s="17" t="s">
        <v>311</v>
      </c>
      <c r="E98" s="9" t="s">
        <v>85</v>
      </c>
      <c r="F98" s="9" t="s">
        <v>85</v>
      </c>
      <c r="G98" s="9">
        <v>0.493506</v>
      </c>
      <c r="H98" s="9" t="s">
        <v>85</v>
      </c>
      <c r="I98" s="9" t="s">
        <v>85</v>
      </c>
      <c r="J98" s="9">
        <v>0.428571</v>
      </c>
      <c r="K98" s="9" t="s">
        <v>85</v>
      </c>
      <c r="L98" s="9" t="s">
        <v>85</v>
      </c>
      <c r="M98" s="9">
        <v>0.545455</v>
      </c>
      <c r="N98" s="9" t="s">
        <v>85</v>
      </c>
      <c r="O98" s="9" t="s">
        <v>85</v>
      </c>
      <c r="P98" s="9">
        <v>0.506494</v>
      </c>
      <c r="Q98" s="9" t="s">
        <v>85</v>
      </c>
      <c r="R98" s="9" t="s">
        <v>85</v>
      </c>
      <c r="S98" s="9">
        <v>0.454545</v>
      </c>
      <c r="T98" s="9" t="s">
        <v>85</v>
      </c>
      <c r="U98" s="9" t="s">
        <v>85</v>
      </c>
      <c r="V98" s="9">
        <v>0.519481</v>
      </c>
      <c r="W98" s="9" t="s">
        <v>85</v>
      </c>
      <c r="X98" s="9" t="s">
        <v>85</v>
      </c>
      <c r="Y98" s="9">
        <v>0.480519</v>
      </c>
      <c r="Z98" s="9" t="s">
        <v>85</v>
      </c>
      <c r="AA98" s="9" t="s">
        <v>85</v>
      </c>
      <c r="AB98" s="9">
        <v>0.441558</v>
      </c>
      <c r="AC98" s="10" t="s">
        <v>85</v>
      </c>
      <c r="AD98" s="10" t="s">
        <v>85</v>
      </c>
      <c r="AE98" s="9">
        <v>0.467532</v>
      </c>
      <c r="AF98" s="9" t="s">
        <v>85</v>
      </c>
      <c r="AG98" s="9" t="s">
        <v>85</v>
      </c>
      <c r="AH98" s="9">
        <v>0.454545</v>
      </c>
      <c r="AI98" s="9" t="s">
        <v>85</v>
      </c>
      <c r="AJ98" s="9" t="s">
        <v>85</v>
      </c>
      <c r="AK98" s="9">
        <v>0.493506</v>
      </c>
      <c r="AL98" s="9" t="s">
        <v>85</v>
      </c>
      <c r="AM98" s="9" t="s">
        <v>85</v>
      </c>
      <c r="AN98" s="9">
        <v>0.402597</v>
      </c>
      <c r="AO98" s="9" t="s">
        <v>85</v>
      </c>
      <c r="AP98" s="9" t="s">
        <v>85</v>
      </c>
      <c r="AQ98" s="9">
        <v>0.61039</v>
      </c>
      <c r="AR98" s="9" t="s">
        <v>85</v>
      </c>
      <c r="AS98" s="9" t="s">
        <v>85</v>
      </c>
      <c r="AT98" s="9">
        <v>0.584416</v>
      </c>
      <c r="AU98" s="9" t="s">
        <v>85</v>
      </c>
      <c r="AV98" s="9" t="s">
        <v>85</v>
      </c>
      <c r="AW98" s="9">
        <v>0.506494</v>
      </c>
      <c r="AX98" s="9" t="s">
        <v>85</v>
      </c>
      <c r="AY98" s="9" t="s">
        <v>85</v>
      </c>
      <c r="AZ98" s="9">
        <v>0.428571</v>
      </c>
      <c r="BA98" s="9" t="s">
        <v>85</v>
      </c>
      <c r="BB98" s="9" t="s">
        <v>85</v>
      </c>
      <c r="BC98" s="9">
        <v>0.506494</v>
      </c>
      <c r="BD98" s="10" t="s">
        <v>85</v>
      </c>
      <c r="BE98" s="10" t="s">
        <v>85</v>
      </c>
      <c r="BF98" s="9">
        <v>0.584416</v>
      </c>
      <c r="BG98" s="10" t="s">
        <v>85</v>
      </c>
      <c r="BH98" s="10" t="s">
        <v>85</v>
      </c>
      <c r="BI98" s="9" t="s">
        <v>85</v>
      </c>
      <c r="BJ98" s="6"/>
      <c r="BK98" s="6" t="str">
        <f t="shared" si="2"/>
        <v>12Bo_One_Acc</v>
      </c>
      <c r="BL98" s="6" t="str">
        <f t="shared" si="3"/>
        <v>12BoN_One_Acc</v>
      </c>
      <c r="BM98" s="6" t="str">
        <f t="shared" si="4"/>
        <v>12BoN_One_Acc</v>
      </c>
      <c r="BN98" s="6"/>
      <c r="BO98" s="6">
        <f t="shared" ref="BO98:BQ98" si="107">IF(ISNUMBER(SEARCH("5",BK98)),5,IF(ISNUMBER(SEARCH("*8*",BK98)),8,IF(ISNUMBER(SEARCH("*10*",BK98)),10,IF(ISNUMBER(SEARCH("*12*",BK98)),12,IF(ISNUMBER(SEARCH("*20*",BK98)),20)))))</f>
        <v>12</v>
      </c>
      <c r="BP98" s="6">
        <f t="shared" si="107"/>
        <v>12</v>
      </c>
      <c r="BQ98" s="6">
        <f t="shared" si="107"/>
        <v>12</v>
      </c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</row>
    <row r="99" ht="15.75" customHeight="1">
      <c r="A99" s="1" t="s">
        <v>193</v>
      </c>
      <c r="B99" s="17">
        <v>900.0</v>
      </c>
      <c r="C99" s="17">
        <v>2.0</v>
      </c>
      <c r="D99" s="17" t="s">
        <v>311</v>
      </c>
      <c r="E99" s="9" t="s">
        <v>85</v>
      </c>
      <c r="F99" s="9" t="s">
        <v>85</v>
      </c>
      <c r="G99" s="9">
        <v>0.61039</v>
      </c>
      <c r="H99" s="9" t="s">
        <v>85</v>
      </c>
      <c r="I99" s="9" t="s">
        <v>85</v>
      </c>
      <c r="J99" s="9">
        <v>0.584416</v>
      </c>
      <c r="K99" s="9" t="s">
        <v>85</v>
      </c>
      <c r="L99" s="9" t="s">
        <v>85</v>
      </c>
      <c r="M99" s="9">
        <v>0.558442</v>
      </c>
      <c r="N99" s="9" t="s">
        <v>85</v>
      </c>
      <c r="O99" s="9" t="s">
        <v>85</v>
      </c>
      <c r="P99" s="9">
        <v>0.597403</v>
      </c>
      <c r="Q99" s="9" t="s">
        <v>85</v>
      </c>
      <c r="R99" s="9" t="s">
        <v>85</v>
      </c>
      <c r="S99" s="9">
        <v>0.597403</v>
      </c>
      <c r="T99" s="9" t="s">
        <v>85</v>
      </c>
      <c r="U99" s="9" t="s">
        <v>85</v>
      </c>
      <c r="V99" s="9">
        <v>0.571429</v>
      </c>
      <c r="W99" s="9" t="s">
        <v>85</v>
      </c>
      <c r="X99" s="9" t="s">
        <v>85</v>
      </c>
      <c r="Y99" s="9">
        <v>0.571429</v>
      </c>
      <c r="Z99" s="9" t="s">
        <v>85</v>
      </c>
      <c r="AA99" s="9" t="s">
        <v>85</v>
      </c>
      <c r="AB99" s="9">
        <v>0.571429</v>
      </c>
      <c r="AC99" s="10" t="s">
        <v>85</v>
      </c>
      <c r="AD99" s="10" t="s">
        <v>85</v>
      </c>
      <c r="AE99" s="9">
        <v>0.649351</v>
      </c>
      <c r="AF99" s="9" t="s">
        <v>85</v>
      </c>
      <c r="AG99" s="9" t="s">
        <v>85</v>
      </c>
      <c r="AH99" s="9">
        <v>0.649351</v>
      </c>
      <c r="AI99" s="9" t="s">
        <v>85</v>
      </c>
      <c r="AJ99" s="9" t="s">
        <v>85</v>
      </c>
      <c r="AK99" s="9">
        <v>0.532468</v>
      </c>
      <c r="AL99" s="9" t="s">
        <v>85</v>
      </c>
      <c r="AM99" s="9" t="s">
        <v>85</v>
      </c>
      <c r="AN99" s="9">
        <v>0.597403</v>
      </c>
      <c r="AO99" s="9" t="s">
        <v>85</v>
      </c>
      <c r="AP99" s="9" t="s">
        <v>85</v>
      </c>
      <c r="AQ99" s="9">
        <v>0.688312</v>
      </c>
      <c r="AR99" s="9" t="s">
        <v>85</v>
      </c>
      <c r="AS99" s="9" t="s">
        <v>85</v>
      </c>
      <c r="AT99" s="9">
        <v>0.662338</v>
      </c>
      <c r="AU99" s="9" t="s">
        <v>85</v>
      </c>
      <c r="AV99" s="9" t="s">
        <v>85</v>
      </c>
      <c r="AW99" s="9">
        <v>0.623377</v>
      </c>
      <c r="AX99" s="9" t="s">
        <v>85</v>
      </c>
      <c r="AY99" s="9" t="s">
        <v>85</v>
      </c>
      <c r="AZ99" s="9">
        <v>0.584416</v>
      </c>
      <c r="BA99" s="9" t="s">
        <v>85</v>
      </c>
      <c r="BB99" s="9" t="s">
        <v>85</v>
      </c>
      <c r="BC99" s="9">
        <v>0.61039</v>
      </c>
      <c r="BD99" s="10" t="s">
        <v>85</v>
      </c>
      <c r="BE99" s="10" t="s">
        <v>85</v>
      </c>
      <c r="BF99" s="9">
        <v>0.649351</v>
      </c>
      <c r="BG99" s="10" t="s">
        <v>85</v>
      </c>
      <c r="BH99" s="10" t="s">
        <v>85</v>
      </c>
      <c r="BI99" s="9" t="s">
        <v>85</v>
      </c>
      <c r="BJ99" s="6"/>
      <c r="BK99" s="6" t="str">
        <f t="shared" si="2"/>
        <v>12Bo_One_Acc</v>
      </c>
      <c r="BL99" s="6" t="str">
        <f t="shared" si="3"/>
        <v>12BoN_One_Acc</v>
      </c>
      <c r="BM99" s="6" t="str">
        <f t="shared" si="4"/>
        <v>10Bo_One_Acc</v>
      </c>
      <c r="BN99" s="6"/>
      <c r="BO99" s="6">
        <f t="shared" ref="BO99:BQ99" si="108">IF(ISNUMBER(SEARCH("5",BK99)),5,IF(ISNUMBER(SEARCH("*8*",BK99)),8,IF(ISNUMBER(SEARCH("*10*",BK99)),10,IF(ISNUMBER(SEARCH("*12*",BK99)),12,IF(ISNUMBER(SEARCH("*20*",BK99)),20)))))</f>
        <v>12</v>
      </c>
      <c r="BP99" s="6">
        <f t="shared" si="108"/>
        <v>12</v>
      </c>
      <c r="BQ99" s="6">
        <f t="shared" si="108"/>
        <v>10</v>
      </c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</row>
    <row r="100" ht="15.75" customHeight="1">
      <c r="A100" s="1" t="s">
        <v>194</v>
      </c>
      <c r="B100" s="17">
        <v>426.0</v>
      </c>
      <c r="C100" s="17">
        <v>2.0</v>
      </c>
      <c r="D100" s="17" t="s">
        <v>300</v>
      </c>
      <c r="E100" s="9" t="s">
        <v>85</v>
      </c>
      <c r="F100" s="9" t="s">
        <v>85</v>
      </c>
      <c r="G100" s="9">
        <v>0.709667</v>
      </c>
      <c r="H100" s="9" t="s">
        <v>85</v>
      </c>
      <c r="I100" s="9" t="s">
        <v>85</v>
      </c>
      <c r="J100" s="9">
        <v>0.535667</v>
      </c>
      <c r="K100" s="9" t="s">
        <v>85</v>
      </c>
      <c r="L100" s="9" t="s">
        <v>85</v>
      </c>
      <c r="M100" s="9">
        <v>0.781667</v>
      </c>
      <c r="N100" s="9" t="s">
        <v>85</v>
      </c>
      <c r="O100" s="9" t="s">
        <v>85</v>
      </c>
      <c r="P100" s="9">
        <v>0.767</v>
      </c>
      <c r="Q100" s="9" t="s">
        <v>85</v>
      </c>
      <c r="R100" s="9" t="s">
        <v>85</v>
      </c>
      <c r="S100" s="9">
        <v>0.751</v>
      </c>
      <c r="T100" s="9" t="s">
        <v>85</v>
      </c>
      <c r="U100" s="9" t="s">
        <v>85</v>
      </c>
      <c r="V100" s="9">
        <v>0.746333</v>
      </c>
      <c r="W100" s="9" t="s">
        <v>85</v>
      </c>
      <c r="X100" s="9" t="s">
        <v>85</v>
      </c>
      <c r="Y100" s="9">
        <v>0.797667</v>
      </c>
      <c r="Z100" s="9" t="s">
        <v>85</v>
      </c>
      <c r="AA100" s="9" t="s">
        <v>85</v>
      </c>
      <c r="AB100" s="9">
        <v>0.773667</v>
      </c>
      <c r="AC100" s="10" t="s">
        <v>85</v>
      </c>
      <c r="AD100" s="10" t="s">
        <v>85</v>
      </c>
      <c r="AE100" s="9">
        <v>0.763</v>
      </c>
      <c r="AF100" s="9" t="s">
        <v>85</v>
      </c>
      <c r="AG100" s="9" t="s">
        <v>85</v>
      </c>
      <c r="AH100" s="9">
        <v>0.768</v>
      </c>
      <c r="AI100" s="9" t="s">
        <v>85</v>
      </c>
      <c r="AJ100" s="9" t="s">
        <v>85</v>
      </c>
      <c r="AK100" s="9">
        <v>0.802667</v>
      </c>
      <c r="AL100" s="9" t="s">
        <v>85</v>
      </c>
      <c r="AM100" s="9" t="s">
        <v>85</v>
      </c>
      <c r="AN100" s="9">
        <v>0.81</v>
      </c>
      <c r="AO100" s="9" t="s">
        <v>85</v>
      </c>
      <c r="AP100" s="9" t="s">
        <v>85</v>
      </c>
      <c r="AQ100" s="9">
        <v>0.778333</v>
      </c>
      <c r="AR100" s="9" t="s">
        <v>85</v>
      </c>
      <c r="AS100" s="9" t="s">
        <v>85</v>
      </c>
      <c r="AT100" s="9">
        <v>0.775</v>
      </c>
      <c r="AU100" s="9" t="s">
        <v>85</v>
      </c>
      <c r="AV100" s="9" t="s">
        <v>85</v>
      </c>
      <c r="AW100" s="9">
        <v>0.799333</v>
      </c>
      <c r="AX100" s="9" t="s">
        <v>85</v>
      </c>
      <c r="AY100" s="9" t="s">
        <v>85</v>
      </c>
      <c r="AZ100" s="9">
        <v>0.802333</v>
      </c>
      <c r="BA100" s="9" t="s">
        <v>85</v>
      </c>
      <c r="BB100" s="9" t="s">
        <v>85</v>
      </c>
      <c r="BC100" s="9">
        <v>0.796333</v>
      </c>
      <c r="BD100" s="10" t="s">
        <v>85</v>
      </c>
      <c r="BE100" s="10" t="s">
        <v>85</v>
      </c>
      <c r="BF100" s="9">
        <v>0.805333</v>
      </c>
      <c r="BG100" s="10" t="s">
        <v>85</v>
      </c>
      <c r="BH100" s="10" t="s">
        <v>85</v>
      </c>
      <c r="BI100" s="9" t="s">
        <v>85</v>
      </c>
      <c r="BJ100" s="6"/>
      <c r="BK100" s="6" t="str">
        <f t="shared" si="2"/>
        <v>10VB_One_Acc</v>
      </c>
      <c r="BL100" s="6" t="str">
        <f t="shared" si="3"/>
        <v>20V_One_Acc</v>
      </c>
      <c r="BM100" s="6" t="str">
        <f t="shared" si="4"/>
        <v>10V_One_Acc</v>
      </c>
      <c r="BN100" s="6"/>
      <c r="BO100" s="6">
        <f t="shared" ref="BO100:BQ100" si="109">IF(ISNUMBER(SEARCH("5",BK100)),5,IF(ISNUMBER(SEARCH("*8*",BK100)),8,IF(ISNUMBER(SEARCH("*10*",BK100)),10,IF(ISNUMBER(SEARCH("*12*",BK100)),12,IF(ISNUMBER(SEARCH("*20*",BK100)),20)))))</f>
        <v>10</v>
      </c>
      <c r="BP100" s="6">
        <f t="shared" si="109"/>
        <v>20</v>
      </c>
      <c r="BQ100" s="6">
        <f t="shared" si="109"/>
        <v>10</v>
      </c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</row>
    <row r="101" ht="15.75" customHeight="1">
      <c r="A101" s="15"/>
      <c r="B101" s="15"/>
      <c r="C101" s="15"/>
      <c r="D101" s="17"/>
      <c r="K101" s="1"/>
      <c r="L101" s="1"/>
      <c r="M101" s="1"/>
      <c r="Q101" s="1"/>
      <c r="R101" s="1"/>
      <c r="S101" s="1"/>
      <c r="T101" s="1"/>
      <c r="U101" s="1"/>
      <c r="V101" s="1"/>
      <c r="Y101" s="1"/>
      <c r="AC101" s="1"/>
      <c r="AD101" s="1"/>
      <c r="AE101" s="1"/>
      <c r="AF101" s="1"/>
      <c r="AG101" s="1"/>
      <c r="AI101" s="1"/>
      <c r="AJ101" s="1"/>
      <c r="AK101" s="1"/>
      <c r="AO101" s="1"/>
      <c r="AP101" s="1"/>
      <c r="AQ101" s="1"/>
      <c r="AR101" s="1"/>
      <c r="AS101" s="1"/>
      <c r="AT101" s="1"/>
      <c r="AW101" s="1"/>
      <c r="BA101" s="1"/>
      <c r="BB101" s="1"/>
      <c r="BC101" s="1"/>
      <c r="BD101" s="1"/>
      <c r="BE101" s="1"/>
    </row>
    <row r="102" ht="15.75" customHeight="1">
      <c r="A102" s="15"/>
      <c r="B102" s="15"/>
      <c r="C102" s="15"/>
      <c r="D102" s="17"/>
      <c r="K102" s="1"/>
      <c r="L102" s="1"/>
      <c r="M102" s="1"/>
      <c r="N102" s="1"/>
      <c r="O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</row>
    <row r="103" ht="15.75" customHeight="1">
      <c r="A103" s="15"/>
      <c r="B103" s="15"/>
      <c r="C103" s="15"/>
      <c r="D103" s="17"/>
      <c r="K103" s="1"/>
      <c r="L103" s="1"/>
      <c r="M103" s="1"/>
      <c r="N103" s="1"/>
      <c r="O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</row>
    <row r="104" ht="15.75" customHeight="1">
      <c r="A104" s="15"/>
      <c r="B104" s="15"/>
      <c r="C104" s="15"/>
      <c r="D104" s="17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</row>
    <row r="105" ht="15.75" customHeight="1">
      <c r="A105" s="15"/>
      <c r="B105" s="15"/>
      <c r="C105" s="15"/>
      <c r="D105" s="1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</row>
    <row r="106" ht="15.75" customHeight="1">
      <c r="A106" s="15"/>
      <c r="B106" s="15"/>
      <c r="C106" s="15"/>
      <c r="D106" s="17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</row>
    <row r="107" ht="15.75" customHeight="1">
      <c r="C107" s="15"/>
      <c r="D107" s="17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ht="15.75" customHeight="1">
      <c r="C108" s="15"/>
      <c r="D108" s="17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ht="15.75" customHeight="1">
      <c r="C109" s="15"/>
      <c r="D109" s="17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ht="15.75" customHeight="1">
      <c r="C110" s="15"/>
      <c r="D110" s="17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ht="15.75" customHeight="1">
      <c r="C111" s="15"/>
      <c r="D111" s="17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ht="15.75" customHeight="1">
      <c r="C112" s="15"/>
      <c r="D112" s="17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ht="15.75" customHeight="1">
      <c r="C113" s="15"/>
      <c r="D113" s="17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ht="15.75" customHeight="1">
      <c r="C114" s="15"/>
      <c r="D114" s="17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ht="15.75" customHeight="1">
      <c r="C115" s="15"/>
      <c r="D115" s="17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ht="15.75" customHeight="1">
      <c r="C116" s="15"/>
      <c r="D116" s="17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ht="15.75" customHeight="1">
      <c r="C117" s="15"/>
      <c r="D117" s="17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ht="15.75" customHeight="1">
      <c r="C118" s="15"/>
      <c r="D118" s="17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ht="15.75" customHeight="1">
      <c r="C119" s="15"/>
      <c r="D119" s="17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ht="15.75" customHeight="1">
      <c r="C120" s="15"/>
      <c r="D120" s="17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ht="15.75" customHeight="1">
      <c r="C121" s="15"/>
      <c r="D121" s="17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ht="15.75" customHeight="1">
      <c r="C122" s="15"/>
      <c r="D122" s="17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ht="15.75" customHeight="1">
      <c r="C123" s="15"/>
      <c r="D123" s="17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ht="15.75" customHeight="1">
      <c r="C124" s="15"/>
      <c r="D124" s="17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ht="15.75" customHeight="1">
      <c r="C125" s="15"/>
      <c r="D125" s="17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ht="15.75" customHeight="1">
      <c r="C126" s="15"/>
      <c r="D126" s="17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ht="15.75" customHeight="1">
      <c r="C127" s="15"/>
      <c r="D127" s="17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ht="15.75" customHeight="1">
      <c r="C128" s="15"/>
      <c r="D128" s="17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ht="15.75" customHeight="1">
      <c r="C129" s="15"/>
      <c r="D129" s="17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ht="15.75" customHeight="1">
      <c r="C130" s="15"/>
      <c r="D130" s="17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ht="15.75" customHeight="1">
      <c r="C131" s="15"/>
      <c r="D131" s="17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ht="15.75" customHeight="1">
      <c r="C132" s="15"/>
      <c r="D132" s="17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ht="15.75" customHeight="1">
      <c r="C133" s="15"/>
      <c r="D133" s="17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ht="15.75" customHeight="1">
      <c r="C134" s="15"/>
      <c r="D134" s="17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ht="15.75" customHeight="1">
      <c r="C135" s="15"/>
      <c r="D135" s="17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ht="15.75" customHeight="1">
      <c r="C136" s="15"/>
      <c r="D136" s="17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ht="15.75" customHeight="1">
      <c r="C137" s="15"/>
      <c r="D137" s="17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ht="15.75" customHeight="1">
      <c r="C138" s="15"/>
      <c r="D138" s="17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ht="15.75" customHeight="1">
      <c r="C139" s="15"/>
      <c r="D139" s="17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ht="15.75" customHeight="1">
      <c r="C140" s="15"/>
      <c r="D140" s="17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ht="15.75" customHeight="1">
      <c r="C141" s="15"/>
      <c r="D141" s="17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ht="15.75" customHeight="1">
      <c r="C142" s="15"/>
      <c r="D142" s="17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ht="15.75" customHeight="1">
      <c r="C143" s="15"/>
      <c r="D143" s="17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ht="15.75" customHeight="1">
      <c r="C144" s="15"/>
      <c r="D144" s="17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ht="15.75" customHeight="1">
      <c r="C145" s="15"/>
      <c r="D145" s="17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ht="15.75" customHeight="1">
      <c r="C146" s="15"/>
      <c r="D146" s="17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ht="15.75" customHeight="1">
      <c r="C147" s="15"/>
      <c r="D147" s="17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ht="15.75" customHeight="1">
      <c r="C148" s="15"/>
      <c r="D148" s="17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ht="15.75" customHeight="1">
      <c r="C149" s="15"/>
      <c r="D149" s="17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ht="15.75" customHeight="1">
      <c r="C150" s="15"/>
      <c r="D150" s="17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ht="15.75" customHeight="1">
      <c r="C151" s="15"/>
      <c r="D151" s="17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ht="15.75" customHeight="1">
      <c r="C152" s="15"/>
      <c r="D152" s="17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ht="15.75" customHeight="1">
      <c r="C153" s="15"/>
      <c r="D153" s="17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ht="15.75" customHeight="1">
      <c r="C154" s="15"/>
      <c r="D154" s="17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ht="15.75" customHeight="1">
      <c r="C155" s="15"/>
      <c r="D155" s="17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ht="15.75" customHeight="1">
      <c r="C156" s="15"/>
      <c r="D156" s="17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ht="15.75" customHeight="1">
      <c r="C157" s="15"/>
      <c r="D157" s="17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ht="15.75" customHeight="1">
      <c r="C158" s="15"/>
      <c r="D158" s="17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ht="15.75" customHeight="1">
      <c r="C159" s="15"/>
      <c r="D159" s="17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ht="15.75" customHeight="1">
      <c r="C160" s="15"/>
      <c r="D160" s="17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ht="15.75" customHeight="1">
      <c r="C161" s="15"/>
      <c r="D161" s="17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ht="15.75" customHeight="1">
      <c r="C162" s="15"/>
      <c r="D162" s="17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ht="15.75" customHeight="1">
      <c r="C163" s="15"/>
      <c r="D163" s="17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ht="15.75" customHeight="1">
      <c r="C164" s="15"/>
      <c r="D164" s="1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ht="15.75" customHeight="1">
      <c r="C165" s="15"/>
      <c r="D165" s="1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ht="15.75" customHeight="1">
      <c r="C166" s="15"/>
      <c r="D166" s="1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ht="15.75" customHeight="1">
      <c r="C167" s="15"/>
      <c r="D167" s="1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ht="15.75" customHeight="1">
      <c r="C168" s="15"/>
      <c r="D168" s="1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ht="15.75" customHeight="1">
      <c r="C169" s="15"/>
      <c r="D169" s="17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ht="15.75" customHeight="1">
      <c r="C170" s="15"/>
      <c r="D170" s="1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ht="15.75" customHeight="1">
      <c r="C171" s="15"/>
      <c r="D171" s="1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ht="15.75" customHeight="1">
      <c r="C172" s="15"/>
      <c r="D172" s="1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ht="15.75" customHeight="1">
      <c r="C173" s="15"/>
      <c r="D173" s="1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ht="15.75" customHeight="1">
      <c r="C174" s="15"/>
      <c r="D174" s="1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ht="15.75" customHeight="1">
      <c r="C175" s="15"/>
      <c r="D175" s="1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ht="15.75" customHeight="1">
      <c r="C176" s="15"/>
      <c r="D176" s="1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ht="15.75" customHeight="1">
      <c r="C177" s="15"/>
      <c r="D177" s="1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ht="15.75" customHeight="1">
      <c r="C178" s="15"/>
      <c r="D178" s="1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ht="15.75" customHeight="1">
      <c r="C179" s="15"/>
      <c r="D179" s="1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</row>
    <row r="180" ht="15.75" customHeight="1">
      <c r="C180" s="15"/>
      <c r="D180" s="1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</row>
    <row r="181" ht="15.75" customHeight="1">
      <c r="C181" s="15"/>
      <c r="D181" s="1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</row>
    <row r="182" ht="15.75" customHeight="1">
      <c r="C182" s="15"/>
      <c r="D182" s="1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</row>
    <row r="183" ht="15.75" customHeight="1">
      <c r="C183" s="15"/>
      <c r="D183" s="1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</row>
    <row r="184" ht="15.75" customHeight="1">
      <c r="C184" s="15"/>
      <c r="D184" s="1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</row>
    <row r="185" ht="15.75" customHeight="1">
      <c r="C185" s="15"/>
      <c r="D185" s="1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</row>
    <row r="186" ht="15.75" customHeight="1">
      <c r="C186" s="15"/>
      <c r="D186" s="1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</row>
    <row r="187" ht="15.75" customHeight="1">
      <c r="C187" s="15"/>
      <c r="D187" s="1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</row>
    <row r="188" ht="15.75" customHeight="1">
      <c r="C188" s="15"/>
      <c r="D188" s="1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</row>
    <row r="189" ht="15.75" customHeight="1">
      <c r="C189" s="15"/>
      <c r="D189" s="1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</row>
    <row r="190" ht="15.75" customHeight="1">
      <c r="C190" s="15"/>
      <c r="D190" s="1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</row>
    <row r="191" ht="15.75" customHeight="1">
      <c r="C191" s="15"/>
      <c r="D191" s="1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</row>
    <row r="192" ht="15.75" customHeight="1">
      <c r="C192" s="15"/>
      <c r="D192" s="1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</row>
    <row r="193" ht="15.75" customHeight="1">
      <c r="C193" s="15"/>
      <c r="D193" s="1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</row>
    <row r="194" ht="15.75" customHeight="1">
      <c r="C194" s="15"/>
      <c r="D194" s="1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</row>
    <row r="195" ht="15.75" customHeight="1">
      <c r="C195" s="15"/>
      <c r="D195" s="1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</row>
    <row r="196" ht="15.75" customHeight="1">
      <c r="C196" s="15"/>
      <c r="D196" s="1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</row>
    <row r="197" ht="15.75" customHeight="1">
      <c r="C197" s="15"/>
      <c r="D197" s="1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</row>
    <row r="198" ht="15.75" customHeight="1">
      <c r="C198" s="15"/>
      <c r="D198" s="1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</row>
    <row r="199" ht="15.75" customHeight="1">
      <c r="C199" s="15"/>
      <c r="D199" s="1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</row>
    <row r="200" ht="15.75" customHeight="1">
      <c r="C200" s="15"/>
      <c r="D200" s="1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</row>
    <row r="201" ht="15.75" customHeight="1">
      <c r="C201" s="15"/>
      <c r="D201" s="1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</row>
    <row r="202" ht="15.75" customHeight="1">
      <c r="C202" s="15"/>
      <c r="D202" s="1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</row>
    <row r="203" ht="15.75" customHeight="1">
      <c r="C203" s="15"/>
      <c r="D203" s="1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</row>
    <row r="204" ht="15.75" customHeight="1">
      <c r="C204" s="15"/>
      <c r="D204" s="1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</row>
    <row r="205" ht="15.75" customHeight="1">
      <c r="C205" s="15"/>
      <c r="D205" s="1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</row>
    <row r="206" ht="15.75" customHeight="1">
      <c r="C206" s="15"/>
      <c r="D206" s="1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</row>
    <row r="207" ht="15.75" customHeight="1">
      <c r="C207" s="15"/>
      <c r="D207" s="1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</row>
    <row r="208" ht="15.75" customHeight="1">
      <c r="C208" s="15"/>
      <c r="D208" s="1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</row>
    <row r="209" ht="15.75" customHeight="1">
      <c r="C209" s="15"/>
      <c r="D209" s="1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</row>
    <row r="210" ht="15.75" customHeight="1">
      <c r="C210" s="15"/>
      <c r="D210" s="1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</row>
    <row r="211" ht="15.75" customHeight="1">
      <c r="C211" s="15"/>
      <c r="D211" s="1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</row>
    <row r="212" ht="15.75" customHeight="1">
      <c r="C212" s="15"/>
      <c r="D212" s="1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</row>
    <row r="213" ht="15.75" customHeight="1">
      <c r="C213" s="15"/>
      <c r="D213" s="1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</row>
    <row r="214" ht="15.75" customHeight="1">
      <c r="C214" s="15"/>
      <c r="D214" s="1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</row>
    <row r="215" ht="15.75" customHeight="1">
      <c r="C215" s="15"/>
      <c r="D215" s="1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</row>
    <row r="216" ht="15.75" customHeight="1">
      <c r="C216" s="15"/>
      <c r="D216" s="1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</row>
    <row r="217" ht="15.75" customHeight="1">
      <c r="C217" s="15"/>
      <c r="D217" s="1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</row>
    <row r="218" ht="15.75" customHeight="1">
      <c r="C218" s="15"/>
      <c r="D218" s="1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</row>
    <row r="219" ht="15.75" customHeight="1">
      <c r="C219" s="15"/>
      <c r="D219" s="1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</row>
    <row r="220" ht="15.75" customHeight="1">
      <c r="C220" s="15"/>
      <c r="D220" s="1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</row>
    <row r="221" ht="15.75" customHeight="1">
      <c r="C221" s="15"/>
      <c r="D221" s="1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</row>
    <row r="222" ht="15.75" customHeight="1">
      <c r="C222" s="15"/>
      <c r="D222" s="1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</row>
    <row r="223" ht="15.75" customHeight="1">
      <c r="C223" s="15"/>
      <c r="D223" s="1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</row>
    <row r="224" ht="15.75" customHeight="1">
      <c r="C224" s="15"/>
      <c r="D224" s="15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</row>
    <row r="225" ht="15.75" customHeight="1">
      <c r="C225" s="15"/>
      <c r="D225" s="1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</row>
    <row r="226" ht="15.75" customHeight="1">
      <c r="C226" s="15"/>
      <c r="D226" s="15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</row>
    <row r="227" ht="15.75" customHeight="1">
      <c r="C227" s="15"/>
      <c r="D227" s="1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</row>
    <row r="228" ht="15.75" customHeight="1">
      <c r="C228" s="15"/>
      <c r="D228" s="15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</row>
    <row r="229" ht="15.75" customHeight="1">
      <c r="C229" s="15"/>
      <c r="D229" s="15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</row>
    <row r="230" ht="15.75" customHeight="1">
      <c r="C230" s="15"/>
      <c r="D230" s="15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</row>
    <row r="231" ht="15.75" customHeight="1">
      <c r="C231" s="15"/>
      <c r="D231" s="15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</row>
    <row r="232" ht="15.75" customHeight="1">
      <c r="C232" s="15"/>
      <c r="D232" s="15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</row>
    <row r="233" ht="15.75" customHeight="1">
      <c r="C233" s="15"/>
      <c r="D233" s="15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</row>
    <row r="234" ht="15.75" customHeight="1">
      <c r="C234" s="15"/>
      <c r="D234" s="1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</row>
    <row r="235" ht="15.75" customHeight="1">
      <c r="C235" s="15"/>
      <c r="D235" s="1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</row>
    <row r="236" ht="15.75" customHeight="1">
      <c r="C236" s="15"/>
      <c r="D236" s="1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</row>
    <row r="237" ht="15.75" customHeight="1">
      <c r="C237" s="15"/>
      <c r="D237" s="15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</row>
    <row r="238" ht="15.75" customHeight="1">
      <c r="C238" s="15"/>
      <c r="D238" s="1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</row>
    <row r="239" ht="15.75" customHeight="1">
      <c r="C239" s="15"/>
      <c r="D239" s="15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</row>
    <row r="240" ht="15.75" customHeight="1">
      <c r="C240" s="15"/>
      <c r="D240" s="1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</row>
    <row r="241" ht="15.75" customHeight="1">
      <c r="C241" s="15"/>
      <c r="D241" s="1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</row>
    <row r="242" ht="15.75" customHeight="1">
      <c r="C242" s="15"/>
      <c r="D242" s="1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</row>
    <row r="243" ht="15.75" customHeight="1">
      <c r="C243" s="15"/>
      <c r="D243" s="15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</row>
    <row r="244" ht="15.75" customHeight="1">
      <c r="C244" s="15"/>
      <c r="D244" s="15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</row>
    <row r="245" ht="15.75" customHeight="1">
      <c r="C245" s="15"/>
      <c r="D245" s="15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</row>
    <row r="246" ht="15.75" customHeight="1">
      <c r="C246" s="15"/>
      <c r="D246" s="15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</row>
    <row r="247" ht="15.75" customHeight="1">
      <c r="C247" s="15"/>
      <c r="D247" s="1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</row>
    <row r="248" ht="15.75" customHeight="1">
      <c r="C248" s="15"/>
      <c r="D248" s="1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</row>
    <row r="249" ht="15.75" customHeight="1">
      <c r="C249" s="15"/>
      <c r="D249" s="1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</row>
    <row r="250" ht="15.75" customHeight="1">
      <c r="C250" s="15"/>
      <c r="D250" s="1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</row>
    <row r="251" ht="15.75" customHeight="1">
      <c r="C251" s="15"/>
      <c r="D251" s="1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</row>
    <row r="252" ht="15.75" customHeight="1">
      <c r="C252" s="15"/>
      <c r="D252" s="1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</row>
    <row r="253" ht="15.75" customHeight="1">
      <c r="C253" s="15"/>
      <c r="D253" s="15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</row>
    <row r="254" ht="15.75" customHeight="1">
      <c r="C254" s="15"/>
      <c r="D254" s="15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</row>
    <row r="255" ht="15.75" customHeight="1">
      <c r="C255" s="15"/>
      <c r="D255" s="1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</row>
    <row r="256" ht="15.75" customHeight="1">
      <c r="C256" s="15"/>
      <c r="D256" s="15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</row>
    <row r="257" ht="15.75" customHeight="1">
      <c r="C257" s="15"/>
      <c r="D257" s="1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</row>
    <row r="258" ht="15.75" customHeight="1">
      <c r="C258" s="15"/>
      <c r="D258" s="1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</row>
    <row r="259" ht="15.75" customHeight="1">
      <c r="C259" s="15"/>
      <c r="D259" s="15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</row>
    <row r="260" ht="15.75" customHeight="1">
      <c r="C260" s="15"/>
      <c r="D260" s="1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</row>
    <row r="261" ht="15.75" customHeight="1">
      <c r="C261" s="15"/>
      <c r="D261" s="1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</row>
    <row r="262" ht="15.75" customHeight="1">
      <c r="C262" s="15"/>
      <c r="D262" s="15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</row>
    <row r="263" ht="15.75" customHeight="1">
      <c r="C263" s="15"/>
      <c r="D263" s="15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</row>
    <row r="264" ht="15.75" customHeight="1">
      <c r="C264" s="15"/>
      <c r="D264" s="15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</row>
    <row r="265" ht="15.75" customHeight="1">
      <c r="C265" s="15"/>
      <c r="D265" s="15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</row>
    <row r="266" ht="15.75" customHeight="1">
      <c r="C266" s="15"/>
      <c r="D266" s="15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</row>
    <row r="267" ht="15.75" customHeight="1">
      <c r="C267" s="15"/>
      <c r="D267" s="15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</row>
    <row r="268" ht="15.75" customHeight="1">
      <c r="C268" s="15"/>
      <c r="D268" s="15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</row>
    <row r="269" ht="15.75" customHeight="1">
      <c r="C269" s="15"/>
      <c r="D269" s="15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</row>
    <row r="270" ht="15.75" customHeight="1">
      <c r="C270" s="15"/>
      <c r="D270" s="15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</row>
    <row r="271" ht="15.75" customHeight="1">
      <c r="C271" s="15"/>
      <c r="D271" s="1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</row>
    <row r="272" ht="15.75" customHeight="1">
      <c r="C272" s="15"/>
      <c r="D272" s="1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</row>
    <row r="273" ht="15.75" customHeight="1">
      <c r="C273" s="15"/>
      <c r="D273" s="1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</row>
    <row r="274" ht="15.75" customHeight="1">
      <c r="C274" s="15"/>
      <c r="D274" s="15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</row>
    <row r="275" ht="15.75" customHeight="1">
      <c r="C275" s="15"/>
      <c r="D275" s="1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</row>
    <row r="276" ht="15.75" customHeight="1">
      <c r="C276" s="15"/>
      <c r="D276" s="15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</row>
    <row r="277" ht="15.75" customHeight="1">
      <c r="C277" s="15"/>
      <c r="D277" s="1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</row>
    <row r="278" ht="15.75" customHeight="1">
      <c r="C278" s="15"/>
      <c r="D278" s="15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</row>
    <row r="279" ht="15.75" customHeight="1">
      <c r="C279" s="15"/>
      <c r="D279" s="1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</row>
    <row r="280" ht="15.75" customHeight="1">
      <c r="C280" s="15"/>
      <c r="D280" s="1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</row>
    <row r="281" ht="15.75" customHeight="1">
      <c r="C281" s="15"/>
      <c r="D281" s="1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</row>
    <row r="282" ht="15.75" customHeight="1">
      <c r="C282" s="15"/>
      <c r="D282" s="1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</row>
    <row r="283" ht="15.75" customHeight="1">
      <c r="C283" s="15"/>
      <c r="D283" s="1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</row>
    <row r="284" ht="15.75" customHeight="1">
      <c r="C284" s="15"/>
      <c r="D284" s="15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</row>
    <row r="285" ht="15.75" customHeight="1">
      <c r="C285" s="15"/>
      <c r="D285" s="15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</row>
    <row r="286" ht="15.75" customHeight="1">
      <c r="C286" s="15"/>
      <c r="D286" s="15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</row>
    <row r="287" ht="15.75" customHeight="1">
      <c r="C287" s="15"/>
      <c r="D287" s="15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</row>
    <row r="288" ht="15.75" customHeight="1">
      <c r="C288" s="15"/>
      <c r="D288" s="15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</row>
    <row r="289" ht="15.75" customHeight="1">
      <c r="C289" s="15"/>
      <c r="D289" s="15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</row>
    <row r="290" ht="15.75" customHeight="1">
      <c r="C290" s="15"/>
      <c r="D290" s="15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</row>
    <row r="291" ht="15.75" customHeight="1">
      <c r="C291" s="15"/>
      <c r="D291" s="15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</row>
    <row r="292" ht="15.75" customHeight="1">
      <c r="C292" s="15"/>
      <c r="D292" s="1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</row>
    <row r="293" ht="15.75" customHeight="1">
      <c r="C293" s="15"/>
      <c r="D293" s="15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</row>
    <row r="294" ht="15.75" customHeight="1">
      <c r="C294" s="15"/>
      <c r="D294" s="15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</row>
    <row r="295" ht="15.75" customHeight="1">
      <c r="C295" s="15"/>
      <c r="D295" s="1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</row>
    <row r="296" ht="15.75" customHeight="1">
      <c r="C296" s="15"/>
      <c r="D296" s="1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</row>
    <row r="297" ht="15.75" customHeight="1">
      <c r="C297" s="15"/>
      <c r="D297" s="1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</row>
    <row r="298" ht="15.75" customHeight="1">
      <c r="C298" s="15"/>
      <c r="D298" s="1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</row>
    <row r="299" ht="15.75" customHeight="1">
      <c r="C299" s="15"/>
      <c r="D299" s="15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</row>
    <row r="300" ht="15.75" customHeight="1">
      <c r="C300" s="15"/>
      <c r="D300" s="1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</row>
  </sheetData>
  <mergeCells count="27"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CF8:CG8"/>
    <mergeCell ref="CJ8:CK8"/>
    <mergeCell ref="CO8:CP8"/>
    <mergeCell ref="CQ8:CR8"/>
    <mergeCell ref="CS8:CT8"/>
    <mergeCell ref="CW8:CX8"/>
    <mergeCell ref="AU1:AW1"/>
    <mergeCell ref="AX1:AZ1"/>
    <mergeCell ref="BA1:BC1"/>
    <mergeCell ref="BD1:BF1"/>
    <mergeCell ref="BG1:BI1"/>
    <mergeCell ref="CB8:CC8"/>
    <mergeCell ref="CD8:CE8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27.63"/>
    <col customWidth="1" min="2" max="2" width="14.3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38"/>
    <col customWidth="1" min="13" max="13" width="17.75"/>
    <col customWidth="1" min="16" max="16" width="14.38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38"/>
    <col customWidth="1" min="38" max="38" width="13.88"/>
    <col customWidth="1" min="40" max="40" width="14.38"/>
    <col customWidth="1" min="42" max="42" width="13.38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55" max="55" width="17.0"/>
    <col customWidth="1" min="61" max="61" width="17.38"/>
    <col customWidth="1" min="62" max="62" width="16.75"/>
    <col customWidth="1" min="63" max="63" width="16.63"/>
    <col customWidth="1" min="66" max="66" width="17.38"/>
    <col customWidth="1" min="67" max="67" width="22.38"/>
    <col customWidth="1" min="68" max="68" width="17.38"/>
    <col customWidth="1" min="69" max="69" width="22.0"/>
    <col customWidth="1" min="73" max="73" width="14.75"/>
    <col customWidth="1" min="75" max="75" width="34.75"/>
  </cols>
  <sheetData>
    <row r="1" ht="15.75" customHeight="1">
      <c r="A1" s="1" t="s">
        <v>0</v>
      </c>
      <c r="B1" s="1" t="s">
        <v>212</v>
      </c>
      <c r="C1" s="3" t="s">
        <v>2</v>
      </c>
      <c r="F1" s="3" t="s">
        <v>3</v>
      </c>
      <c r="I1" s="3" t="s">
        <v>4</v>
      </c>
      <c r="L1" s="3" t="s">
        <v>5</v>
      </c>
      <c r="O1" s="3" t="s">
        <v>6</v>
      </c>
      <c r="R1" s="3" t="s">
        <v>7</v>
      </c>
      <c r="U1" s="3" t="s">
        <v>8</v>
      </c>
      <c r="X1" s="3" t="s">
        <v>9</v>
      </c>
      <c r="AA1" s="3" t="s">
        <v>10</v>
      </c>
      <c r="AD1" s="3" t="s">
        <v>11</v>
      </c>
      <c r="AG1" s="3" t="s">
        <v>12</v>
      </c>
      <c r="AJ1" s="3" t="s">
        <v>13</v>
      </c>
      <c r="AM1" s="3" t="s">
        <v>14</v>
      </c>
      <c r="AP1" s="3" t="s">
        <v>15</v>
      </c>
      <c r="AS1" s="3" t="s">
        <v>16</v>
      </c>
      <c r="AV1" s="3" t="s">
        <v>17</v>
      </c>
      <c r="AY1" s="3" t="s">
        <v>18</v>
      </c>
      <c r="BB1" s="3" t="s">
        <v>19</v>
      </c>
      <c r="BE1" s="3" t="s">
        <v>20</v>
      </c>
      <c r="BH1" s="1"/>
      <c r="BJ1" s="1"/>
      <c r="BK1" s="1"/>
      <c r="BL1" s="1"/>
      <c r="BM1" s="1"/>
      <c r="BN1" s="1"/>
      <c r="BO1" s="1"/>
      <c r="BR1" s="1"/>
      <c r="BS1" s="1"/>
      <c r="BT1" s="1"/>
      <c r="BV1" s="1"/>
      <c r="BW1" s="1"/>
      <c r="BX1" s="1"/>
    </row>
    <row r="2" ht="15.75" customHeight="1">
      <c r="A2" s="1"/>
      <c r="B2" s="1"/>
      <c r="C2" s="1" t="s">
        <v>21</v>
      </c>
      <c r="D2" s="1" t="s">
        <v>22</v>
      </c>
      <c r="E2" s="4" t="s">
        <v>23</v>
      </c>
      <c r="F2" s="1" t="s">
        <v>24</v>
      </c>
      <c r="G2" s="1" t="s">
        <v>25</v>
      </c>
      <c r="H2" s="4" t="s">
        <v>26</v>
      </c>
      <c r="I2" s="1" t="s">
        <v>27</v>
      </c>
      <c r="J2" s="1" t="s">
        <v>28</v>
      </c>
      <c r="K2" s="5" t="s">
        <v>29</v>
      </c>
      <c r="L2" s="1" t="s">
        <v>30</v>
      </c>
      <c r="M2" s="1" t="s">
        <v>31</v>
      </c>
      <c r="N2" s="5" t="s">
        <v>32</v>
      </c>
      <c r="O2" s="1" t="s">
        <v>33</v>
      </c>
      <c r="P2" s="1" t="s">
        <v>34</v>
      </c>
      <c r="Q2" s="5" t="s">
        <v>35</v>
      </c>
      <c r="R2" s="1" t="s">
        <v>36</v>
      </c>
      <c r="S2" s="1" t="s">
        <v>37</v>
      </c>
      <c r="T2" s="5" t="s">
        <v>38</v>
      </c>
      <c r="U2" s="1" t="s">
        <v>39</v>
      </c>
      <c r="V2" s="1" t="s">
        <v>40</v>
      </c>
      <c r="W2" s="5" t="s">
        <v>41</v>
      </c>
      <c r="X2" s="1" t="s">
        <v>42</v>
      </c>
      <c r="Y2" s="1" t="s">
        <v>43</v>
      </c>
      <c r="Z2" s="5" t="s">
        <v>44</v>
      </c>
      <c r="AA2" s="1" t="s">
        <v>45</v>
      </c>
      <c r="AB2" s="1" t="s">
        <v>46</v>
      </c>
      <c r="AC2" s="5" t="s">
        <v>47</v>
      </c>
      <c r="AD2" s="1" t="s">
        <v>48</v>
      </c>
      <c r="AE2" s="1" t="s">
        <v>49</v>
      </c>
      <c r="AF2" s="5" t="s">
        <v>50</v>
      </c>
      <c r="AG2" s="1" t="s">
        <v>51</v>
      </c>
      <c r="AH2" s="1" t="s">
        <v>52</v>
      </c>
      <c r="AI2" s="5" t="s">
        <v>53</v>
      </c>
      <c r="AJ2" s="1" t="s">
        <v>54</v>
      </c>
      <c r="AK2" s="1" t="s">
        <v>55</v>
      </c>
      <c r="AL2" s="5" t="s">
        <v>56</v>
      </c>
      <c r="AM2" s="1" t="s">
        <v>57</v>
      </c>
      <c r="AN2" s="1" t="s">
        <v>58</v>
      </c>
      <c r="AO2" s="5" t="s">
        <v>59</v>
      </c>
      <c r="AP2" s="1" t="s">
        <v>60</v>
      </c>
      <c r="AQ2" s="1" t="s">
        <v>61</v>
      </c>
      <c r="AR2" s="5" t="s">
        <v>62</v>
      </c>
      <c r="AS2" s="1" t="s">
        <v>63</v>
      </c>
      <c r="AT2" s="1" t="s">
        <v>64</v>
      </c>
      <c r="AU2" s="5" t="s">
        <v>65</v>
      </c>
      <c r="AV2" s="1" t="s">
        <v>66</v>
      </c>
      <c r="AW2" s="1" t="s">
        <v>67</v>
      </c>
      <c r="AX2" s="5" t="s">
        <v>68</v>
      </c>
      <c r="AY2" s="1" t="s">
        <v>69</v>
      </c>
      <c r="AZ2" s="1" t="s">
        <v>70</v>
      </c>
      <c r="BA2" s="5" t="s">
        <v>71</v>
      </c>
      <c r="BB2" s="1" t="s">
        <v>72</v>
      </c>
      <c r="BC2" s="1" t="s">
        <v>73</v>
      </c>
      <c r="BD2" s="5" t="s">
        <v>74</v>
      </c>
      <c r="BE2" s="1" t="s">
        <v>75</v>
      </c>
      <c r="BF2" s="1" t="s">
        <v>76</v>
      </c>
      <c r="BG2" s="5" t="s">
        <v>77</v>
      </c>
      <c r="BH2" s="1"/>
      <c r="BI2" s="1" t="s">
        <v>213</v>
      </c>
      <c r="BJ2" s="1" t="s">
        <v>214</v>
      </c>
      <c r="BK2" s="1" t="s">
        <v>215</v>
      </c>
      <c r="BL2" s="1"/>
      <c r="BM2" s="1" t="s">
        <v>216</v>
      </c>
      <c r="BN2" s="1" t="s">
        <v>217</v>
      </c>
      <c r="BO2" s="1" t="s">
        <v>218</v>
      </c>
      <c r="BP2" s="1" t="s">
        <v>219</v>
      </c>
      <c r="BR2" s="1"/>
      <c r="BS2" s="1"/>
      <c r="BT2" s="1"/>
      <c r="BV2" s="1"/>
      <c r="BW2" s="1"/>
      <c r="BX2" s="1"/>
    </row>
    <row r="3" ht="15.75" customHeight="1">
      <c r="A3" s="1" t="s">
        <v>84</v>
      </c>
      <c r="B3" s="17">
        <v>1460.0</v>
      </c>
      <c r="C3" s="9" t="s">
        <v>85</v>
      </c>
      <c r="D3" s="9">
        <v>0.64</v>
      </c>
      <c r="E3" s="9" t="s">
        <v>85</v>
      </c>
      <c r="F3" s="9" t="s">
        <v>85</v>
      </c>
      <c r="G3" s="30">
        <v>0.569999993</v>
      </c>
      <c r="H3" s="9" t="s">
        <v>85</v>
      </c>
      <c r="I3" s="9" t="s">
        <v>85</v>
      </c>
      <c r="J3" s="9">
        <v>0.56</v>
      </c>
      <c r="K3" s="9" t="s">
        <v>85</v>
      </c>
      <c r="L3" s="9" t="s">
        <v>85</v>
      </c>
      <c r="M3" s="9">
        <v>0.6</v>
      </c>
      <c r="N3" s="9" t="s">
        <v>85</v>
      </c>
      <c r="O3" s="9" t="s">
        <v>85</v>
      </c>
      <c r="P3" s="9">
        <v>0.62</v>
      </c>
      <c r="Q3" s="9" t="s">
        <v>85</v>
      </c>
      <c r="R3" s="9" t="s">
        <v>85</v>
      </c>
      <c r="S3" s="9">
        <v>0.62</v>
      </c>
      <c r="T3" s="9" t="s">
        <v>85</v>
      </c>
      <c r="U3" s="9" t="s">
        <v>85</v>
      </c>
      <c r="V3" s="9">
        <v>0.5</v>
      </c>
      <c r="W3" s="9" t="s">
        <v>85</v>
      </c>
      <c r="X3" s="9" t="s">
        <v>85</v>
      </c>
      <c r="Y3" s="9">
        <v>0.42</v>
      </c>
      <c r="Z3" s="9" t="s">
        <v>85</v>
      </c>
      <c r="AA3" s="9" t="s">
        <v>85</v>
      </c>
      <c r="AB3" s="30">
        <v>0.53</v>
      </c>
      <c r="AC3" s="9" t="s">
        <v>85</v>
      </c>
      <c r="AD3" s="9" t="s">
        <v>85</v>
      </c>
      <c r="AE3" s="30">
        <v>0.61</v>
      </c>
      <c r="AF3" s="9" t="s">
        <v>85</v>
      </c>
      <c r="AG3" s="9" t="s">
        <v>85</v>
      </c>
      <c r="AH3" s="9">
        <v>0.48</v>
      </c>
      <c r="AI3" s="9" t="s">
        <v>85</v>
      </c>
      <c r="AJ3" s="9" t="s">
        <v>85</v>
      </c>
      <c r="AK3" s="9">
        <v>0.47</v>
      </c>
      <c r="AL3" s="9" t="s">
        <v>85</v>
      </c>
      <c r="AM3" s="9" t="s">
        <v>85</v>
      </c>
      <c r="AN3" s="9">
        <v>0.65</v>
      </c>
      <c r="AO3" s="9" t="s">
        <v>85</v>
      </c>
      <c r="AP3" s="9" t="s">
        <v>85</v>
      </c>
      <c r="AQ3" s="30">
        <v>0.64</v>
      </c>
      <c r="AR3" s="9" t="s">
        <v>85</v>
      </c>
      <c r="AS3" s="9" t="s">
        <v>85</v>
      </c>
      <c r="AT3" s="9">
        <v>0.43</v>
      </c>
      <c r="AU3" s="9" t="s">
        <v>85</v>
      </c>
      <c r="AV3" s="9" t="s">
        <v>85</v>
      </c>
      <c r="AW3" s="9">
        <v>0.35</v>
      </c>
      <c r="AX3" s="9" t="s">
        <v>85</v>
      </c>
      <c r="AY3" s="9" t="s">
        <v>85</v>
      </c>
      <c r="AZ3" s="9">
        <v>0.65</v>
      </c>
      <c r="BA3" s="9" t="s">
        <v>85</v>
      </c>
      <c r="BB3" s="9" t="s">
        <v>85</v>
      </c>
      <c r="BC3" s="30">
        <v>0.2</v>
      </c>
      <c r="BD3" s="9" t="s">
        <v>85</v>
      </c>
      <c r="BE3" s="9" t="s">
        <v>85</v>
      </c>
      <c r="BF3" s="10" t="s">
        <v>85</v>
      </c>
      <c r="BG3" s="9" t="s">
        <v>85</v>
      </c>
      <c r="BH3" s="6"/>
      <c r="BI3" s="6" t="str">
        <f t="shared" ref="BI3:BI100" si="1">INDEX($C$2:$BG$2,0,MATCH(MAX(C3:BG3),C3:BG3,0))</f>
        <v>12B_Fold_Median</v>
      </c>
      <c r="BJ3" s="6" t="str">
        <f t="shared" ref="BJ3:BJ100" si="2">INDEX($C$2:$BG$2,0,MATCH(LARGE(C3:BG3,2),C3:BG3,0))</f>
        <v>12B_Fold_Median</v>
      </c>
      <c r="BK3" s="6" t="str">
        <f t="shared" ref="BK3:BK100" si="3">INDEX($C$2:$BG$2,0,MATCH(LARGE(C3:BG3,3),C3:BG3,0))</f>
        <v>5B_Fold_Median</v>
      </c>
      <c r="BL3" s="6"/>
      <c r="BM3" s="6">
        <f>COUNTA(BI3:BK100)</f>
        <v>294</v>
      </c>
      <c r="BN3" s="6">
        <f>COUNTIF(BI3:BK100,"*De*")</f>
        <v>17</v>
      </c>
      <c r="BO3" s="6">
        <f>COUNTIF(BI3:BK100,"*V*")</f>
        <v>130</v>
      </c>
      <c r="BP3" s="6">
        <f>MINUS(BM3,SUM(BN3,BO3))</f>
        <v>147</v>
      </c>
      <c r="BQ3" s="6"/>
      <c r="BR3" s="6"/>
      <c r="BS3" s="6"/>
      <c r="BT3" s="6"/>
      <c r="BU3" s="6"/>
      <c r="BV3" s="6"/>
      <c r="BW3" s="6"/>
      <c r="BX3" s="6"/>
    </row>
    <row r="4" ht="15.75" customHeight="1">
      <c r="A4" s="1" t="s">
        <v>89</v>
      </c>
      <c r="B4" s="17">
        <v>176.0</v>
      </c>
      <c r="C4" s="9" t="s">
        <v>85</v>
      </c>
      <c r="D4" s="9">
        <v>0.29156</v>
      </c>
      <c r="E4" s="9" t="s">
        <v>85</v>
      </c>
      <c r="F4" s="9" t="s">
        <v>85</v>
      </c>
      <c r="G4" s="30">
        <v>0.319693089</v>
      </c>
      <c r="H4" s="9" t="s">
        <v>85</v>
      </c>
      <c r="I4" s="9" t="s">
        <v>85</v>
      </c>
      <c r="J4" s="9">
        <v>0.186701</v>
      </c>
      <c r="K4" s="9" t="s">
        <v>85</v>
      </c>
      <c r="L4" s="9" t="s">
        <v>85</v>
      </c>
      <c r="M4" s="9">
        <v>0.074169</v>
      </c>
      <c r="N4" s="9" t="s">
        <v>85</v>
      </c>
      <c r="O4" s="9" t="s">
        <v>85</v>
      </c>
      <c r="P4" s="9">
        <v>0.232737</v>
      </c>
      <c r="Q4" s="9" t="s">
        <v>85</v>
      </c>
      <c r="R4" s="9" t="s">
        <v>85</v>
      </c>
      <c r="S4" s="9">
        <v>0.248082</v>
      </c>
      <c r="T4" s="9" t="s">
        <v>85</v>
      </c>
      <c r="U4" s="9" t="s">
        <v>85</v>
      </c>
      <c r="V4" s="9">
        <v>0.199488</v>
      </c>
      <c r="W4" s="9" t="s">
        <v>85</v>
      </c>
      <c r="X4" s="9" t="s">
        <v>85</v>
      </c>
      <c r="Y4" s="9">
        <v>0.219949</v>
      </c>
      <c r="Z4" s="9" t="s">
        <v>85</v>
      </c>
      <c r="AA4" s="9" t="s">
        <v>85</v>
      </c>
      <c r="AB4" s="30">
        <v>0.237852</v>
      </c>
      <c r="AC4" s="9" t="s">
        <v>85</v>
      </c>
      <c r="AD4" s="9" t="s">
        <v>85</v>
      </c>
      <c r="AE4" s="30">
        <v>0.237852</v>
      </c>
      <c r="AF4" s="9" t="s">
        <v>85</v>
      </c>
      <c r="AG4" s="9" t="s">
        <v>85</v>
      </c>
      <c r="AH4" s="9">
        <v>0.069054</v>
      </c>
      <c r="AI4" s="9" t="s">
        <v>85</v>
      </c>
      <c r="AJ4" s="9" t="s">
        <v>85</v>
      </c>
      <c r="AK4" s="9">
        <v>0.150895</v>
      </c>
      <c r="AL4" s="9" t="s">
        <v>85</v>
      </c>
      <c r="AM4" s="9" t="s">
        <v>85</v>
      </c>
      <c r="AN4" s="9">
        <v>0.31202</v>
      </c>
      <c r="AO4" s="9" t="s">
        <v>85</v>
      </c>
      <c r="AP4" s="9" t="s">
        <v>85</v>
      </c>
      <c r="AQ4" s="30">
        <v>0.317136</v>
      </c>
      <c r="AR4" s="9" t="s">
        <v>85</v>
      </c>
      <c r="AS4" s="9" t="s">
        <v>85</v>
      </c>
      <c r="AT4" s="9">
        <v>0.063939</v>
      </c>
      <c r="AU4" s="9" t="s">
        <v>85</v>
      </c>
      <c r="AV4" s="9" t="s">
        <v>85</v>
      </c>
      <c r="AW4" s="9">
        <v>0.140665</v>
      </c>
      <c r="AX4" s="9" t="s">
        <v>85</v>
      </c>
      <c r="AY4" s="9" t="s">
        <v>85</v>
      </c>
      <c r="AZ4" s="9">
        <v>0.16624</v>
      </c>
      <c r="BA4" s="9" t="s">
        <v>85</v>
      </c>
      <c r="BB4" s="9" t="s">
        <v>85</v>
      </c>
      <c r="BC4" s="30">
        <v>0.176471</v>
      </c>
      <c r="BD4" s="9" t="s">
        <v>85</v>
      </c>
      <c r="BE4" s="9" t="s">
        <v>85</v>
      </c>
      <c r="BF4" s="10" t="s">
        <v>85</v>
      </c>
      <c r="BG4" s="9" t="s">
        <v>85</v>
      </c>
      <c r="BH4" s="6"/>
      <c r="BI4" s="6" t="str">
        <f t="shared" si="1"/>
        <v>5BN_Fold_Median</v>
      </c>
      <c r="BJ4" s="6" t="str">
        <f t="shared" si="2"/>
        <v>12BN_Fold_Median</v>
      </c>
      <c r="BK4" s="6" t="str">
        <f t="shared" si="3"/>
        <v>12B_Fold_Median</v>
      </c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</row>
    <row r="5" ht="15.75" customHeight="1">
      <c r="A5" s="1" t="s">
        <v>91</v>
      </c>
      <c r="B5" s="17">
        <v>251.0</v>
      </c>
      <c r="C5" s="9" t="s">
        <v>85</v>
      </c>
      <c r="D5" s="9">
        <v>0.634286</v>
      </c>
      <c r="E5" s="9" t="s">
        <v>85</v>
      </c>
      <c r="F5" s="9" t="s">
        <v>85</v>
      </c>
      <c r="G5" s="30">
        <v>0.617142856</v>
      </c>
      <c r="H5" s="9" t="s">
        <v>85</v>
      </c>
      <c r="I5" s="9" t="s">
        <v>85</v>
      </c>
      <c r="J5" s="9">
        <v>0.668571</v>
      </c>
      <c r="K5" s="9" t="s">
        <v>85</v>
      </c>
      <c r="L5" s="9" t="s">
        <v>85</v>
      </c>
      <c r="M5" s="9">
        <v>0.68</v>
      </c>
      <c r="N5" s="9" t="s">
        <v>85</v>
      </c>
      <c r="O5" s="9" t="s">
        <v>85</v>
      </c>
      <c r="P5" s="9">
        <v>0.645714</v>
      </c>
      <c r="Q5" s="9" t="s">
        <v>85</v>
      </c>
      <c r="R5" s="9" t="s">
        <v>85</v>
      </c>
      <c r="S5" s="9">
        <v>0.64</v>
      </c>
      <c r="T5" s="9" t="s">
        <v>85</v>
      </c>
      <c r="U5" s="9" t="s">
        <v>85</v>
      </c>
      <c r="V5" s="9">
        <v>0.68</v>
      </c>
      <c r="W5" s="9" t="s">
        <v>85</v>
      </c>
      <c r="X5" s="9" t="s">
        <v>85</v>
      </c>
      <c r="Y5" s="9">
        <v>0.697143</v>
      </c>
      <c r="Z5" s="9" t="s">
        <v>85</v>
      </c>
      <c r="AA5" s="9" t="s">
        <v>85</v>
      </c>
      <c r="AB5" s="30">
        <v>0.708571</v>
      </c>
      <c r="AC5" s="9" t="s">
        <v>85</v>
      </c>
      <c r="AD5" s="9" t="s">
        <v>85</v>
      </c>
      <c r="AE5" s="30">
        <v>0.68</v>
      </c>
      <c r="AF5" s="9" t="s">
        <v>85</v>
      </c>
      <c r="AG5" s="9" t="s">
        <v>85</v>
      </c>
      <c r="AH5" s="9">
        <v>0.6</v>
      </c>
      <c r="AI5" s="9" t="s">
        <v>85</v>
      </c>
      <c r="AJ5" s="9" t="s">
        <v>85</v>
      </c>
      <c r="AK5" s="9">
        <v>0.691429</v>
      </c>
      <c r="AL5" s="9" t="s">
        <v>85</v>
      </c>
      <c r="AM5" s="9" t="s">
        <v>85</v>
      </c>
      <c r="AN5" s="9">
        <v>0.708571</v>
      </c>
      <c r="AO5" s="9" t="s">
        <v>85</v>
      </c>
      <c r="AP5" s="9" t="s">
        <v>85</v>
      </c>
      <c r="AQ5" s="30" t="s">
        <v>85</v>
      </c>
      <c r="AR5" s="9" t="s">
        <v>85</v>
      </c>
      <c r="AS5" s="9" t="s">
        <v>85</v>
      </c>
      <c r="AT5" s="9">
        <v>0.714286</v>
      </c>
      <c r="AU5" s="9" t="s">
        <v>85</v>
      </c>
      <c r="AV5" s="9" t="s">
        <v>85</v>
      </c>
      <c r="AW5" s="9">
        <v>0.737143</v>
      </c>
      <c r="AX5" s="9" t="s">
        <v>85</v>
      </c>
      <c r="AY5" s="9" t="s">
        <v>85</v>
      </c>
      <c r="AZ5" s="9">
        <v>0.662857</v>
      </c>
      <c r="BA5" s="9" t="s">
        <v>85</v>
      </c>
      <c r="BB5" s="9" t="s">
        <v>85</v>
      </c>
      <c r="BC5" s="30">
        <v>0.748571</v>
      </c>
      <c r="BD5" s="9" t="s">
        <v>85</v>
      </c>
      <c r="BE5" s="9" t="s">
        <v>85</v>
      </c>
      <c r="BF5" s="9">
        <v>0.634286</v>
      </c>
      <c r="BG5" s="9" t="s">
        <v>85</v>
      </c>
      <c r="BH5" s="6"/>
      <c r="BI5" s="6" t="str">
        <f t="shared" si="1"/>
        <v>20V_Fold_Median</v>
      </c>
      <c r="BJ5" s="6" t="str">
        <f t="shared" si="2"/>
        <v>12VB_Fold_Median</v>
      </c>
      <c r="BK5" s="6" t="str">
        <f t="shared" si="3"/>
        <v>12V_Fold_Median</v>
      </c>
      <c r="BL5" s="6"/>
      <c r="BP5" s="6"/>
      <c r="BQ5" s="6"/>
      <c r="BR5" s="6"/>
      <c r="BS5" s="6"/>
      <c r="BT5" s="6"/>
      <c r="BU5" s="6"/>
      <c r="BV5" s="6"/>
      <c r="BW5" s="6"/>
      <c r="BX5" s="6"/>
    </row>
    <row r="6" ht="15.75" customHeight="1">
      <c r="A6" s="1" t="s">
        <v>93</v>
      </c>
      <c r="B6" s="17">
        <v>470.0</v>
      </c>
      <c r="C6" s="9" t="s">
        <v>85</v>
      </c>
      <c r="D6" s="9">
        <v>0.433333</v>
      </c>
      <c r="E6" s="9" t="s">
        <v>85</v>
      </c>
      <c r="F6" s="9" t="s">
        <v>85</v>
      </c>
      <c r="G6" s="30">
        <v>0.466666669</v>
      </c>
      <c r="H6" s="9" t="s">
        <v>85</v>
      </c>
      <c r="I6" s="9" t="s">
        <v>85</v>
      </c>
      <c r="J6" s="9">
        <v>0.366667</v>
      </c>
      <c r="K6" s="9" t="s">
        <v>85</v>
      </c>
      <c r="L6" s="9" t="s">
        <v>85</v>
      </c>
      <c r="M6" s="9">
        <v>0.333333</v>
      </c>
      <c r="N6" s="9" t="s">
        <v>85</v>
      </c>
      <c r="O6" s="9" t="s">
        <v>85</v>
      </c>
      <c r="P6" s="9">
        <v>0.5</v>
      </c>
      <c r="Q6" s="9" t="s">
        <v>85</v>
      </c>
      <c r="R6" s="9" t="s">
        <v>85</v>
      </c>
      <c r="S6" s="9">
        <v>0.5</v>
      </c>
      <c r="T6" s="9" t="s">
        <v>85</v>
      </c>
      <c r="U6" s="9" t="s">
        <v>85</v>
      </c>
      <c r="V6" s="9">
        <v>0.4</v>
      </c>
      <c r="W6" s="9" t="s">
        <v>85</v>
      </c>
      <c r="X6" s="9" t="s">
        <v>85</v>
      </c>
      <c r="Y6" s="9">
        <v>0.466667</v>
      </c>
      <c r="Z6" s="9" t="s">
        <v>85</v>
      </c>
      <c r="AA6" s="9" t="s">
        <v>85</v>
      </c>
      <c r="AB6" s="30">
        <v>0.5</v>
      </c>
      <c r="AC6" s="9" t="s">
        <v>85</v>
      </c>
      <c r="AD6" s="9" t="s">
        <v>85</v>
      </c>
      <c r="AE6" s="30">
        <v>0.4</v>
      </c>
      <c r="AF6" s="9" t="s">
        <v>85</v>
      </c>
      <c r="AG6" s="9" t="s">
        <v>85</v>
      </c>
      <c r="AH6" s="9">
        <v>0.466667</v>
      </c>
      <c r="AI6" s="9" t="s">
        <v>85</v>
      </c>
      <c r="AJ6" s="9" t="s">
        <v>85</v>
      </c>
      <c r="AK6" s="9">
        <v>0.433333</v>
      </c>
      <c r="AL6" s="9" t="s">
        <v>85</v>
      </c>
      <c r="AM6" s="9" t="s">
        <v>85</v>
      </c>
      <c r="AN6" s="9">
        <v>0.433333</v>
      </c>
      <c r="AO6" s="9" t="s">
        <v>85</v>
      </c>
      <c r="AP6" s="9" t="s">
        <v>85</v>
      </c>
      <c r="AQ6" s="30">
        <v>0.466667</v>
      </c>
      <c r="AR6" s="9" t="s">
        <v>85</v>
      </c>
      <c r="AS6" s="9" t="s">
        <v>85</v>
      </c>
      <c r="AT6" s="9">
        <v>0.4</v>
      </c>
      <c r="AU6" s="9" t="s">
        <v>85</v>
      </c>
      <c r="AV6" s="9" t="s">
        <v>85</v>
      </c>
      <c r="AW6" s="9">
        <v>0.4</v>
      </c>
      <c r="AX6" s="9" t="s">
        <v>85</v>
      </c>
      <c r="AY6" s="9" t="s">
        <v>85</v>
      </c>
      <c r="AZ6" s="9">
        <v>0.5</v>
      </c>
      <c r="BA6" s="9" t="s">
        <v>85</v>
      </c>
      <c r="BB6" s="9" t="s">
        <v>85</v>
      </c>
      <c r="BC6" s="30">
        <v>0.4</v>
      </c>
      <c r="BD6" s="9" t="s">
        <v>85</v>
      </c>
      <c r="BE6" s="9" t="s">
        <v>85</v>
      </c>
      <c r="BF6" s="9">
        <v>0.466667</v>
      </c>
      <c r="BG6" s="9" t="s">
        <v>85</v>
      </c>
      <c r="BH6" s="6"/>
      <c r="BI6" s="6" t="str">
        <f t="shared" si="1"/>
        <v>8B_Fold_Median</v>
      </c>
      <c r="BJ6" s="6" t="str">
        <f t="shared" si="2"/>
        <v>8B_Fold_Median</v>
      </c>
      <c r="BK6" s="6" t="str">
        <f t="shared" si="3"/>
        <v>8B_Fold_Median</v>
      </c>
      <c r="BL6" s="6"/>
      <c r="BM6" s="1" t="s">
        <v>213</v>
      </c>
      <c r="BN6" s="26" t="s">
        <v>212</v>
      </c>
      <c r="BO6" s="6"/>
      <c r="BP6" s="6"/>
      <c r="BQ6" s="6"/>
      <c r="BR6" s="6"/>
      <c r="BS6" s="6"/>
      <c r="BT6" s="6"/>
      <c r="BU6" s="6"/>
      <c r="BV6" s="6"/>
      <c r="BW6" s="6"/>
      <c r="BX6" s="6"/>
    </row>
    <row r="7" ht="15.75" customHeight="1">
      <c r="A7" s="1" t="s">
        <v>95</v>
      </c>
      <c r="B7" s="17">
        <v>512.0</v>
      </c>
      <c r="C7" s="9" t="s">
        <v>85</v>
      </c>
      <c r="D7" s="9">
        <v>0.7</v>
      </c>
      <c r="E7" s="9" t="s">
        <v>85</v>
      </c>
      <c r="F7" s="9" t="s">
        <v>85</v>
      </c>
      <c r="G7" s="30">
        <v>0.850000024</v>
      </c>
      <c r="H7" s="9" t="s">
        <v>85</v>
      </c>
      <c r="I7" s="9" t="s">
        <v>85</v>
      </c>
      <c r="J7" s="9">
        <v>0.7</v>
      </c>
      <c r="K7" s="9" t="s">
        <v>85</v>
      </c>
      <c r="L7" s="9" t="s">
        <v>85</v>
      </c>
      <c r="M7" s="9">
        <v>0.75</v>
      </c>
      <c r="N7" s="9" t="s">
        <v>85</v>
      </c>
      <c r="O7" s="9" t="s">
        <v>85</v>
      </c>
      <c r="P7" s="9">
        <v>0.8</v>
      </c>
      <c r="Q7" s="9" t="s">
        <v>85</v>
      </c>
      <c r="R7" s="9" t="s">
        <v>85</v>
      </c>
      <c r="S7" s="9">
        <v>0.8</v>
      </c>
      <c r="T7" s="9" t="s">
        <v>85</v>
      </c>
      <c r="U7" s="9" t="s">
        <v>85</v>
      </c>
      <c r="V7" s="9">
        <v>0.65</v>
      </c>
      <c r="W7" s="9" t="s">
        <v>85</v>
      </c>
      <c r="X7" s="9" t="s">
        <v>85</v>
      </c>
      <c r="Y7" s="9">
        <v>0.65</v>
      </c>
      <c r="Z7" s="9" t="s">
        <v>85</v>
      </c>
      <c r="AA7" s="9" t="s">
        <v>85</v>
      </c>
      <c r="AB7" s="30">
        <v>0.75</v>
      </c>
      <c r="AC7" s="9" t="s">
        <v>85</v>
      </c>
      <c r="AD7" s="9" t="s">
        <v>85</v>
      </c>
      <c r="AE7" s="30">
        <v>0.5</v>
      </c>
      <c r="AF7" s="9" t="s">
        <v>85</v>
      </c>
      <c r="AG7" s="9" t="s">
        <v>85</v>
      </c>
      <c r="AH7" s="9">
        <v>0.65</v>
      </c>
      <c r="AI7" s="9" t="s">
        <v>85</v>
      </c>
      <c r="AJ7" s="9" t="s">
        <v>85</v>
      </c>
      <c r="AK7" s="9">
        <v>0.65</v>
      </c>
      <c r="AL7" s="9" t="s">
        <v>85</v>
      </c>
      <c r="AM7" s="9" t="s">
        <v>85</v>
      </c>
      <c r="AN7" s="9">
        <v>0.55</v>
      </c>
      <c r="AO7" s="9" t="s">
        <v>85</v>
      </c>
      <c r="AP7" s="9" t="s">
        <v>85</v>
      </c>
      <c r="AQ7" s="30">
        <v>0.75</v>
      </c>
      <c r="AR7" s="9" t="s">
        <v>85</v>
      </c>
      <c r="AS7" s="9" t="s">
        <v>85</v>
      </c>
      <c r="AT7" s="9">
        <v>0.8</v>
      </c>
      <c r="AU7" s="9" t="s">
        <v>85</v>
      </c>
      <c r="AV7" s="9" t="s">
        <v>85</v>
      </c>
      <c r="AW7" s="9">
        <v>0.8</v>
      </c>
      <c r="AX7" s="9" t="s">
        <v>85</v>
      </c>
      <c r="AY7" s="9" t="s">
        <v>85</v>
      </c>
      <c r="AZ7" s="9">
        <v>0.85</v>
      </c>
      <c r="BA7" s="9" t="s">
        <v>85</v>
      </c>
      <c r="BB7" s="9" t="s">
        <v>85</v>
      </c>
      <c r="BC7" s="30">
        <v>0.9</v>
      </c>
      <c r="BD7" s="9" t="s">
        <v>85</v>
      </c>
      <c r="BE7" s="9" t="s">
        <v>85</v>
      </c>
      <c r="BF7" s="9">
        <v>0.55</v>
      </c>
      <c r="BG7" s="9" t="s">
        <v>85</v>
      </c>
      <c r="BH7" s="6"/>
      <c r="BI7" s="6" t="str">
        <f t="shared" si="1"/>
        <v>20V_Fold_Median</v>
      </c>
      <c r="BJ7" s="6" t="str">
        <f t="shared" si="2"/>
        <v>5BN_Fold_Median</v>
      </c>
      <c r="BK7" s="6" t="str">
        <f t="shared" si="3"/>
        <v>20B_Fold_Median</v>
      </c>
      <c r="BL7" s="6"/>
      <c r="BN7" s="6">
        <f>COUNTIF(B3:B100,"&lt;=100")</f>
        <v>22</v>
      </c>
      <c r="BO7" s="6">
        <f>COUNTIFS(B3:B100,"&gt;100",B3:B100,"&lt;=200")</f>
        <v>17</v>
      </c>
      <c r="BP7" s="6">
        <f>COUNTIFS(B3:B100,"&gt;200",B3:B100,"&lt;500")</f>
        <v>21</v>
      </c>
      <c r="BQ7" s="6">
        <f>COUNTIFS(B3:B100,"&gt;=500",B3:B100,"&lt;1000")</f>
        <v>20</v>
      </c>
      <c r="BR7" s="6">
        <f>COUNTIF(B3:B100,"&gt;=1000")</f>
        <v>18</v>
      </c>
      <c r="BS7" s="6"/>
    </row>
    <row r="8" ht="15.75" customHeight="1">
      <c r="A8" s="1" t="s">
        <v>97</v>
      </c>
      <c r="B8" s="17">
        <v>512.0</v>
      </c>
      <c r="C8" s="9" t="s">
        <v>85</v>
      </c>
      <c r="D8" s="9">
        <v>0.7</v>
      </c>
      <c r="E8" s="9" t="s">
        <v>85</v>
      </c>
      <c r="F8" s="9" t="s">
        <v>85</v>
      </c>
      <c r="G8" s="30">
        <v>0.600000024</v>
      </c>
      <c r="H8" s="9" t="s">
        <v>85</v>
      </c>
      <c r="I8" s="9" t="s">
        <v>85</v>
      </c>
      <c r="J8" s="9">
        <v>0.8</v>
      </c>
      <c r="K8" s="9" t="s">
        <v>85</v>
      </c>
      <c r="L8" s="9" t="s">
        <v>85</v>
      </c>
      <c r="M8" s="9">
        <v>0.7</v>
      </c>
      <c r="N8" s="9" t="s">
        <v>85</v>
      </c>
      <c r="O8" s="9" t="s">
        <v>85</v>
      </c>
      <c r="P8" s="9">
        <v>0.55</v>
      </c>
      <c r="Q8" s="9" t="s">
        <v>85</v>
      </c>
      <c r="R8" s="9" t="s">
        <v>85</v>
      </c>
      <c r="S8" s="9">
        <v>0.55</v>
      </c>
      <c r="T8" s="9" t="s">
        <v>85</v>
      </c>
      <c r="U8" s="9" t="s">
        <v>85</v>
      </c>
      <c r="V8" s="9">
        <v>0.7</v>
      </c>
      <c r="W8" s="9" t="s">
        <v>85</v>
      </c>
      <c r="X8" s="9" t="s">
        <v>85</v>
      </c>
      <c r="Y8" s="9">
        <v>0.7</v>
      </c>
      <c r="Z8" s="9" t="s">
        <v>85</v>
      </c>
      <c r="AA8" s="9" t="s">
        <v>85</v>
      </c>
      <c r="AB8" s="30">
        <v>0.7</v>
      </c>
      <c r="AC8" s="9" t="s">
        <v>85</v>
      </c>
      <c r="AD8" s="9" t="s">
        <v>85</v>
      </c>
      <c r="AE8" s="30">
        <v>0.75</v>
      </c>
      <c r="AF8" s="9" t="s">
        <v>85</v>
      </c>
      <c r="AG8" s="9" t="s">
        <v>85</v>
      </c>
      <c r="AH8" s="9">
        <v>0.85</v>
      </c>
      <c r="AI8" s="9" t="s">
        <v>85</v>
      </c>
      <c r="AJ8" s="9" t="s">
        <v>85</v>
      </c>
      <c r="AK8" s="9">
        <v>0.8</v>
      </c>
      <c r="AL8" s="9" t="s">
        <v>85</v>
      </c>
      <c r="AM8" s="9" t="s">
        <v>85</v>
      </c>
      <c r="AN8" s="9">
        <v>0.6</v>
      </c>
      <c r="AO8" s="9" t="s">
        <v>85</v>
      </c>
      <c r="AP8" s="9" t="s">
        <v>85</v>
      </c>
      <c r="AQ8" s="30">
        <v>0.65</v>
      </c>
      <c r="AR8" s="9" t="s">
        <v>85</v>
      </c>
      <c r="AS8" s="9" t="s">
        <v>85</v>
      </c>
      <c r="AT8" s="9">
        <v>0.7</v>
      </c>
      <c r="AU8" s="9" t="s">
        <v>85</v>
      </c>
      <c r="AV8" s="9" t="s">
        <v>85</v>
      </c>
      <c r="AW8" s="9">
        <v>0.7</v>
      </c>
      <c r="AX8" s="9" t="s">
        <v>85</v>
      </c>
      <c r="AY8" s="9" t="s">
        <v>85</v>
      </c>
      <c r="AZ8" s="9">
        <v>0.65</v>
      </c>
      <c r="BA8" s="9" t="s">
        <v>85</v>
      </c>
      <c r="BB8" s="9" t="s">
        <v>85</v>
      </c>
      <c r="BC8" s="30">
        <v>0.65</v>
      </c>
      <c r="BD8" s="9" t="s">
        <v>85</v>
      </c>
      <c r="BE8" s="9" t="s">
        <v>85</v>
      </c>
      <c r="BF8" s="9">
        <v>0.55</v>
      </c>
      <c r="BG8" s="9" t="s">
        <v>85</v>
      </c>
      <c r="BH8" s="6"/>
      <c r="BI8" s="6" t="str">
        <f t="shared" si="1"/>
        <v>10V_Fold_Median</v>
      </c>
      <c r="BJ8" s="6" t="str">
        <f t="shared" si="2"/>
        <v>5V_Fold_Median</v>
      </c>
      <c r="BK8" s="6" t="str">
        <f t="shared" si="3"/>
        <v>5V_Fold_Median</v>
      </c>
      <c r="BL8" s="6"/>
      <c r="BM8" s="6"/>
      <c r="BN8" s="6" t="s">
        <v>228</v>
      </c>
      <c r="BO8" s="6" t="s">
        <v>229</v>
      </c>
      <c r="BP8" s="6" t="s">
        <v>230</v>
      </c>
      <c r="BQ8" s="6" t="s">
        <v>231</v>
      </c>
      <c r="BR8" s="6" t="s">
        <v>232</v>
      </c>
      <c r="BS8" s="6"/>
      <c r="BT8" s="6"/>
      <c r="BU8" s="13"/>
      <c r="BV8" s="6"/>
      <c r="BW8" s="6"/>
      <c r="BX8" s="6"/>
    </row>
    <row r="9" ht="15.75" customHeight="1">
      <c r="A9" s="1" t="s">
        <v>98</v>
      </c>
      <c r="B9" s="17">
        <v>128.0</v>
      </c>
      <c r="C9" s="9" t="s">
        <v>85</v>
      </c>
      <c r="D9" s="9">
        <v>0.886667</v>
      </c>
      <c r="E9" s="9" t="s">
        <v>85</v>
      </c>
      <c r="F9" s="9" t="s">
        <v>85</v>
      </c>
      <c r="G9" s="30">
        <v>0.886666656</v>
      </c>
      <c r="H9" s="9" t="s">
        <v>85</v>
      </c>
      <c r="I9" s="9" t="s">
        <v>85</v>
      </c>
      <c r="J9" s="9">
        <v>0.953333</v>
      </c>
      <c r="K9" s="9" t="s">
        <v>85</v>
      </c>
      <c r="L9" s="9" t="s">
        <v>85</v>
      </c>
      <c r="M9" s="9">
        <v>0.96</v>
      </c>
      <c r="N9" s="9" t="s">
        <v>85</v>
      </c>
      <c r="O9" s="9" t="s">
        <v>85</v>
      </c>
      <c r="P9" s="9">
        <v>0.88</v>
      </c>
      <c r="Q9" s="9" t="s">
        <v>85</v>
      </c>
      <c r="R9" s="9" t="s">
        <v>85</v>
      </c>
      <c r="S9" s="9">
        <v>0.9</v>
      </c>
      <c r="T9" s="9" t="s">
        <v>85</v>
      </c>
      <c r="U9" s="9" t="s">
        <v>85</v>
      </c>
      <c r="V9" s="9">
        <v>0.92</v>
      </c>
      <c r="W9" s="9" t="s">
        <v>85</v>
      </c>
      <c r="X9" s="9" t="s">
        <v>85</v>
      </c>
      <c r="Y9" s="9">
        <v>0.953333</v>
      </c>
      <c r="Z9" s="9" t="s">
        <v>85</v>
      </c>
      <c r="AA9" s="9" t="s">
        <v>85</v>
      </c>
      <c r="AB9" s="30">
        <v>0.886667</v>
      </c>
      <c r="AC9" s="9" t="s">
        <v>85</v>
      </c>
      <c r="AD9" s="9" t="s">
        <v>85</v>
      </c>
      <c r="AE9" s="30">
        <v>0.893333</v>
      </c>
      <c r="AF9" s="9" t="s">
        <v>85</v>
      </c>
      <c r="AG9" s="9" t="s">
        <v>85</v>
      </c>
      <c r="AH9" s="9">
        <v>0.933333</v>
      </c>
      <c r="AI9" s="9" t="s">
        <v>85</v>
      </c>
      <c r="AJ9" s="9" t="s">
        <v>85</v>
      </c>
      <c r="AK9" s="9">
        <v>0.92</v>
      </c>
      <c r="AL9" s="9" t="s">
        <v>85</v>
      </c>
      <c r="AM9" s="9" t="s">
        <v>85</v>
      </c>
      <c r="AN9" s="9">
        <v>0.873333</v>
      </c>
      <c r="AO9" s="9" t="s">
        <v>85</v>
      </c>
      <c r="AP9" s="9" t="s">
        <v>85</v>
      </c>
      <c r="AQ9" s="30">
        <v>0.893333</v>
      </c>
      <c r="AR9" s="9" t="s">
        <v>85</v>
      </c>
      <c r="AS9" s="9" t="s">
        <v>85</v>
      </c>
      <c r="AT9" s="9">
        <v>0.866667</v>
      </c>
      <c r="AU9" s="9" t="s">
        <v>85</v>
      </c>
      <c r="AV9" s="9" t="s">
        <v>85</v>
      </c>
      <c r="AW9" s="9">
        <v>0.906667</v>
      </c>
      <c r="AX9" s="9" t="s">
        <v>85</v>
      </c>
      <c r="AY9" s="9" t="s">
        <v>85</v>
      </c>
      <c r="AZ9" s="9">
        <v>0.833333</v>
      </c>
      <c r="BA9" s="9" t="s">
        <v>85</v>
      </c>
      <c r="BB9" s="9" t="s">
        <v>85</v>
      </c>
      <c r="BC9" s="30">
        <v>0.926667</v>
      </c>
      <c r="BD9" s="9" t="s">
        <v>85</v>
      </c>
      <c r="BE9" s="9" t="s">
        <v>85</v>
      </c>
      <c r="BF9" s="9">
        <v>0.986667</v>
      </c>
      <c r="BG9" s="9" t="s">
        <v>85</v>
      </c>
      <c r="BH9" s="6"/>
      <c r="BI9" s="6" t="str">
        <f t="shared" si="1"/>
        <v>De_Fold_Median</v>
      </c>
      <c r="BJ9" s="6" t="str">
        <f t="shared" si="2"/>
        <v>5VB_Fold_Median</v>
      </c>
      <c r="BK9" s="6" t="str">
        <f t="shared" si="3"/>
        <v>5V_Fold_Median</v>
      </c>
      <c r="BL9" s="6"/>
      <c r="BM9" s="6" t="s">
        <v>233</v>
      </c>
      <c r="BN9" s="18">
        <f t="shared" ref="BN9:BR9" si="4">MINUS(BN7,SUM(BN10,BN11))</f>
        <v>6</v>
      </c>
      <c r="BO9" s="18">
        <f t="shared" si="4"/>
        <v>11</v>
      </c>
      <c r="BP9" s="18">
        <f t="shared" si="4"/>
        <v>8</v>
      </c>
      <c r="BQ9" s="18">
        <f t="shared" si="4"/>
        <v>11</v>
      </c>
      <c r="BR9" s="18">
        <f t="shared" si="4"/>
        <v>6</v>
      </c>
      <c r="BS9" s="6">
        <f t="shared" ref="BS9:BS11" si="5">SUM(BN9:BR9)</f>
        <v>42</v>
      </c>
      <c r="BT9" s="6"/>
      <c r="BU9" s="6"/>
      <c r="BV9" s="6"/>
      <c r="BW9" s="6"/>
      <c r="BX9" s="6"/>
    </row>
    <row r="10" ht="15.75" customHeight="1">
      <c r="A10" s="1" t="s">
        <v>99</v>
      </c>
      <c r="B10" s="17">
        <v>577.0</v>
      </c>
      <c r="C10" s="9" t="s">
        <v>85</v>
      </c>
      <c r="D10" s="9">
        <v>0.55</v>
      </c>
      <c r="E10" s="9" t="s">
        <v>85</v>
      </c>
      <c r="F10" s="9" t="s">
        <v>85</v>
      </c>
      <c r="G10" s="30">
        <v>0.566666663</v>
      </c>
      <c r="H10" s="9" t="s">
        <v>85</v>
      </c>
      <c r="I10" s="9" t="s">
        <v>85</v>
      </c>
      <c r="J10" s="9">
        <v>0.683333</v>
      </c>
      <c r="K10" s="9" t="s">
        <v>85</v>
      </c>
      <c r="L10" s="9" t="s">
        <v>85</v>
      </c>
      <c r="M10" s="9">
        <v>0.633333</v>
      </c>
      <c r="N10" s="9" t="s">
        <v>85</v>
      </c>
      <c r="O10" s="9" t="s">
        <v>85</v>
      </c>
      <c r="P10" s="9">
        <v>0.55</v>
      </c>
      <c r="Q10" s="9" t="s">
        <v>85</v>
      </c>
      <c r="R10" s="9" t="s">
        <v>85</v>
      </c>
      <c r="S10" s="9">
        <v>0.566667</v>
      </c>
      <c r="T10" s="9" t="s">
        <v>85</v>
      </c>
      <c r="U10" s="9" t="s">
        <v>85</v>
      </c>
      <c r="V10" s="9">
        <v>0.65</v>
      </c>
      <c r="W10" s="9" t="s">
        <v>85</v>
      </c>
      <c r="X10" s="9" t="s">
        <v>85</v>
      </c>
      <c r="Y10" s="9">
        <v>0.616667</v>
      </c>
      <c r="Z10" s="9" t="s">
        <v>85</v>
      </c>
      <c r="AA10" s="9" t="s">
        <v>85</v>
      </c>
      <c r="AB10" s="30">
        <v>0.583333</v>
      </c>
      <c r="AC10" s="9" t="s">
        <v>85</v>
      </c>
      <c r="AD10" s="9" t="s">
        <v>85</v>
      </c>
      <c r="AE10" s="30">
        <v>0.566667</v>
      </c>
      <c r="AF10" s="9" t="s">
        <v>85</v>
      </c>
      <c r="AG10" s="9" t="s">
        <v>85</v>
      </c>
      <c r="AH10" s="9">
        <v>0.633333</v>
      </c>
      <c r="AI10" s="9" t="s">
        <v>85</v>
      </c>
      <c r="AJ10" s="9" t="s">
        <v>85</v>
      </c>
      <c r="AK10" s="9">
        <v>0.666667</v>
      </c>
      <c r="AL10" s="9" t="s">
        <v>85</v>
      </c>
      <c r="AM10" s="9" t="s">
        <v>85</v>
      </c>
      <c r="AN10" s="9">
        <v>0.633333</v>
      </c>
      <c r="AO10" s="9" t="s">
        <v>85</v>
      </c>
      <c r="AP10" s="9" t="s">
        <v>85</v>
      </c>
      <c r="AQ10" s="30">
        <v>0.6</v>
      </c>
      <c r="AR10" s="9" t="s">
        <v>85</v>
      </c>
      <c r="AS10" s="9" t="s">
        <v>85</v>
      </c>
      <c r="AT10" s="9">
        <v>0.633333</v>
      </c>
      <c r="AU10" s="9" t="s">
        <v>85</v>
      </c>
      <c r="AV10" s="9" t="s">
        <v>85</v>
      </c>
      <c r="AW10" s="9">
        <v>0.7</v>
      </c>
      <c r="AX10" s="9" t="s">
        <v>85</v>
      </c>
      <c r="AY10" s="9" t="s">
        <v>85</v>
      </c>
      <c r="AZ10" s="9">
        <v>0.6</v>
      </c>
      <c r="BA10" s="9" t="s">
        <v>85</v>
      </c>
      <c r="BB10" s="9" t="s">
        <v>85</v>
      </c>
      <c r="BC10" s="30">
        <v>0.666667</v>
      </c>
      <c r="BD10" s="9" t="s">
        <v>85</v>
      </c>
      <c r="BE10" s="9" t="s">
        <v>85</v>
      </c>
      <c r="BF10" s="9">
        <v>0.566667</v>
      </c>
      <c r="BG10" s="9" t="s">
        <v>85</v>
      </c>
      <c r="BH10" s="6"/>
      <c r="BI10" s="6" t="str">
        <f t="shared" si="1"/>
        <v>12VB_Fold_Median</v>
      </c>
      <c r="BJ10" s="6" t="str">
        <f t="shared" si="2"/>
        <v>5V_Fold_Median</v>
      </c>
      <c r="BK10" s="6" t="str">
        <f t="shared" si="3"/>
        <v>10VB_Fold_Median</v>
      </c>
      <c r="BL10" s="6"/>
      <c r="BM10" s="6" t="s">
        <v>234</v>
      </c>
      <c r="BN10" s="18">
        <f>COUNTIFS(BI3:BI100,"*V*",B3:B100,"&lt;=100")</f>
        <v>9</v>
      </c>
      <c r="BO10" s="19">
        <f>COUNTIFS(BI3:BI100,"*V*",B3:B100,"&gt;100",B3:B100,"&lt;=200")</f>
        <v>3</v>
      </c>
      <c r="BP10" s="18">
        <f>COUNTIFS(BI3:BI100,"*V*",B3:B100,"&gt;200",B3:B100,"&lt;500")</f>
        <v>11</v>
      </c>
      <c r="BQ10" s="18">
        <f>COUNTIFS(BI3:BI100,"*V*",B3:B100,"&gt;=500",B3:B100,"&lt;1000")</f>
        <v>6</v>
      </c>
      <c r="BR10" s="18">
        <f>COUNTIFS(BI3:BI100,"*V*",B3:B100,"&gt;=1000")</f>
        <v>12</v>
      </c>
      <c r="BS10" s="6">
        <f t="shared" si="5"/>
        <v>41</v>
      </c>
      <c r="BT10" s="6"/>
      <c r="BU10" s="6"/>
      <c r="BV10" s="6"/>
      <c r="BW10" s="6"/>
      <c r="BX10" s="6"/>
    </row>
    <row r="11" ht="15.75" customHeight="1">
      <c r="A11" s="1" t="s">
        <v>101</v>
      </c>
      <c r="B11" s="17">
        <v>128.0</v>
      </c>
      <c r="C11" s="9" t="s">
        <v>85</v>
      </c>
      <c r="D11" s="9">
        <v>0.941111</v>
      </c>
      <c r="E11" s="9" t="s">
        <v>85</v>
      </c>
      <c r="F11" s="9" t="s">
        <v>85</v>
      </c>
      <c r="G11" s="30">
        <v>0.930000007</v>
      </c>
      <c r="H11" s="9" t="s">
        <v>85</v>
      </c>
      <c r="I11" s="9" t="s">
        <v>85</v>
      </c>
      <c r="J11" s="9">
        <v>0.958889</v>
      </c>
      <c r="K11" s="9" t="s">
        <v>85</v>
      </c>
      <c r="L11" s="9" t="s">
        <v>85</v>
      </c>
      <c r="M11" s="9">
        <v>0.967778</v>
      </c>
      <c r="N11" s="9" t="s">
        <v>85</v>
      </c>
      <c r="O11" s="9" t="s">
        <v>85</v>
      </c>
      <c r="P11" s="9">
        <v>0.916667</v>
      </c>
      <c r="Q11" s="9" t="s">
        <v>85</v>
      </c>
      <c r="R11" s="9" t="s">
        <v>85</v>
      </c>
      <c r="S11" s="9">
        <v>0.935556</v>
      </c>
      <c r="T11" s="9" t="s">
        <v>85</v>
      </c>
      <c r="U11" s="9" t="s">
        <v>85</v>
      </c>
      <c r="V11" s="9">
        <v>0.944444</v>
      </c>
      <c r="W11" s="9" t="s">
        <v>85</v>
      </c>
      <c r="X11" s="9" t="s">
        <v>85</v>
      </c>
      <c r="Y11" s="9">
        <v>0.932222</v>
      </c>
      <c r="Z11" s="9" t="s">
        <v>85</v>
      </c>
      <c r="AA11" s="9" t="s">
        <v>85</v>
      </c>
      <c r="AB11" s="30">
        <v>0.95</v>
      </c>
      <c r="AC11" s="9" t="s">
        <v>85</v>
      </c>
      <c r="AD11" s="9" t="s">
        <v>85</v>
      </c>
      <c r="AE11" s="30">
        <v>0.958889</v>
      </c>
      <c r="AF11" s="9" t="s">
        <v>85</v>
      </c>
      <c r="AG11" s="9" t="s">
        <v>85</v>
      </c>
      <c r="AH11" s="9">
        <v>0.964444</v>
      </c>
      <c r="AI11" s="9" t="s">
        <v>85</v>
      </c>
      <c r="AJ11" s="9" t="s">
        <v>85</v>
      </c>
      <c r="AK11" s="9">
        <v>0.97</v>
      </c>
      <c r="AL11" s="9" t="s">
        <v>85</v>
      </c>
      <c r="AM11" s="9" t="s">
        <v>85</v>
      </c>
      <c r="AN11" s="9">
        <v>0.948889</v>
      </c>
      <c r="AO11" s="9" t="s">
        <v>85</v>
      </c>
      <c r="AP11" s="9" t="s">
        <v>85</v>
      </c>
      <c r="AQ11" s="30" t="s">
        <v>85</v>
      </c>
      <c r="AR11" s="9" t="s">
        <v>85</v>
      </c>
      <c r="AS11" s="9" t="s">
        <v>85</v>
      </c>
      <c r="AT11" s="9">
        <v>0.902222</v>
      </c>
      <c r="AU11" s="9" t="s">
        <v>85</v>
      </c>
      <c r="AV11" s="9" t="s">
        <v>85</v>
      </c>
      <c r="AW11" s="9">
        <v>0.938889</v>
      </c>
      <c r="AX11" s="9" t="s">
        <v>85</v>
      </c>
      <c r="AY11" s="9" t="s">
        <v>85</v>
      </c>
      <c r="AZ11" s="9">
        <v>0.961111</v>
      </c>
      <c r="BA11" s="9" t="s">
        <v>85</v>
      </c>
      <c r="BB11" s="9" t="s">
        <v>85</v>
      </c>
      <c r="BC11" s="30">
        <v>0.921111</v>
      </c>
      <c r="BD11" s="9" t="s">
        <v>85</v>
      </c>
      <c r="BE11" s="9" t="s">
        <v>85</v>
      </c>
      <c r="BF11" s="9">
        <v>0.856667</v>
      </c>
      <c r="BG11" s="9" t="s">
        <v>85</v>
      </c>
      <c r="BH11" s="6"/>
      <c r="BI11" s="6" t="str">
        <f t="shared" si="1"/>
        <v>10VB_Fold_Median</v>
      </c>
      <c r="BJ11" s="6" t="str">
        <f t="shared" si="2"/>
        <v>5VB_Fold_Median</v>
      </c>
      <c r="BK11" s="6" t="str">
        <f t="shared" si="3"/>
        <v>10V_Fold_Median</v>
      </c>
      <c r="BL11" s="6"/>
      <c r="BM11" s="6" t="s">
        <v>20</v>
      </c>
      <c r="BN11" s="18">
        <f>COUNTIFS(BI3:BI100,"*De*",B3:B100,"&lt;=100")</f>
        <v>7</v>
      </c>
      <c r="BO11" s="19">
        <f>COUNTIFS(BI3:BI100,"*De*",B3:B100,"&gt;100",B3:B100,"&lt;=200")</f>
        <v>3</v>
      </c>
      <c r="BP11" s="18">
        <f>COUNTIFS(BI3:BI100,"*De*",B3:B100,"&gt;200",B3:B100,"&lt;500")</f>
        <v>2</v>
      </c>
      <c r="BQ11" s="18">
        <f>COUNTIFS(BI3:BI100,"*De*",B3:B100,"&gt;=500",B3:B100,"&lt;1000")</f>
        <v>3</v>
      </c>
      <c r="BR11" s="18">
        <f>COUNTIFS(BI3:BI100,"*De*",B3:B100,"&gt;=1000")</f>
        <v>0</v>
      </c>
      <c r="BS11" s="6">
        <f t="shared" si="5"/>
        <v>15</v>
      </c>
      <c r="BT11" s="6"/>
      <c r="BU11" s="6"/>
      <c r="BV11" s="6"/>
      <c r="BW11" s="6"/>
      <c r="BX11" s="6"/>
    </row>
    <row r="12" ht="15.75" customHeight="1">
      <c r="A12" s="1" t="s">
        <v>103</v>
      </c>
      <c r="B12" s="17">
        <v>24.0</v>
      </c>
      <c r="C12" s="9" t="s">
        <v>85</v>
      </c>
      <c r="D12" s="9">
        <v>0.965015</v>
      </c>
      <c r="E12" s="9" t="s">
        <v>85</v>
      </c>
      <c r="F12" s="9" t="s">
        <v>85</v>
      </c>
      <c r="G12" s="30">
        <v>0.965014577</v>
      </c>
      <c r="H12" s="9" t="s">
        <v>85</v>
      </c>
      <c r="I12" s="9" t="s">
        <v>85</v>
      </c>
      <c r="J12" s="9">
        <v>0.959184</v>
      </c>
      <c r="K12" s="9" t="s">
        <v>85</v>
      </c>
      <c r="L12" s="9" t="s">
        <v>85</v>
      </c>
      <c r="M12" s="9">
        <v>0.965015</v>
      </c>
      <c r="N12" s="9" t="s">
        <v>85</v>
      </c>
      <c r="O12" s="9" t="s">
        <v>85</v>
      </c>
      <c r="P12" s="9">
        <v>0.96793</v>
      </c>
      <c r="Q12" s="9" t="s">
        <v>85</v>
      </c>
      <c r="R12" s="9" t="s">
        <v>85</v>
      </c>
      <c r="S12" s="9">
        <v>0.976676</v>
      </c>
      <c r="T12" s="9" t="s">
        <v>85</v>
      </c>
      <c r="U12" s="9" t="s">
        <v>85</v>
      </c>
      <c r="V12" s="9">
        <v>0.953353</v>
      </c>
      <c r="W12" s="9" t="s">
        <v>85</v>
      </c>
      <c r="X12" s="9" t="s">
        <v>85</v>
      </c>
      <c r="Y12" s="9">
        <v>0.953353</v>
      </c>
      <c r="Z12" s="9" t="s">
        <v>85</v>
      </c>
      <c r="AA12" s="9" t="s">
        <v>85</v>
      </c>
      <c r="AB12" s="30">
        <v>0.970845</v>
      </c>
      <c r="AC12" s="9" t="s">
        <v>85</v>
      </c>
      <c r="AD12" s="9" t="s">
        <v>85</v>
      </c>
      <c r="AE12" s="30">
        <v>0.973761</v>
      </c>
      <c r="AF12" s="9" t="s">
        <v>85</v>
      </c>
      <c r="AG12" s="9" t="s">
        <v>85</v>
      </c>
      <c r="AH12" s="9">
        <v>0.938776</v>
      </c>
      <c r="AI12" s="9" t="s">
        <v>85</v>
      </c>
      <c r="AJ12" s="9" t="s">
        <v>85</v>
      </c>
      <c r="AK12" s="9">
        <v>0.941691</v>
      </c>
      <c r="AL12" s="9" t="s">
        <v>85</v>
      </c>
      <c r="AM12" s="9" t="s">
        <v>85</v>
      </c>
      <c r="AN12" s="9">
        <v>0.973761</v>
      </c>
      <c r="AO12" s="9" t="s">
        <v>85</v>
      </c>
      <c r="AP12" s="9" t="s">
        <v>85</v>
      </c>
      <c r="AQ12" s="30">
        <v>0.959184</v>
      </c>
      <c r="AR12" s="9" t="s">
        <v>85</v>
      </c>
      <c r="AS12" s="9" t="s">
        <v>85</v>
      </c>
      <c r="AT12" s="9">
        <v>0.941691</v>
      </c>
      <c r="AU12" s="9" t="s">
        <v>85</v>
      </c>
      <c r="AV12" s="9" t="s">
        <v>85</v>
      </c>
      <c r="AW12" s="9">
        <v>0.941691</v>
      </c>
      <c r="AX12" s="9" t="s">
        <v>85</v>
      </c>
      <c r="AY12" s="9" t="s">
        <v>85</v>
      </c>
      <c r="AZ12" s="9">
        <v>0.895044</v>
      </c>
      <c r="BA12" s="9" t="s">
        <v>85</v>
      </c>
      <c r="BB12" s="9" t="s">
        <v>85</v>
      </c>
      <c r="BC12" s="30">
        <v>0.944606</v>
      </c>
      <c r="BD12" s="9" t="s">
        <v>85</v>
      </c>
      <c r="BE12" s="9" t="s">
        <v>85</v>
      </c>
      <c r="BF12" s="9">
        <v>0.44898</v>
      </c>
      <c r="BG12" s="9" t="s">
        <v>85</v>
      </c>
      <c r="BH12" s="6"/>
      <c r="BI12" s="6" t="str">
        <f t="shared" si="1"/>
        <v>8BN_Fold_Median</v>
      </c>
      <c r="BJ12" s="6" t="str">
        <f t="shared" si="2"/>
        <v>10BN_Fold_Median</v>
      </c>
      <c r="BK12" s="6" t="str">
        <f t="shared" si="3"/>
        <v>10BN_Fold_Median</v>
      </c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</row>
    <row r="13" ht="15.75" customHeight="1">
      <c r="A13" s="1" t="s">
        <v>105</v>
      </c>
      <c r="B13" s="17">
        <v>166.0</v>
      </c>
      <c r="C13" s="9" t="s">
        <v>85</v>
      </c>
      <c r="D13" s="9">
        <v>0.532552</v>
      </c>
      <c r="E13" s="9" t="s">
        <v>85</v>
      </c>
      <c r="F13" s="9" t="s">
        <v>85</v>
      </c>
      <c r="G13" s="30">
        <v>0.540624976</v>
      </c>
      <c r="H13" s="9" t="s">
        <v>85</v>
      </c>
      <c r="I13" s="9" t="s">
        <v>85</v>
      </c>
      <c r="J13" s="9">
        <v>0.532552</v>
      </c>
      <c r="K13" s="9" t="s">
        <v>85</v>
      </c>
      <c r="L13" s="9" t="s">
        <v>85</v>
      </c>
      <c r="M13" s="9">
        <v>0.532552</v>
      </c>
      <c r="N13" s="9" t="s">
        <v>85</v>
      </c>
      <c r="O13" s="9" t="s">
        <v>85</v>
      </c>
      <c r="P13" s="9">
        <v>0.532552</v>
      </c>
      <c r="Q13" s="9" t="s">
        <v>85</v>
      </c>
      <c r="R13" s="9" t="s">
        <v>85</v>
      </c>
      <c r="S13" s="9">
        <v>0.532552</v>
      </c>
      <c r="T13" s="9" t="s">
        <v>85</v>
      </c>
      <c r="U13" s="9" t="s">
        <v>85</v>
      </c>
      <c r="V13" s="9">
        <v>0.532552</v>
      </c>
      <c r="W13" s="9" t="s">
        <v>85</v>
      </c>
      <c r="X13" s="9" t="s">
        <v>85</v>
      </c>
      <c r="Y13" s="9">
        <v>0.532552</v>
      </c>
      <c r="Z13" s="9" t="s">
        <v>85</v>
      </c>
      <c r="AA13" s="9" t="s">
        <v>85</v>
      </c>
      <c r="AB13" s="30">
        <v>0.540104</v>
      </c>
      <c r="AC13" s="9" t="s">
        <v>85</v>
      </c>
      <c r="AD13" s="9" t="s">
        <v>85</v>
      </c>
      <c r="AE13" s="30">
        <v>0.532552</v>
      </c>
      <c r="AF13" s="9" t="s">
        <v>85</v>
      </c>
      <c r="AG13" s="9" t="s">
        <v>85</v>
      </c>
      <c r="AH13" s="9">
        <v>0.532552</v>
      </c>
      <c r="AI13" s="9" t="s">
        <v>85</v>
      </c>
      <c r="AJ13" s="9" t="s">
        <v>85</v>
      </c>
      <c r="AK13" s="9">
        <v>0.532552</v>
      </c>
      <c r="AL13" s="9" t="s">
        <v>85</v>
      </c>
      <c r="AM13" s="9" t="s">
        <v>85</v>
      </c>
      <c r="AN13" s="9">
        <v>0.571094</v>
      </c>
      <c r="AO13" s="9" t="s">
        <v>85</v>
      </c>
      <c r="AP13" s="9" t="s">
        <v>85</v>
      </c>
      <c r="AQ13" s="30">
        <v>0.569792</v>
      </c>
      <c r="AR13" s="9" t="s">
        <v>85</v>
      </c>
      <c r="AS13" s="9" t="s">
        <v>85</v>
      </c>
      <c r="AT13" s="9">
        <v>0.532552</v>
      </c>
      <c r="AU13" s="9" t="s">
        <v>85</v>
      </c>
      <c r="AV13" s="9" t="s">
        <v>85</v>
      </c>
      <c r="AW13" s="9">
        <v>0.532552</v>
      </c>
      <c r="AX13" s="9" t="s">
        <v>85</v>
      </c>
      <c r="AY13" s="9" t="s">
        <v>85</v>
      </c>
      <c r="AZ13" s="9">
        <v>0.580208</v>
      </c>
      <c r="BA13" s="9" t="s">
        <v>85</v>
      </c>
      <c r="BB13" s="9" t="s">
        <v>85</v>
      </c>
      <c r="BC13" s="30">
        <v>0.532552</v>
      </c>
      <c r="BD13" s="9" t="s">
        <v>85</v>
      </c>
      <c r="BE13" s="9" t="s">
        <v>85</v>
      </c>
      <c r="BF13" s="9">
        <v>0.558333</v>
      </c>
      <c r="BG13" s="9" t="s">
        <v>85</v>
      </c>
      <c r="BH13" s="6"/>
      <c r="BI13" s="6" t="str">
        <f t="shared" si="1"/>
        <v>20B_Fold_Median</v>
      </c>
      <c r="BJ13" s="6" t="str">
        <f t="shared" si="2"/>
        <v>12B_Fold_Median</v>
      </c>
      <c r="BK13" s="6" t="str">
        <f t="shared" si="3"/>
        <v>12BN_Fold_Median</v>
      </c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</row>
    <row r="14" ht="15.75" customHeight="1">
      <c r="A14" s="1" t="s">
        <v>107</v>
      </c>
      <c r="B14" s="17">
        <v>1639.0</v>
      </c>
      <c r="C14" s="9" t="s">
        <v>85</v>
      </c>
      <c r="D14" s="9">
        <v>0.381159</v>
      </c>
      <c r="E14" s="9" t="s">
        <v>85</v>
      </c>
      <c r="F14" s="9" t="s">
        <v>85</v>
      </c>
      <c r="G14" s="30">
        <v>0.505072474</v>
      </c>
      <c r="H14" s="9" t="s">
        <v>85</v>
      </c>
      <c r="I14" s="9" t="s">
        <v>85</v>
      </c>
      <c r="J14" s="9">
        <v>0.403623</v>
      </c>
      <c r="K14" s="9" t="s">
        <v>85</v>
      </c>
      <c r="L14" s="9" t="s">
        <v>85</v>
      </c>
      <c r="M14" s="9">
        <v>0.32971</v>
      </c>
      <c r="N14" s="9" t="s">
        <v>85</v>
      </c>
      <c r="O14" s="9" t="s">
        <v>85</v>
      </c>
      <c r="P14" s="9">
        <v>0.597101</v>
      </c>
      <c r="Q14" s="9" t="s">
        <v>85</v>
      </c>
      <c r="R14" s="9" t="s">
        <v>85</v>
      </c>
      <c r="S14" s="9">
        <v>0.544928</v>
      </c>
      <c r="T14" s="9" t="s">
        <v>85</v>
      </c>
      <c r="U14" s="9" t="s">
        <v>85</v>
      </c>
      <c r="V14" s="9">
        <v>0.565942</v>
      </c>
      <c r="W14" s="9" t="s">
        <v>85</v>
      </c>
      <c r="X14" s="9" t="s">
        <v>85</v>
      </c>
      <c r="Y14" s="9">
        <v>0.578986</v>
      </c>
      <c r="Z14" s="9" t="s">
        <v>85</v>
      </c>
      <c r="AA14" s="9" t="s">
        <v>85</v>
      </c>
      <c r="AB14" s="30">
        <v>0.561594</v>
      </c>
      <c r="AC14" s="9" t="s">
        <v>85</v>
      </c>
      <c r="AD14" s="9" t="s">
        <v>85</v>
      </c>
      <c r="AE14" s="30">
        <v>0.601449</v>
      </c>
      <c r="AF14" s="9" t="s">
        <v>85</v>
      </c>
      <c r="AG14" s="9" t="s">
        <v>85</v>
      </c>
      <c r="AH14" s="9">
        <v>0.644203</v>
      </c>
      <c r="AI14" s="9" t="s">
        <v>85</v>
      </c>
      <c r="AJ14" s="9" t="s">
        <v>85</v>
      </c>
      <c r="AK14" s="9">
        <v>0.607971</v>
      </c>
      <c r="AL14" s="9" t="s">
        <v>85</v>
      </c>
      <c r="AM14" s="9" t="s">
        <v>85</v>
      </c>
      <c r="AN14" s="9">
        <v>0.619565</v>
      </c>
      <c r="AO14" s="9" t="s">
        <v>85</v>
      </c>
      <c r="AP14" s="9" t="s">
        <v>85</v>
      </c>
      <c r="AQ14" s="30">
        <v>0.605797</v>
      </c>
      <c r="AR14" s="9" t="s">
        <v>85</v>
      </c>
      <c r="AS14" s="9" t="s">
        <v>85</v>
      </c>
      <c r="AT14" s="9">
        <v>0.700725</v>
      </c>
      <c r="AU14" s="9" t="s">
        <v>85</v>
      </c>
      <c r="AV14" s="9" t="s">
        <v>85</v>
      </c>
      <c r="AW14" s="9">
        <v>0.693478</v>
      </c>
      <c r="AX14" s="9" t="s">
        <v>85</v>
      </c>
      <c r="AY14" s="9" t="s">
        <v>85</v>
      </c>
      <c r="AZ14" s="9">
        <v>0.743478</v>
      </c>
      <c r="BA14" s="9" t="s">
        <v>85</v>
      </c>
      <c r="BB14" s="9" t="s">
        <v>85</v>
      </c>
      <c r="BC14" s="30">
        <v>0.782609</v>
      </c>
      <c r="BD14" s="9" t="s">
        <v>85</v>
      </c>
      <c r="BE14" s="9" t="s">
        <v>85</v>
      </c>
      <c r="BF14" s="9">
        <v>0.284058</v>
      </c>
      <c r="BG14" s="9" t="s">
        <v>85</v>
      </c>
      <c r="BH14" s="6"/>
      <c r="BI14" s="6" t="str">
        <f t="shared" si="1"/>
        <v>20V_Fold_Median</v>
      </c>
      <c r="BJ14" s="6" t="str">
        <f t="shared" si="2"/>
        <v>20B_Fold_Median</v>
      </c>
      <c r="BK14" s="6" t="str">
        <f t="shared" si="3"/>
        <v>12V_Fold_Median</v>
      </c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</row>
    <row r="15" ht="15.75" customHeight="1">
      <c r="A15" s="1" t="s">
        <v>109</v>
      </c>
      <c r="B15" s="17">
        <v>286.0</v>
      </c>
      <c r="C15" s="9" t="s">
        <v>85</v>
      </c>
      <c r="D15" s="9">
        <v>0.785714</v>
      </c>
      <c r="E15" s="9" t="s">
        <v>85</v>
      </c>
      <c r="F15" s="9" t="s">
        <v>85</v>
      </c>
      <c r="G15" s="30">
        <v>0.785714269</v>
      </c>
      <c r="H15" s="9" t="s">
        <v>85</v>
      </c>
      <c r="I15" s="9" t="s">
        <v>85</v>
      </c>
      <c r="J15" s="9">
        <v>0.821429</v>
      </c>
      <c r="K15" s="9" t="s">
        <v>85</v>
      </c>
      <c r="L15" s="9" t="s">
        <v>85</v>
      </c>
      <c r="M15" s="9">
        <v>0.75</v>
      </c>
      <c r="N15" s="9" t="s">
        <v>85</v>
      </c>
      <c r="O15" s="9" t="s">
        <v>85</v>
      </c>
      <c r="P15" s="9">
        <v>0.714286</v>
      </c>
      <c r="Q15" s="9" t="s">
        <v>85</v>
      </c>
      <c r="R15" s="9" t="s">
        <v>85</v>
      </c>
      <c r="S15" s="9">
        <v>0.75</v>
      </c>
      <c r="T15" s="9" t="s">
        <v>85</v>
      </c>
      <c r="U15" s="9" t="s">
        <v>85</v>
      </c>
      <c r="V15" s="9">
        <v>1.0</v>
      </c>
      <c r="W15" s="9" t="s">
        <v>85</v>
      </c>
      <c r="X15" s="9" t="s">
        <v>85</v>
      </c>
      <c r="Y15" s="9">
        <v>1.0</v>
      </c>
      <c r="Z15" s="9" t="s">
        <v>85</v>
      </c>
      <c r="AA15" s="9" t="s">
        <v>85</v>
      </c>
      <c r="AB15" s="30">
        <v>0.857143</v>
      </c>
      <c r="AC15" s="9" t="s">
        <v>85</v>
      </c>
      <c r="AD15" s="9" t="s">
        <v>85</v>
      </c>
      <c r="AE15" s="30">
        <v>0.892857</v>
      </c>
      <c r="AF15" s="9" t="s">
        <v>85</v>
      </c>
      <c r="AG15" s="9" t="s">
        <v>85</v>
      </c>
      <c r="AH15" s="9">
        <v>0.857143</v>
      </c>
      <c r="AI15" s="9" t="s">
        <v>85</v>
      </c>
      <c r="AJ15" s="9" t="s">
        <v>85</v>
      </c>
      <c r="AK15" s="9">
        <v>0.857143</v>
      </c>
      <c r="AL15" s="9" t="s">
        <v>85</v>
      </c>
      <c r="AM15" s="9" t="s">
        <v>85</v>
      </c>
      <c r="AN15" s="9">
        <v>0.892857</v>
      </c>
      <c r="AO15" s="9" t="s">
        <v>85</v>
      </c>
      <c r="AP15" s="9" t="s">
        <v>85</v>
      </c>
      <c r="AQ15" s="30">
        <v>0.928571</v>
      </c>
      <c r="AR15" s="9" t="s">
        <v>85</v>
      </c>
      <c r="AS15" s="9" t="s">
        <v>85</v>
      </c>
      <c r="AT15" s="9">
        <v>0.964286</v>
      </c>
      <c r="AU15" s="9" t="s">
        <v>85</v>
      </c>
      <c r="AV15" s="9" t="s">
        <v>85</v>
      </c>
      <c r="AW15" s="9">
        <v>0.928571</v>
      </c>
      <c r="AX15" s="9" t="s">
        <v>85</v>
      </c>
      <c r="AY15" s="9" t="s">
        <v>85</v>
      </c>
      <c r="AZ15" s="9">
        <v>0.928571</v>
      </c>
      <c r="BA15" s="9" t="s">
        <v>85</v>
      </c>
      <c r="BB15" s="9" t="s">
        <v>85</v>
      </c>
      <c r="BC15" s="30">
        <v>0.964286</v>
      </c>
      <c r="BD15" s="9" t="s">
        <v>85</v>
      </c>
      <c r="BE15" s="9" t="s">
        <v>85</v>
      </c>
      <c r="BF15" s="9">
        <v>0.642857</v>
      </c>
      <c r="BG15" s="9" t="s">
        <v>85</v>
      </c>
      <c r="BH15" s="6"/>
      <c r="BI15" s="6" t="str">
        <f t="shared" si="1"/>
        <v>8V_Fold_Median</v>
      </c>
      <c r="BJ15" s="6" t="str">
        <f t="shared" si="2"/>
        <v>8V_Fold_Median</v>
      </c>
      <c r="BK15" s="6" t="str">
        <f t="shared" si="3"/>
        <v>12V_Fold_Median</v>
      </c>
      <c r="BL15" s="6"/>
      <c r="BM15" s="1" t="s">
        <v>214</v>
      </c>
      <c r="BN15" s="26" t="s">
        <v>212</v>
      </c>
      <c r="BO15" s="6"/>
      <c r="BP15" s="6"/>
      <c r="BQ15" s="6"/>
      <c r="BR15" s="6"/>
      <c r="BS15" s="6"/>
      <c r="BT15" s="6"/>
      <c r="BU15" s="6"/>
      <c r="BV15" s="6"/>
      <c r="BW15" s="6"/>
      <c r="BX15" s="6"/>
    </row>
    <row r="16" ht="15.75" customHeight="1">
      <c r="A16" s="1" t="s">
        <v>110</v>
      </c>
      <c r="B16" s="17">
        <v>720.0</v>
      </c>
      <c r="C16" s="9" t="s">
        <v>85</v>
      </c>
      <c r="D16" s="9">
        <v>0.812</v>
      </c>
      <c r="E16" s="9" t="s">
        <v>85</v>
      </c>
      <c r="F16" s="9" t="s">
        <v>85</v>
      </c>
      <c r="G16" s="30">
        <v>0.736000001</v>
      </c>
      <c r="H16" s="9" t="s">
        <v>85</v>
      </c>
      <c r="I16" s="9" t="s">
        <v>85</v>
      </c>
      <c r="J16" s="9">
        <v>0.672</v>
      </c>
      <c r="K16" s="9" t="s">
        <v>85</v>
      </c>
      <c r="L16" s="9" t="s">
        <v>85</v>
      </c>
      <c r="M16" s="9">
        <v>0.676</v>
      </c>
      <c r="N16" s="9" t="s">
        <v>85</v>
      </c>
      <c r="O16" s="9" t="s">
        <v>85</v>
      </c>
      <c r="P16" s="9">
        <v>0.808</v>
      </c>
      <c r="Q16" s="9" t="s">
        <v>85</v>
      </c>
      <c r="R16" s="9" t="s">
        <v>85</v>
      </c>
      <c r="S16" s="9">
        <v>0.816</v>
      </c>
      <c r="T16" s="9" t="s">
        <v>85</v>
      </c>
      <c r="U16" s="9" t="s">
        <v>85</v>
      </c>
      <c r="V16" s="9">
        <v>0.704</v>
      </c>
      <c r="W16" s="9" t="s">
        <v>85</v>
      </c>
      <c r="X16" s="9" t="s">
        <v>85</v>
      </c>
      <c r="Y16" s="9">
        <v>0.688</v>
      </c>
      <c r="Z16" s="9" t="s">
        <v>85</v>
      </c>
      <c r="AA16" s="9" t="s">
        <v>85</v>
      </c>
      <c r="AB16" s="30">
        <v>0.832</v>
      </c>
      <c r="AC16" s="9" t="s">
        <v>85</v>
      </c>
      <c r="AD16" s="9" t="s">
        <v>85</v>
      </c>
      <c r="AE16" s="30">
        <v>0.824</v>
      </c>
      <c r="AF16" s="9" t="s">
        <v>85</v>
      </c>
      <c r="AG16" s="9" t="s">
        <v>85</v>
      </c>
      <c r="AH16" s="9">
        <v>0.66</v>
      </c>
      <c r="AI16" s="9" t="s">
        <v>85</v>
      </c>
      <c r="AJ16" s="9" t="s">
        <v>85</v>
      </c>
      <c r="AK16" s="9">
        <v>0.656</v>
      </c>
      <c r="AL16" s="9" t="s">
        <v>85</v>
      </c>
      <c r="AM16" s="9" t="s">
        <v>85</v>
      </c>
      <c r="AN16" s="9">
        <v>0.812</v>
      </c>
      <c r="AO16" s="9" t="s">
        <v>85</v>
      </c>
      <c r="AP16" s="9" t="s">
        <v>85</v>
      </c>
      <c r="AQ16" s="30">
        <v>0.808</v>
      </c>
      <c r="AR16" s="9" t="s">
        <v>85</v>
      </c>
      <c r="AS16" s="9" t="s">
        <v>85</v>
      </c>
      <c r="AT16" s="9">
        <v>0.672</v>
      </c>
      <c r="AU16" s="9" t="s">
        <v>85</v>
      </c>
      <c r="AV16" s="9" t="s">
        <v>85</v>
      </c>
      <c r="AW16" s="9">
        <v>0.632</v>
      </c>
      <c r="AX16" s="9" t="s">
        <v>85</v>
      </c>
      <c r="AY16" s="9" t="s">
        <v>85</v>
      </c>
      <c r="AZ16" s="9">
        <v>0.792</v>
      </c>
      <c r="BA16" s="9" t="s">
        <v>85</v>
      </c>
      <c r="BB16" s="9" t="s">
        <v>85</v>
      </c>
      <c r="BC16" s="30">
        <v>0.68</v>
      </c>
      <c r="BD16" s="9" t="s">
        <v>85</v>
      </c>
      <c r="BE16" s="9" t="s">
        <v>85</v>
      </c>
      <c r="BF16" s="9">
        <v>0.588</v>
      </c>
      <c r="BG16" s="9" t="s">
        <v>85</v>
      </c>
      <c r="BH16" s="6"/>
      <c r="BI16" s="6" t="str">
        <f t="shared" si="1"/>
        <v>10B_Fold_Median</v>
      </c>
      <c r="BJ16" s="6" t="str">
        <f t="shared" si="2"/>
        <v>10BN_Fold_Median</v>
      </c>
      <c r="BK16" s="6" t="str">
        <f t="shared" si="3"/>
        <v>8BN_Fold_Median</v>
      </c>
      <c r="BL16" s="6"/>
      <c r="BN16" s="6" t="s">
        <v>221</v>
      </c>
      <c r="BO16" s="6" t="s">
        <v>222</v>
      </c>
      <c r="BP16" s="6" t="s">
        <v>223</v>
      </c>
      <c r="BQ16" s="6" t="s">
        <v>224</v>
      </c>
      <c r="BR16" s="6" t="s">
        <v>225</v>
      </c>
      <c r="BS16" s="6"/>
      <c r="BT16" s="6"/>
      <c r="BU16" s="6"/>
      <c r="BV16" s="6"/>
      <c r="BW16" s="6"/>
      <c r="BX16" s="6"/>
    </row>
    <row r="17" ht="15.75" customHeight="1">
      <c r="A17" s="1" t="s">
        <v>111</v>
      </c>
      <c r="B17" s="17">
        <v>46.0</v>
      </c>
      <c r="C17" s="9" t="s">
        <v>85</v>
      </c>
      <c r="D17" s="9">
        <v>0.406548</v>
      </c>
      <c r="E17" s="9" t="s">
        <v>85</v>
      </c>
      <c r="F17" s="9" t="s">
        <v>85</v>
      </c>
      <c r="G17" s="30">
        <v>0.441726178</v>
      </c>
      <c r="H17" s="9" t="s">
        <v>85</v>
      </c>
      <c r="I17" s="9" t="s">
        <v>85</v>
      </c>
      <c r="J17" s="9">
        <v>0.399048</v>
      </c>
      <c r="K17" s="9" t="s">
        <v>85</v>
      </c>
      <c r="L17" s="9" t="s">
        <v>85</v>
      </c>
      <c r="M17" s="9">
        <v>0.451548</v>
      </c>
      <c r="N17" s="9" t="s">
        <v>85</v>
      </c>
      <c r="O17" s="9" t="s">
        <v>85</v>
      </c>
      <c r="P17" s="9">
        <v>0.43619</v>
      </c>
      <c r="Q17" s="9" t="s">
        <v>85</v>
      </c>
      <c r="R17" s="9" t="s">
        <v>85</v>
      </c>
      <c r="S17" s="9">
        <v>0.501071</v>
      </c>
      <c r="T17" s="9" t="s">
        <v>85</v>
      </c>
      <c r="U17" s="9" t="s">
        <v>85</v>
      </c>
      <c r="V17" s="9">
        <v>0.35625</v>
      </c>
      <c r="W17" s="9" t="s">
        <v>85</v>
      </c>
      <c r="X17" s="9" t="s">
        <v>85</v>
      </c>
      <c r="Y17" s="9">
        <v>0.4275</v>
      </c>
      <c r="Z17" s="9" t="s">
        <v>85</v>
      </c>
      <c r="AA17" s="9" t="s">
        <v>85</v>
      </c>
      <c r="AB17" s="30">
        <v>0.458274</v>
      </c>
      <c r="AC17" s="9" t="s">
        <v>85</v>
      </c>
      <c r="AD17" s="9" t="s">
        <v>85</v>
      </c>
      <c r="AE17" s="30">
        <v>0.431786</v>
      </c>
      <c r="AF17" s="9" t="s">
        <v>85</v>
      </c>
      <c r="AG17" s="9" t="s">
        <v>85</v>
      </c>
      <c r="AH17" s="9">
        <v>0.236786</v>
      </c>
      <c r="AI17" s="9" t="s">
        <v>85</v>
      </c>
      <c r="AJ17" s="9" t="s">
        <v>85</v>
      </c>
      <c r="AK17" s="9">
        <v>0.207679</v>
      </c>
      <c r="AL17" s="9" t="s">
        <v>85</v>
      </c>
      <c r="AM17" s="9" t="s">
        <v>85</v>
      </c>
      <c r="AN17" s="9">
        <v>0.496012</v>
      </c>
      <c r="AO17" s="9" t="s">
        <v>85</v>
      </c>
      <c r="AP17" s="9" t="s">
        <v>85</v>
      </c>
      <c r="AQ17" s="30">
        <v>0.504881</v>
      </c>
      <c r="AR17" s="9" t="s">
        <v>85</v>
      </c>
      <c r="AS17" s="9" t="s">
        <v>85</v>
      </c>
      <c r="AT17" s="9">
        <v>0.363512</v>
      </c>
      <c r="AU17" s="9" t="s">
        <v>85</v>
      </c>
      <c r="AV17" s="9" t="s">
        <v>85</v>
      </c>
      <c r="AW17" s="9">
        <v>0.317976</v>
      </c>
      <c r="AX17" s="9" t="s">
        <v>85</v>
      </c>
      <c r="AY17" s="9" t="s">
        <v>85</v>
      </c>
      <c r="AZ17" s="9">
        <v>0.425774</v>
      </c>
      <c r="BA17" s="9" t="s">
        <v>85</v>
      </c>
      <c r="BB17" s="9" t="s">
        <v>85</v>
      </c>
      <c r="BC17" s="30">
        <v>0.270179</v>
      </c>
      <c r="BD17" s="9" t="s">
        <v>85</v>
      </c>
      <c r="BE17" s="9" t="s">
        <v>85</v>
      </c>
      <c r="BF17" s="9">
        <v>0.645357</v>
      </c>
      <c r="BG17" s="9" t="s">
        <v>85</v>
      </c>
      <c r="BH17" s="6"/>
      <c r="BI17" s="6" t="str">
        <f t="shared" si="1"/>
        <v>De_Fold_Median</v>
      </c>
      <c r="BJ17" s="6" t="str">
        <f t="shared" si="2"/>
        <v>12BN_Fold_Median</v>
      </c>
      <c r="BK17" s="6" t="str">
        <f t="shared" si="3"/>
        <v>8BN_Fold_Median</v>
      </c>
      <c r="BL17" s="6"/>
      <c r="BM17" s="6"/>
      <c r="BN17" s="6">
        <f>COUNTIF(B3:B109,"&lt;=100")</f>
        <v>22</v>
      </c>
      <c r="BO17" s="6">
        <f>COUNTIFS(B3:B109,"&gt;100",B3:B109,"&lt;=200")</f>
        <v>17</v>
      </c>
      <c r="BP17" s="6">
        <f>COUNTIFS(B3:B109,"&gt;200",B3:B109,"&lt;500")</f>
        <v>21</v>
      </c>
      <c r="BQ17" s="6">
        <f>COUNTIFS(B3:B109,"&gt;=500",B3:B109,"&lt;1000")</f>
        <v>20</v>
      </c>
      <c r="BR17" s="6">
        <f>COUNTIF(B3:B109,"&gt;=1000")</f>
        <v>18</v>
      </c>
      <c r="BS17" s="6"/>
      <c r="BT17" s="6"/>
      <c r="BU17" s="6"/>
      <c r="BV17" s="6"/>
      <c r="BW17" s="6"/>
      <c r="BX17" s="6"/>
    </row>
    <row r="18" ht="15.75" customHeight="1">
      <c r="A18" s="1" t="s">
        <v>112</v>
      </c>
      <c r="B18" s="17">
        <v>345.0</v>
      </c>
      <c r="C18" s="9" t="s">
        <v>85</v>
      </c>
      <c r="D18" s="9">
        <v>0.882353</v>
      </c>
      <c r="E18" s="9" t="s">
        <v>85</v>
      </c>
      <c r="F18" s="9" t="s">
        <v>85</v>
      </c>
      <c r="G18" s="30">
        <v>0.879084945</v>
      </c>
      <c r="H18" s="9" t="s">
        <v>85</v>
      </c>
      <c r="I18" s="9" t="s">
        <v>85</v>
      </c>
      <c r="J18" s="9">
        <v>0.885621</v>
      </c>
      <c r="K18" s="9" t="s">
        <v>85</v>
      </c>
      <c r="L18" s="9" t="s">
        <v>85</v>
      </c>
      <c r="M18" s="9">
        <v>0.843137</v>
      </c>
      <c r="N18" s="9" t="s">
        <v>85</v>
      </c>
      <c r="O18" s="9" t="s">
        <v>85</v>
      </c>
      <c r="P18" s="9">
        <v>0.879085</v>
      </c>
      <c r="Q18" s="9" t="s">
        <v>85</v>
      </c>
      <c r="R18" s="9" t="s">
        <v>85</v>
      </c>
      <c r="S18" s="9">
        <v>0.892157</v>
      </c>
      <c r="T18" s="9" t="s">
        <v>85</v>
      </c>
      <c r="U18" s="9" t="s">
        <v>85</v>
      </c>
      <c r="V18" s="9">
        <v>0.892157</v>
      </c>
      <c r="W18" s="9" t="s">
        <v>85</v>
      </c>
      <c r="X18" s="9" t="s">
        <v>85</v>
      </c>
      <c r="Y18" s="9">
        <v>0.892157</v>
      </c>
      <c r="Z18" s="9" t="s">
        <v>85</v>
      </c>
      <c r="AA18" s="9" t="s">
        <v>85</v>
      </c>
      <c r="AB18" s="30">
        <v>0.888889</v>
      </c>
      <c r="AC18" s="9" t="s">
        <v>85</v>
      </c>
      <c r="AD18" s="9" t="s">
        <v>85</v>
      </c>
      <c r="AE18" s="30">
        <v>0.882353</v>
      </c>
      <c r="AF18" s="9" t="s">
        <v>85</v>
      </c>
      <c r="AG18" s="9" t="s">
        <v>85</v>
      </c>
      <c r="AH18" s="9">
        <v>0.888889</v>
      </c>
      <c r="AI18" s="9" t="s">
        <v>85</v>
      </c>
      <c r="AJ18" s="9" t="s">
        <v>85</v>
      </c>
      <c r="AK18" s="9">
        <v>0.892157</v>
      </c>
      <c r="AL18" s="9" t="s">
        <v>85</v>
      </c>
      <c r="AM18" s="9" t="s">
        <v>85</v>
      </c>
      <c r="AN18" s="9">
        <v>0.888889</v>
      </c>
      <c r="AO18" s="9" t="s">
        <v>85</v>
      </c>
      <c r="AP18" s="9" t="s">
        <v>85</v>
      </c>
      <c r="AQ18" s="30">
        <v>0.892157</v>
      </c>
      <c r="AR18" s="9" t="s">
        <v>85</v>
      </c>
      <c r="AS18" s="9" t="s">
        <v>85</v>
      </c>
      <c r="AT18" s="9">
        <v>0.875817</v>
      </c>
      <c r="AU18" s="9" t="s">
        <v>85</v>
      </c>
      <c r="AV18" s="9" t="s">
        <v>85</v>
      </c>
      <c r="AW18" s="9">
        <v>0.888889</v>
      </c>
      <c r="AX18" s="9" t="s">
        <v>85</v>
      </c>
      <c r="AY18" s="9" t="s">
        <v>85</v>
      </c>
      <c r="AZ18" s="9">
        <v>0.892157</v>
      </c>
      <c r="BA18" s="9" t="s">
        <v>85</v>
      </c>
      <c r="BB18" s="9" t="s">
        <v>85</v>
      </c>
      <c r="BC18" s="30">
        <v>0.892157</v>
      </c>
      <c r="BD18" s="9" t="s">
        <v>85</v>
      </c>
      <c r="BE18" s="9" t="s">
        <v>85</v>
      </c>
      <c r="BF18" s="9">
        <v>0.30719</v>
      </c>
      <c r="BG18" s="9" t="s">
        <v>85</v>
      </c>
      <c r="BH18" s="6"/>
      <c r="BI18" s="6" t="str">
        <f t="shared" si="1"/>
        <v>8BN_Fold_Median</v>
      </c>
      <c r="BJ18" s="6" t="str">
        <f t="shared" si="2"/>
        <v>8BN_Fold_Median</v>
      </c>
      <c r="BK18" s="6" t="str">
        <f t="shared" si="3"/>
        <v>8BN_Fold_Median</v>
      </c>
      <c r="BL18" s="6"/>
      <c r="BM18" s="6" t="s">
        <v>226</v>
      </c>
      <c r="BN18" s="18">
        <f t="shared" ref="BN18:BR18" si="6">MINUS(BN17,SUM(BN19,BN20))</f>
        <v>10</v>
      </c>
      <c r="BO18" s="18">
        <f t="shared" si="6"/>
        <v>11</v>
      </c>
      <c r="BP18" s="18">
        <f t="shared" si="6"/>
        <v>10</v>
      </c>
      <c r="BQ18" s="18">
        <f t="shared" si="6"/>
        <v>14</v>
      </c>
      <c r="BR18" s="18">
        <f t="shared" si="6"/>
        <v>7</v>
      </c>
      <c r="BS18" s="6">
        <f t="shared" ref="BS18:BS20" si="7">SUM(BN18:BR18)</f>
        <v>52</v>
      </c>
      <c r="BT18" s="6"/>
      <c r="BU18" s="6"/>
      <c r="BV18" s="6"/>
      <c r="BW18" s="6"/>
      <c r="BX18" s="6"/>
    </row>
    <row r="19" ht="15.75" customHeight="1">
      <c r="A19" s="1" t="s">
        <v>113</v>
      </c>
      <c r="B19" s="17">
        <v>80.0</v>
      </c>
      <c r="C19" s="9" t="s">
        <v>85</v>
      </c>
      <c r="D19" s="9">
        <v>0.669065</v>
      </c>
      <c r="E19" s="9" t="s">
        <v>85</v>
      </c>
      <c r="F19" s="9" t="s">
        <v>85</v>
      </c>
      <c r="G19" s="30">
        <v>0.676258981</v>
      </c>
      <c r="H19" s="9" t="s">
        <v>85</v>
      </c>
      <c r="I19" s="9" t="s">
        <v>85</v>
      </c>
      <c r="J19" s="9">
        <v>0.741007</v>
      </c>
      <c r="K19" s="9" t="s">
        <v>85</v>
      </c>
      <c r="L19" s="9" t="s">
        <v>85</v>
      </c>
      <c r="M19" s="9">
        <v>0.733813</v>
      </c>
      <c r="N19" s="9" t="s">
        <v>85</v>
      </c>
      <c r="O19" s="9" t="s">
        <v>85</v>
      </c>
      <c r="P19" s="9">
        <v>0.683453</v>
      </c>
      <c r="Q19" s="9" t="s">
        <v>85</v>
      </c>
      <c r="R19" s="9" t="s">
        <v>85</v>
      </c>
      <c r="S19" s="9">
        <v>0.683453</v>
      </c>
      <c r="T19" s="9" t="s">
        <v>85</v>
      </c>
      <c r="U19" s="9" t="s">
        <v>85</v>
      </c>
      <c r="V19" s="9">
        <v>0.683453</v>
      </c>
      <c r="W19" s="9" t="s">
        <v>85</v>
      </c>
      <c r="X19" s="9" t="s">
        <v>85</v>
      </c>
      <c r="Y19" s="9">
        <v>0.683453</v>
      </c>
      <c r="Z19" s="9" t="s">
        <v>85</v>
      </c>
      <c r="AA19" s="9" t="s">
        <v>85</v>
      </c>
      <c r="AB19" s="30">
        <v>0.683453</v>
      </c>
      <c r="AC19" s="9" t="s">
        <v>85</v>
      </c>
      <c r="AD19" s="9" t="s">
        <v>85</v>
      </c>
      <c r="AE19" s="30">
        <v>0.71223</v>
      </c>
      <c r="AF19" s="9" t="s">
        <v>85</v>
      </c>
      <c r="AG19" s="9" t="s">
        <v>85</v>
      </c>
      <c r="AH19" s="9">
        <v>0.705036</v>
      </c>
      <c r="AI19" s="9" t="s">
        <v>85</v>
      </c>
      <c r="AJ19" s="9" t="s">
        <v>85</v>
      </c>
      <c r="AK19" s="9">
        <v>0.683453</v>
      </c>
      <c r="AL19" s="9" t="s">
        <v>85</v>
      </c>
      <c r="AM19" s="9" t="s">
        <v>85</v>
      </c>
      <c r="AN19" s="9">
        <v>0.683453</v>
      </c>
      <c r="AO19" s="9" t="s">
        <v>85</v>
      </c>
      <c r="AP19" s="9" t="s">
        <v>85</v>
      </c>
      <c r="AQ19" s="30">
        <v>0.697842</v>
      </c>
      <c r="AR19" s="9" t="s">
        <v>85</v>
      </c>
      <c r="AS19" s="9" t="s">
        <v>85</v>
      </c>
      <c r="AT19" s="9">
        <v>0.683453</v>
      </c>
      <c r="AU19" s="9" t="s">
        <v>85</v>
      </c>
      <c r="AV19" s="9" t="s">
        <v>85</v>
      </c>
      <c r="AW19" s="9">
        <v>0.683453</v>
      </c>
      <c r="AX19" s="9" t="s">
        <v>85</v>
      </c>
      <c r="AY19" s="9" t="s">
        <v>85</v>
      </c>
      <c r="AZ19" s="9">
        <v>0.669065</v>
      </c>
      <c r="BA19" s="9" t="s">
        <v>85</v>
      </c>
      <c r="BB19" s="9" t="s">
        <v>85</v>
      </c>
      <c r="BC19" s="30">
        <v>0.683453</v>
      </c>
      <c r="BD19" s="9" t="s">
        <v>85</v>
      </c>
      <c r="BE19" s="9" t="s">
        <v>85</v>
      </c>
      <c r="BF19" s="9">
        <v>0.683453</v>
      </c>
      <c r="BG19" s="9" t="s">
        <v>85</v>
      </c>
      <c r="BH19" s="6"/>
      <c r="BI19" s="6" t="str">
        <f t="shared" si="1"/>
        <v>5V_Fold_Median</v>
      </c>
      <c r="BJ19" s="6" t="str">
        <f t="shared" si="2"/>
        <v>5VB_Fold_Median</v>
      </c>
      <c r="BK19" s="6" t="str">
        <f t="shared" si="3"/>
        <v>10BN_Fold_Median</v>
      </c>
      <c r="BL19" s="6"/>
      <c r="BM19" s="6" t="s">
        <v>227</v>
      </c>
      <c r="BN19" s="18">
        <f>COUNTIFS(BJ3:BJ109,"*V*",B3:B109,"&lt;=100")</f>
        <v>12</v>
      </c>
      <c r="BO19" s="19">
        <f>COUNTIFS(BJ3:BJ109,"*V*",B3:B109,"&gt;100",B3:B109,"&lt;=200")</f>
        <v>6</v>
      </c>
      <c r="BP19" s="18">
        <f>COUNTIFS(BJ3:BJ109,"*V*",B3:B109,"&gt;200",B3:B109,"&lt;500")</f>
        <v>11</v>
      </c>
      <c r="BQ19" s="18">
        <f>COUNTIFS(BJ3:BJ109,"*V*",B3:B109,"&gt;=500",B3:B109,"&lt;1000")</f>
        <v>6</v>
      </c>
      <c r="BR19" s="18">
        <f>COUNTIFS(BJ3:BJ109,"*V*",B3:B109,"&gt;=1000")</f>
        <v>10</v>
      </c>
      <c r="BS19" s="6">
        <f t="shared" si="7"/>
        <v>45</v>
      </c>
      <c r="BT19" s="6"/>
      <c r="BU19" s="6"/>
      <c r="BV19" s="6"/>
      <c r="BW19" s="6"/>
      <c r="BX19" s="6"/>
    </row>
    <row r="20" ht="15.75" customHeight="1">
      <c r="A20" s="1" t="s">
        <v>114</v>
      </c>
      <c r="B20" s="17">
        <v>80.0</v>
      </c>
      <c r="C20" s="9" t="s">
        <v>85</v>
      </c>
      <c r="D20" s="9">
        <v>0.728261</v>
      </c>
      <c r="E20" s="9" t="s">
        <v>85</v>
      </c>
      <c r="F20" s="9" t="s">
        <v>85</v>
      </c>
      <c r="G20" s="30">
        <v>0.728260875</v>
      </c>
      <c r="H20" s="9" t="s">
        <v>85</v>
      </c>
      <c r="I20" s="9" t="s">
        <v>85</v>
      </c>
      <c r="J20" s="9">
        <v>0.75</v>
      </c>
      <c r="K20" s="9" t="s">
        <v>85</v>
      </c>
      <c r="L20" s="9" t="s">
        <v>85</v>
      </c>
      <c r="M20" s="9">
        <v>0.75</v>
      </c>
      <c r="N20" s="9" t="s">
        <v>85</v>
      </c>
      <c r="O20" s="9" t="s">
        <v>85</v>
      </c>
      <c r="P20" s="9">
        <v>0.735507</v>
      </c>
      <c r="Q20" s="9" t="s">
        <v>85</v>
      </c>
      <c r="R20" s="9" t="s">
        <v>85</v>
      </c>
      <c r="S20" s="9">
        <v>0.728261</v>
      </c>
      <c r="T20" s="9" t="s">
        <v>85</v>
      </c>
      <c r="U20" s="9" t="s">
        <v>85</v>
      </c>
      <c r="V20" s="9">
        <v>0.757246</v>
      </c>
      <c r="W20" s="9" t="s">
        <v>85</v>
      </c>
      <c r="X20" s="9" t="s">
        <v>85</v>
      </c>
      <c r="Y20" s="9">
        <v>0.757246</v>
      </c>
      <c r="Z20" s="9" t="s">
        <v>85</v>
      </c>
      <c r="AA20" s="9" t="s">
        <v>85</v>
      </c>
      <c r="AB20" s="30">
        <v>0.742754</v>
      </c>
      <c r="AC20" s="9" t="s">
        <v>85</v>
      </c>
      <c r="AD20" s="9" t="s">
        <v>85</v>
      </c>
      <c r="AE20" s="30">
        <v>0.75</v>
      </c>
      <c r="AF20" s="9" t="s">
        <v>85</v>
      </c>
      <c r="AG20" s="9" t="s">
        <v>85</v>
      </c>
      <c r="AH20" s="9">
        <v>0.735507</v>
      </c>
      <c r="AI20" s="9" t="s">
        <v>85</v>
      </c>
      <c r="AJ20" s="9" t="s">
        <v>85</v>
      </c>
      <c r="AK20" s="9">
        <v>0.724638</v>
      </c>
      <c r="AL20" s="9" t="s">
        <v>85</v>
      </c>
      <c r="AM20" s="9" t="s">
        <v>85</v>
      </c>
      <c r="AN20" s="9">
        <v>0.764493</v>
      </c>
      <c r="AO20" s="9" t="s">
        <v>85</v>
      </c>
      <c r="AP20" s="9" t="s">
        <v>85</v>
      </c>
      <c r="AQ20" s="30">
        <v>0.757246</v>
      </c>
      <c r="AR20" s="9" t="s">
        <v>85</v>
      </c>
      <c r="AS20" s="9" t="s">
        <v>85</v>
      </c>
      <c r="AT20" s="9">
        <v>0.764493</v>
      </c>
      <c r="AU20" s="9" t="s">
        <v>85</v>
      </c>
      <c r="AV20" s="9" t="s">
        <v>85</v>
      </c>
      <c r="AW20" s="9">
        <v>0.764493</v>
      </c>
      <c r="AX20" s="9" t="s">
        <v>85</v>
      </c>
      <c r="AY20" s="9" t="s">
        <v>85</v>
      </c>
      <c r="AZ20" s="9">
        <v>0.753623</v>
      </c>
      <c r="BA20" s="9" t="s">
        <v>85</v>
      </c>
      <c r="BB20" s="9" t="s">
        <v>85</v>
      </c>
      <c r="BC20" s="30">
        <v>0.757246</v>
      </c>
      <c r="BD20" s="9" t="s">
        <v>85</v>
      </c>
      <c r="BE20" s="9" t="s">
        <v>85</v>
      </c>
      <c r="BF20" s="9">
        <v>0.73913</v>
      </c>
      <c r="BG20" s="9" t="s">
        <v>85</v>
      </c>
      <c r="BH20" s="6"/>
      <c r="BI20" s="6" t="str">
        <f t="shared" si="1"/>
        <v>12B_Fold_Median</v>
      </c>
      <c r="BJ20" s="6" t="str">
        <f t="shared" si="2"/>
        <v>12B_Fold_Median</v>
      </c>
      <c r="BK20" s="6" t="str">
        <f t="shared" si="3"/>
        <v>12B_Fold_Median</v>
      </c>
      <c r="BL20" s="6"/>
      <c r="BM20" s="6" t="s">
        <v>20</v>
      </c>
      <c r="BN20" s="18">
        <f>COUNTIFS(BJ3:BJ109,"*De*",B3:B109,"&lt;=100")</f>
        <v>0</v>
      </c>
      <c r="BO20" s="19">
        <f>COUNTIFS(BJ3:BJ109,"*De*",B3:B109,"&gt;100",B3:B109,"&lt;=200")</f>
        <v>0</v>
      </c>
      <c r="BP20" s="18">
        <f>COUNTIFS(BJ3:BJ109,"*De*",B3:B109,"&gt;200",B3:B109,"&lt;500")</f>
        <v>0</v>
      </c>
      <c r="BQ20" s="18">
        <f>COUNTIFS(BJ3:BJ109,"*De*",B3:B109,"&gt;=500",B3:B109,"&lt;1000")</f>
        <v>0</v>
      </c>
      <c r="BR20" s="18">
        <f>COUNTIFS(BJ3:BJ109,"*De*",B3:B109,"&gt;=1000")</f>
        <v>1</v>
      </c>
      <c r="BS20" s="6">
        <f t="shared" si="7"/>
        <v>1</v>
      </c>
      <c r="BT20" s="6"/>
      <c r="BU20" s="6"/>
      <c r="BV20" s="6"/>
      <c r="BW20" s="6"/>
      <c r="BX20" s="6"/>
    </row>
    <row r="21" ht="15.75" customHeight="1">
      <c r="A21" s="1" t="s">
        <v>115</v>
      </c>
      <c r="B21" s="17">
        <v>80.0</v>
      </c>
      <c r="C21" s="9" t="s">
        <v>85</v>
      </c>
      <c r="D21" s="9">
        <v>0.597122</v>
      </c>
      <c r="E21" s="9" t="s">
        <v>85</v>
      </c>
      <c r="F21" s="9" t="s">
        <v>85</v>
      </c>
      <c r="G21" s="30">
        <v>0.597122312</v>
      </c>
      <c r="H21" s="9" t="s">
        <v>85</v>
      </c>
      <c r="I21" s="9" t="s">
        <v>85</v>
      </c>
      <c r="J21" s="9">
        <v>0.669065</v>
      </c>
      <c r="K21" s="9" t="s">
        <v>85</v>
      </c>
      <c r="L21" s="9" t="s">
        <v>85</v>
      </c>
      <c r="M21" s="9">
        <v>0.654676</v>
      </c>
      <c r="N21" s="9" t="s">
        <v>85</v>
      </c>
      <c r="O21" s="9" t="s">
        <v>85</v>
      </c>
      <c r="P21" s="9">
        <v>0.589928</v>
      </c>
      <c r="Q21" s="9" t="s">
        <v>85</v>
      </c>
      <c r="R21" s="9" t="s">
        <v>85</v>
      </c>
      <c r="S21" s="9">
        <v>0.611511</v>
      </c>
      <c r="T21" s="9" t="s">
        <v>85</v>
      </c>
      <c r="U21" s="9" t="s">
        <v>85</v>
      </c>
      <c r="V21" s="9">
        <v>0.66187</v>
      </c>
      <c r="W21" s="9" t="s">
        <v>85</v>
      </c>
      <c r="X21" s="9" t="s">
        <v>85</v>
      </c>
      <c r="Y21" s="9">
        <v>0.669065</v>
      </c>
      <c r="Z21" s="9" t="s">
        <v>85</v>
      </c>
      <c r="AA21" s="9" t="s">
        <v>85</v>
      </c>
      <c r="AB21" s="30">
        <v>0.582734</v>
      </c>
      <c r="AC21" s="9" t="s">
        <v>85</v>
      </c>
      <c r="AD21" s="9" t="s">
        <v>85</v>
      </c>
      <c r="AE21" s="30">
        <v>0.604317</v>
      </c>
      <c r="AF21" s="9" t="s">
        <v>85</v>
      </c>
      <c r="AG21" s="9" t="s">
        <v>85</v>
      </c>
      <c r="AH21" s="9">
        <v>0.633094</v>
      </c>
      <c r="AI21" s="9" t="s">
        <v>85</v>
      </c>
      <c r="AJ21" s="9" t="s">
        <v>85</v>
      </c>
      <c r="AK21" s="9">
        <v>0.647482</v>
      </c>
      <c r="AL21" s="9" t="s">
        <v>85</v>
      </c>
      <c r="AM21" s="9" t="s">
        <v>85</v>
      </c>
      <c r="AN21" s="9">
        <v>0.625899</v>
      </c>
      <c r="AO21" s="9" t="s">
        <v>85</v>
      </c>
      <c r="AP21" s="9" t="s">
        <v>85</v>
      </c>
      <c r="AQ21" s="30">
        <v>0.582734</v>
      </c>
      <c r="AR21" s="9" t="s">
        <v>85</v>
      </c>
      <c r="AS21" s="9" t="s">
        <v>85</v>
      </c>
      <c r="AT21" s="9">
        <v>0.654676</v>
      </c>
      <c r="AU21" s="9" t="s">
        <v>85</v>
      </c>
      <c r="AV21" s="9" t="s">
        <v>85</v>
      </c>
      <c r="AW21" s="9">
        <v>0.654676</v>
      </c>
      <c r="AX21" s="9" t="s">
        <v>85</v>
      </c>
      <c r="AY21" s="9" t="s">
        <v>85</v>
      </c>
      <c r="AZ21" s="9">
        <v>0.633094</v>
      </c>
      <c r="BA21" s="9" t="s">
        <v>85</v>
      </c>
      <c r="BB21" s="9" t="s">
        <v>85</v>
      </c>
      <c r="BC21" s="30">
        <v>0.654676</v>
      </c>
      <c r="BD21" s="9" t="s">
        <v>85</v>
      </c>
      <c r="BE21" s="9" t="s">
        <v>85</v>
      </c>
      <c r="BF21" s="9">
        <v>0.690647</v>
      </c>
      <c r="BG21" s="9" t="s">
        <v>85</v>
      </c>
      <c r="BH21" s="6"/>
      <c r="BI21" s="6" t="str">
        <f t="shared" si="1"/>
        <v>De_Fold_Median</v>
      </c>
      <c r="BJ21" s="6" t="str">
        <f t="shared" si="2"/>
        <v>5V_Fold_Median</v>
      </c>
      <c r="BK21" s="6" t="str">
        <f t="shared" si="3"/>
        <v>5V_Fold_Median</v>
      </c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</row>
    <row r="22" ht="15.75" customHeight="1">
      <c r="A22" s="1" t="s">
        <v>116</v>
      </c>
      <c r="B22" s="17">
        <v>512.0</v>
      </c>
      <c r="C22" s="9" t="s">
        <v>85</v>
      </c>
      <c r="D22" s="9">
        <v>0.748201</v>
      </c>
      <c r="E22" s="9" t="s">
        <v>85</v>
      </c>
      <c r="F22" s="9" t="s">
        <v>85</v>
      </c>
      <c r="G22" s="30">
        <v>0.74820143</v>
      </c>
      <c r="H22" s="9" t="s">
        <v>85</v>
      </c>
      <c r="I22" s="9" t="s">
        <v>85</v>
      </c>
      <c r="J22" s="9">
        <v>0.748201</v>
      </c>
      <c r="K22" s="9" t="s">
        <v>85</v>
      </c>
      <c r="L22" s="9" t="s">
        <v>85</v>
      </c>
      <c r="M22" s="9">
        <v>0.748201</v>
      </c>
      <c r="N22" s="9" t="s">
        <v>85</v>
      </c>
      <c r="O22" s="9" t="s">
        <v>85</v>
      </c>
      <c r="P22" s="9">
        <v>0.748201</v>
      </c>
      <c r="Q22" s="9" t="s">
        <v>85</v>
      </c>
      <c r="R22" s="9" t="s">
        <v>85</v>
      </c>
      <c r="S22" s="9">
        <v>0.748201</v>
      </c>
      <c r="T22" s="9" t="s">
        <v>85</v>
      </c>
      <c r="U22" s="9" t="s">
        <v>85</v>
      </c>
      <c r="V22" s="9">
        <v>0.748201</v>
      </c>
      <c r="W22" s="9" t="s">
        <v>85</v>
      </c>
      <c r="X22" s="9" t="s">
        <v>85</v>
      </c>
      <c r="Y22" s="9">
        <v>0.748201</v>
      </c>
      <c r="Z22" s="9" t="s">
        <v>85</v>
      </c>
      <c r="AA22" s="9" t="s">
        <v>85</v>
      </c>
      <c r="AB22" s="30">
        <v>0.748201</v>
      </c>
      <c r="AC22" s="9" t="s">
        <v>85</v>
      </c>
      <c r="AD22" s="9" t="s">
        <v>85</v>
      </c>
      <c r="AE22" s="30">
        <v>0.748201</v>
      </c>
      <c r="AF22" s="9" t="s">
        <v>85</v>
      </c>
      <c r="AG22" s="9" t="s">
        <v>85</v>
      </c>
      <c r="AH22" s="9">
        <v>0.748201</v>
      </c>
      <c r="AI22" s="9" t="s">
        <v>85</v>
      </c>
      <c r="AJ22" s="9" t="s">
        <v>85</v>
      </c>
      <c r="AK22" s="9">
        <v>0.748201</v>
      </c>
      <c r="AL22" s="9" t="s">
        <v>85</v>
      </c>
      <c r="AM22" s="9" t="s">
        <v>85</v>
      </c>
      <c r="AN22" s="9">
        <v>0.748201</v>
      </c>
      <c r="AO22" s="9" t="s">
        <v>85</v>
      </c>
      <c r="AP22" s="9" t="s">
        <v>85</v>
      </c>
      <c r="AQ22" s="30">
        <v>0.748201</v>
      </c>
      <c r="AR22" s="9" t="s">
        <v>85</v>
      </c>
      <c r="AS22" s="9" t="s">
        <v>85</v>
      </c>
      <c r="AT22" s="9">
        <v>0.748201</v>
      </c>
      <c r="AU22" s="9" t="s">
        <v>85</v>
      </c>
      <c r="AV22" s="9" t="s">
        <v>85</v>
      </c>
      <c r="AW22" s="9">
        <v>0.748201</v>
      </c>
      <c r="AX22" s="9" t="s">
        <v>85</v>
      </c>
      <c r="AY22" s="9" t="s">
        <v>85</v>
      </c>
      <c r="AZ22" s="9">
        <v>0.748201</v>
      </c>
      <c r="BA22" s="9" t="s">
        <v>85</v>
      </c>
      <c r="BB22" s="9" t="s">
        <v>85</v>
      </c>
      <c r="BC22" s="30">
        <v>0.748201</v>
      </c>
      <c r="BD22" s="9" t="s">
        <v>85</v>
      </c>
      <c r="BE22" s="9" t="s">
        <v>85</v>
      </c>
      <c r="BF22" s="9">
        <v>0.748201</v>
      </c>
      <c r="BG22" s="9" t="s">
        <v>85</v>
      </c>
      <c r="BH22" s="6"/>
      <c r="BI22" s="6" t="str">
        <f t="shared" si="1"/>
        <v>5BN_Fold_Median</v>
      </c>
      <c r="BJ22" s="6" t="str">
        <f t="shared" si="2"/>
        <v>5B_Fold_Median</v>
      </c>
      <c r="BK22" s="6" t="str">
        <f t="shared" si="3"/>
        <v>5B_Fold_Median</v>
      </c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</row>
    <row r="23" ht="15.75" customHeight="1">
      <c r="A23" s="1" t="s">
        <v>117</v>
      </c>
      <c r="B23" s="17">
        <v>96.0</v>
      </c>
      <c r="C23" s="9" t="s">
        <v>85</v>
      </c>
      <c r="D23" s="9">
        <v>0.64</v>
      </c>
      <c r="E23" s="9" t="s">
        <v>85</v>
      </c>
      <c r="F23" s="9" t="s">
        <v>85</v>
      </c>
      <c r="G23" s="30">
        <v>0.639999986</v>
      </c>
      <c r="H23" s="9" t="s">
        <v>85</v>
      </c>
      <c r="I23" s="9" t="s">
        <v>85</v>
      </c>
      <c r="J23" s="9">
        <v>0.64</v>
      </c>
      <c r="K23" s="9" t="s">
        <v>85</v>
      </c>
      <c r="L23" s="9" t="s">
        <v>85</v>
      </c>
      <c r="M23" s="9">
        <v>0.64</v>
      </c>
      <c r="N23" s="9" t="s">
        <v>85</v>
      </c>
      <c r="O23" s="9" t="s">
        <v>85</v>
      </c>
      <c r="P23" s="9">
        <v>0.64</v>
      </c>
      <c r="Q23" s="9" t="s">
        <v>85</v>
      </c>
      <c r="R23" s="9" t="s">
        <v>85</v>
      </c>
      <c r="S23" s="9">
        <v>0.64</v>
      </c>
      <c r="T23" s="9" t="s">
        <v>85</v>
      </c>
      <c r="U23" s="9" t="s">
        <v>85</v>
      </c>
      <c r="V23" s="9">
        <v>0.64</v>
      </c>
      <c r="W23" s="9" t="s">
        <v>85</v>
      </c>
      <c r="X23" s="9" t="s">
        <v>85</v>
      </c>
      <c r="Y23" s="9">
        <v>0.64</v>
      </c>
      <c r="Z23" s="9" t="s">
        <v>85</v>
      </c>
      <c r="AA23" s="9" t="s">
        <v>85</v>
      </c>
      <c r="AB23" s="30">
        <v>0.64</v>
      </c>
      <c r="AC23" s="9" t="s">
        <v>85</v>
      </c>
      <c r="AD23" s="9" t="s">
        <v>85</v>
      </c>
      <c r="AE23" s="30">
        <v>0.64</v>
      </c>
      <c r="AF23" s="9" t="s">
        <v>85</v>
      </c>
      <c r="AG23" s="9" t="s">
        <v>85</v>
      </c>
      <c r="AH23" s="9">
        <v>0.64</v>
      </c>
      <c r="AI23" s="9" t="s">
        <v>85</v>
      </c>
      <c r="AJ23" s="9" t="s">
        <v>85</v>
      </c>
      <c r="AK23" s="9">
        <v>0.64</v>
      </c>
      <c r="AL23" s="9" t="s">
        <v>85</v>
      </c>
      <c r="AM23" s="9" t="s">
        <v>85</v>
      </c>
      <c r="AN23" s="9">
        <v>0.64</v>
      </c>
      <c r="AO23" s="9" t="s">
        <v>85</v>
      </c>
      <c r="AP23" s="9" t="s">
        <v>85</v>
      </c>
      <c r="AQ23" s="30">
        <v>0.64</v>
      </c>
      <c r="AR23" s="9" t="s">
        <v>85</v>
      </c>
      <c r="AS23" s="9" t="s">
        <v>85</v>
      </c>
      <c r="AT23" s="9">
        <v>0.64</v>
      </c>
      <c r="AU23" s="9" t="s">
        <v>85</v>
      </c>
      <c r="AV23" s="9" t="s">
        <v>85</v>
      </c>
      <c r="AW23" s="9">
        <v>0.64</v>
      </c>
      <c r="AX23" s="9" t="s">
        <v>85</v>
      </c>
      <c r="AY23" s="9" t="s">
        <v>85</v>
      </c>
      <c r="AZ23" s="9">
        <v>0.64</v>
      </c>
      <c r="BA23" s="9" t="s">
        <v>85</v>
      </c>
      <c r="BB23" s="9" t="s">
        <v>85</v>
      </c>
      <c r="BC23" s="30">
        <v>0.64</v>
      </c>
      <c r="BD23" s="9" t="s">
        <v>85</v>
      </c>
      <c r="BE23" s="9" t="s">
        <v>85</v>
      </c>
      <c r="BF23" s="9">
        <v>0.64</v>
      </c>
      <c r="BG23" s="9" t="s">
        <v>85</v>
      </c>
      <c r="BH23" s="6"/>
      <c r="BI23" s="6" t="str">
        <f t="shared" si="1"/>
        <v>5B_Fold_Median</v>
      </c>
      <c r="BJ23" s="6" t="str">
        <f t="shared" si="2"/>
        <v>5B_Fold_Median</v>
      </c>
      <c r="BK23" s="6" t="str">
        <f t="shared" si="3"/>
        <v>5B_Fold_Median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</row>
    <row r="24" ht="15.75" customHeight="1">
      <c r="A24" s="1" t="s">
        <v>118</v>
      </c>
      <c r="B24" s="17">
        <v>140.0</v>
      </c>
      <c r="C24" s="9" t="s">
        <v>85</v>
      </c>
      <c r="D24" s="9">
        <v>0.913333</v>
      </c>
      <c r="E24" s="9" t="s">
        <v>85</v>
      </c>
      <c r="F24" s="9" t="s">
        <v>85</v>
      </c>
      <c r="G24" s="30">
        <v>0.914444447</v>
      </c>
      <c r="H24" s="9" t="s">
        <v>85</v>
      </c>
      <c r="I24" s="9" t="s">
        <v>85</v>
      </c>
      <c r="J24" s="9">
        <v>0.917556</v>
      </c>
      <c r="K24" s="9" t="s">
        <v>85</v>
      </c>
      <c r="L24" s="9" t="s">
        <v>85</v>
      </c>
      <c r="M24" s="9">
        <v>0.915111</v>
      </c>
      <c r="N24" s="9" t="s">
        <v>85</v>
      </c>
      <c r="O24" s="9" t="s">
        <v>85</v>
      </c>
      <c r="P24" s="9">
        <v>0.915111</v>
      </c>
      <c r="Q24" s="9" t="s">
        <v>85</v>
      </c>
      <c r="R24" s="9" t="s">
        <v>85</v>
      </c>
      <c r="S24" s="9">
        <v>0.914889</v>
      </c>
      <c r="T24" s="9" t="s">
        <v>85</v>
      </c>
      <c r="U24" s="9" t="s">
        <v>85</v>
      </c>
      <c r="V24" s="9">
        <v>0.921333</v>
      </c>
      <c r="W24" s="9" t="s">
        <v>85</v>
      </c>
      <c r="X24" s="9" t="s">
        <v>85</v>
      </c>
      <c r="Y24" s="9">
        <v>0.920222</v>
      </c>
      <c r="Z24" s="9" t="s">
        <v>85</v>
      </c>
      <c r="AA24" s="9" t="s">
        <v>85</v>
      </c>
      <c r="AB24" s="30">
        <v>0.916222</v>
      </c>
      <c r="AC24" s="9" t="s">
        <v>85</v>
      </c>
      <c r="AD24" s="9" t="s">
        <v>85</v>
      </c>
      <c r="AE24" s="30">
        <v>0.916222</v>
      </c>
      <c r="AF24" s="9" t="s">
        <v>85</v>
      </c>
      <c r="AG24" s="9" t="s">
        <v>85</v>
      </c>
      <c r="AH24" s="9">
        <v>0.920444</v>
      </c>
      <c r="AI24" s="9" t="s">
        <v>85</v>
      </c>
      <c r="AJ24" s="9" t="s">
        <v>85</v>
      </c>
      <c r="AK24" s="9">
        <v>0.920889</v>
      </c>
      <c r="AL24" s="9" t="s">
        <v>85</v>
      </c>
      <c r="AM24" s="9" t="s">
        <v>85</v>
      </c>
      <c r="AN24" s="9">
        <v>0.916667</v>
      </c>
      <c r="AO24" s="9" t="s">
        <v>85</v>
      </c>
      <c r="AP24" s="9" t="s">
        <v>85</v>
      </c>
      <c r="AQ24" s="30">
        <v>0.916</v>
      </c>
      <c r="AR24" s="9" t="s">
        <v>85</v>
      </c>
      <c r="AS24" s="9" t="s">
        <v>85</v>
      </c>
      <c r="AT24" s="9">
        <v>0.920667</v>
      </c>
      <c r="AU24" s="9" t="s">
        <v>85</v>
      </c>
      <c r="AV24" s="9" t="s">
        <v>85</v>
      </c>
      <c r="AW24" s="9">
        <v>0.920444</v>
      </c>
      <c r="AX24" s="9" t="s">
        <v>85</v>
      </c>
      <c r="AY24" s="9" t="s">
        <v>85</v>
      </c>
      <c r="AZ24" s="9">
        <v>0.914222</v>
      </c>
      <c r="BA24" s="9" t="s">
        <v>85</v>
      </c>
      <c r="BB24" s="9" t="s">
        <v>85</v>
      </c>
      <c r="BC24" s="30">
        <v>0.920444</v>
      </c>
      <c r="BD24" s="9" t="s">
        <v>85</v>
      </c>
      <c r="BE24" s="9" t="s">
        <v>85</v>
      </c>
      <c r="BF24" s="9">
        <v>0.924889</v>
      </c>
      <c r="BG24" s="9" t="s">
        <v>85</v>
      </c>
      <c r="BH24" s="6"/>
      <c r="BI24" s="6" t="str">
        <f t="shared" si="1"/>
        <v>De_Fold_Median</v>
      </c>
      <c r="BJ24" s="6" t="str">
        <f t="shared" si="2"/>
        <v>8V_Fold_Median</v>
      </c>
      <c r="BK24" s="6" t="str">
        <f t="shared" si="3"/>
        <v>10VB_Fold_Median</v>
      </c>
      <c r="BL24" s="6"/>
      <c r="BM24" s="1" t="s">
        <v>215</v>
      </c>
      <c r="BN24" s="26" t="s">
        <v>212</v>
      </c>
      <c r="BO24" s="6"/>
      <c r="BP24" s="6"/>
      <c r="BQ24" s="6"/>
      <c r="BR24" s="6"/>
      <c r="BS24" s="6"/>
      <c r="BT24" s="6"/>
      <c r="BU24" s="6"/>
      <c r="BV24" s="6"/>
      <c r="BW24" s="6"/>
      <c r="BX24" s="6"/>
    </row>
    <row r="25" ht="15.75" customHeight="1">
      <c r="A25" s="1" t="s">
        <v>119</v>
      </c>
      <c r="B25" s="17">
        <v>136.0</v>
      </c>
      <c r="C25" s="9" t="s">
        <v>85</v>
      </c>
      <c r="D25" s="9">
        <v>0.785134</v>
      </c>
      <c r="E25" s="9" t="s">
        <v>85</v>
      </c>
      <c r="F25" s="9" t="s">
        <v>85</v>
      </c>
      <c r="G25" s="30">
        <v>0.59814167</v>
      </c>
      <c r="H25" s="9" t="s">
        <v>85</v>
      </c>
      <c r="I25" s="9" t="s">
        <v>85</v>
      </c>
      <c r="J25" s="9">
        <v>0.888502</v>
      </c>
      <c r="K25" s="9" t="s">
        <v>85</v>
      </c>
      <c r="L25" s="9" t="s">
        <v>85</v>
      </c>
      <c r="M25" s="9">
        <v>0.878049</v>
      </c>
      <c r="N25" s="9" t="s">
        <v>85</v>
      </c>
      <c r="O25" s="9" t="s">
        <v>85</v>
      </c>
      <c r="P25" s="9">
        <v>0.765389</v>
      </c>
      <c r="Q25" s="9" t="s">
        <v>85</v>
      </c>
      <c r="R25" s="9" t="s">
        <v>85</v>
      </c>
      <c r="S25" s="9">
        <v>0.704994</v>
      </c>
      <c r="T25" s="9" t="s">
        <v>85</v>
      </c>
      <c r="U25" s="9" t="s">
        <v>85</v>
      </c>
      <c r="V25" s="9">
        <v>0.858304</v>
      </c>
      <c r="W25" s="9" t="s">
        <v>85</v>
      </c>
      <c r="X25" s="9" t="s">
        <v>85</v>
      </c>
      <c r="Y25" s="9">
        <v>0.826945</v>
      </c>
      <c r="Z25" s="9" t="s">
        <v>85</v>
      </c>
      <c r="AA25" s="9" t="s">
        <v>85</v>
      </c>
      <c r="AB25" s="30">
        <v>0.745645</v>
      </c>
      <c r="AC25" s="9" t="s">
        <v>85</v>
      </c>
      <c r="AD25" s="9" t="s">
        <v>85</v>
      </c>
      <c r="AE25" s="30">
        <v>0.71777</v>
      </c>
      <c r="AF25" s="9" t="s">
        <v>85</v>
      </c>
      <c r="AG25" s="9" t="s">
        <v>85</v>
      </c>
      <c r="AH25" s="9">
        <v>0.68525</v>
      </c>
      <c r="AI25" s="9" t="s">
        <v>85</v>
      </c>
      <c r="AJ25" s="9" t="s">
        <v>85</v>
      </c>
      <c r="AK25" s="9">
        <v>0.627178</v>
      </c>
      <c r="AL25" s="9" t="s">
        <v>85</v>
      </c>
      <c r="AM25" s="9" t="s">
        <v>85</v>
      </c>
      <c r="AN25" s="9">
        <v>0.807201</v>
      </c>
      <c r="AO25" s="9" t="s">
        <v>85</v>
      </c>
      <c r="AP25" s="9" t="s">
        <v>85</v>
      </c>
      <c r="AQ25" s="30">
        <v>0.735192</v>
      </c>
      <c r="AR25" s="9" t="s">
        <v>85</v>
      </c>
      <c r="AS25" s="9" t="s">
        <v>85</v>
      </c>
      <c r="AT25" s="9">
        <v>0.810685</v>
      </c>
      <c r="AU25" s="9" t="s">
        <v>85</v>
      </c>
      <c r="AV25" s="9" t="s">
        <v>85</v>
      </c>
      <c r="AW25" s="9">
        <v>0.829268</v>
      </c>
      <c r="AX25" s="9" t="s">
        <v>85</v>
      </c>
      <c r="AY25" s="9" t="s">
        <v>85</v>
      </c>
      <c r="AZ25" s="9">
        <v>0.790941</v>
      </c>
      <c r="BA25" s="9" t="s">
        <v>85</v>
      </c>
      <c r="BB25" s="9" t="s">
        <v>85</v>
      </c>
      <c r="BC25" s="30">
        <v>0.497096</v>
      </c>
      <c r="BD25" s="9" t="s">
        <v>85</v>
      </c>
      <c r="BE25" s="9" t="s">
        <v>85</v>
      </c>
      <c r="BF25" s="9">
        <v>0.745645</v>
      </c>
      <c r="BG25" s="9" t="s">
        <v>85</v>
      </c>
      <c r="BH25" s="6"/>
      <c r="BI25" s="6" t="str">
        <f t="shared" si="1"/>
        <v>5V_Fold_Median</v>
      </c>
      <c r="BJ25" s="6" t="str">
        <f t="shared" si="2"/>
        <v>5VB_Fold_Median</v>
      </c>
      <c r="BK25" s="6" t="str">
        <f t="shared" si="3"/>
        <v>8V_Fold_Median</v>
      </c>
      <c r="BL25" s="6"/>
      <c r="BN25" s="6" t="s">
        <v>221</v>
      </c>
      <c r="BO25" s="6" t="s">
        <v>222</v>
      </c>
      <c r="BP25" s="6" t="s">
        <v>223</v>
      </c>
      <c r="BQ25" s="6" t="s">
        <v>224</v>
      </c>
      <c r="BR25" s="6" t="s">
        <v>225</v>
      </c>
      <c r="BS25" s="6"/>
      <c r="BT25" s="6"/>
      <c r="BU25" s="6"/>
      <c r="BV25" s="6"/>
      <c r="BW25" s="6"/>
      <c r="BX25" s="6"/>
    </row>
    <row r="26" ht="15.75" customHeight="1">
      <c r="A26" s="1" t="s">
        <v>120</v>
      </c>
      <c r="B26" s="17">
        <v>96.0</v>
      </c>
      <c r="C26" s="9" t="s">
        <v>85</v>
      </c>
      <c r="D26" s="9">
        <v>0.630787</v>
      </c>
      <c r="E26" s="9" t="s">
        <v>85</v>
      </c>
      <c r="F26" s="9" t="s">
        <v>85</v>
      </c>
      <c r="G26" s="30">
        <v>0.556866825</v>
      </c>
      <c r="H26" s="9" t="s">
        <v>85</v>
      </c>
      <c r="I26" s="9" t="s">
        <v>85</v>
      </c>
      <c r="J26" s="9">
        <v>0.628712</v>
      </c>
      <c r="K26" s="9" t="s">
        <v>85</v>
      </c>
      <c r="L26" s="9" t="s">
        <v>85</v>
      </c>
      <c r="M26" s="9">
        <v>0.637012</v>
      </c>
      <c r="N26" s="9" t="s">
        <v>85</v>
      </c>
      <c r="O26" s="9" t="s">
        <v>85</v>
      </c>
      <c r="P26" s="9">
        <v>0.648165</v>
      </c>
      <c r="Q26" s="9" t="s">
        <v>85</v>
      </c>
      <c r="R26" s="9" t="s">
        <v>85</v>
      </c>
      <c r="S26" s="9">
        <v>0.652056</v>
      </c>
      <c r="T26" s="9" t="s">
        <v>85</v>
      </c>
      <c r="U26" s="9" t="s">
        <v>85</v>
      </c>
      <c r="V26" s="9">
        <v>0.635975</v>
      </c>
      <c r="W26" s="9" t="s">
        <v>85</v>
      </c>
      <c r="X26" s="9" t="s">
        <v>85</v>
      </c>
      <c r="Y26" s="9">
        <v>0.651277</v>
      </c>
      <c r="Z26" s="9" t="s">
        <v>85</v>
      </c>
      <c r="AA26" s="9" t="s">
        <v>85</v>
      </c>
      <c r="AB26" s="30">
        <v>0.635067</v>
      </c>
      <c r="AC26" s="9" t="s">
        <v>85</v>
      </c>
      <c r="AD26" s="9" t="s">
        <v>85</v>
      </c>
      <c r="AE26" s="30">
        <v>0.664765</v>
      </c>
      <c r="AF26" s="9" t="s">
        <v>85</v>
      </c>
      <c r="AG26" s="9" t="s">
        <v>85</v>
      </c>
      <c r="AH26" s="9">
        <v>0.651018</v>
      </c>
      <c r="AI26" s="9" t="s">
        <v>85</v>
      </c>
      <c r="AJ26" s="9" t="s">
        <v>85</v>
      </c>
      <c r="AK26" s="9">
        <v>0.638698</v>
      </c>
      <c r="AL26" s="9" t="s">
        <v>85</v>
      </c>
      <c r="AM26" s="9" t="s">
        <v>85</v>
      </c>
      <c r="AN26" s="9">
        <v>0.622487</v>
      </c>
      <c r="AO26" s="9" t="s">
        <v>85</v>
      </c>
      <c r="AP26" s="9" t="s">
        <v>85</v>
      </c>
      <c r="AQ26" s="30">
        <v>0.61328</v>
      </c>
      <c r="AR26" s="9" t="s">
        <v>85</v>
      </c>
      <c r="AS26" s="9" t="s">
        <v>85</v>
      </c>
      <c r="AT26" s="9">
        <v>0.631436</v>
      </c>
      <c r="AU26" s="9" t="s">
        <v>85</v>
      </c>
      <c r="AV26" s="9" t="s">
        <v>85</v>
      </c>
      <c r="AW26" s="9">
        <v>0.638179</v>
      </c>
      <c r="AX26" s="9" t="s">
        <v>85</v>
      </c>
      <c r="AY26" s="9" t="s">
        <v>85</v>
      </c>
      <c r="AZ26" s="9">
        <v>0.62158</v>
      </c>
      <c r="BA26" s="9" t="s">
        <v>85</v>
      </c>
      <c r="BB26" s="9" t="s">
        <v>85</v>
      </c>
      <c r="BC26" s="30">
        <v>0.641551</v>
      </c>
      <c r="BD26" s="9" t="s">
        <v>85</v>
      </c>
      <c r="BE26" s="9" t="s">
        <v>85</v>
      </c>
      <c r="BF26" s="9">
        <v>0.585657</v>
      </c>
      <c r="BG26" s="9" t="s">
        <v>85</v>
      </c>
      <c r="BH26" s="6"/>
      <c r="BI26" s="6" t="str">
        <f t="shared" si="1"/>
        <v>10BN_Fold_Median</v>
      </c>
      <c r="BJ26" s="6" t="str">
        <f t="shared" si="2"/>
        <v>8BN_Fold_Median</v>
      </c>
      <c r="BK26" s="6" t="str">
        <f t="shared" si="3"/>
        <v>8VB_Fold_Median</v>
      </c>
      <c r="BL26" s="6"/>
      <c r="BM26" s="6"/>
      <c r="BN26" s="6">
        <f>COUNTIF(B3:B118,"&lt;=100")</f>
        <v>22</v>
      </c>
      <c r="BO26" s="6">
        <f>COUNTIFS(B3:B118,"&gt;100",B3:B118,"&lt;=200")</f>
        <v>17</v>
      </c>
      <c r="BP26" s="6">
        <f>COUNTIFS(B3:B118,"&gt;200",B3:B118,"&lt;500")</f>
        <v>21</v>
      </c>
      <c r="BQ26" s="6">
        <f>COUNTIFS(B3:B118,"&gt;=500",B3:B118,"&lt;1000")</f>
        <v>20</v>
      </c>
      <c r="BR26" s="6">
        <f>COUNTIF(B3:B118,"&gt;=1000")</f>
        <v>18</v>
      </c>
      <c r="BS26" s="6"/>
      <c r="BT26" s="6"/>
      <c r="BU26" s="6"/>
      <c r="BV26" s="6"/>
      <c r="BW26" s="6"/>
      <c r="BX26" s="6"/>
    </row>
    <row r="27" ht="15.75" customHeight="1">
      <c r="A27" s="1" t="s">
        <v>121</v>
      </c>
      <c r="B27" s="17">
        <v>1751.0</v>
      </c>
      <c r="C27" s="9" t="s">
        <v>85</v>
      </c>
      <c r="D27" s="9">
        <v>0.252</v>
      </c>
      <c r="E27" s="9" t="s">
        <v>85</v>
      </c>
      <c r="F27" s="9" t="s">
        <v>85</v>
      </c>
      <c r="G27" s="30">
        <v>0.256000012</v>
      </c>
      <c r="H27" s="9" t="s">
        <v>85</v>
      </c>
      <c r="I27" s="9" t="s">
        <v>85</v>
      </c>
      <c r="J27" s="9">
        <v>0.25</v>
      </c>
      <c r="K27" s="9" t="s">
        <v>85</v>
      </c>
      <c r="L27" s="9" t="s">
        <v>85</v>
      </c>
      <c r="M27" s="9">
        <v>0.248</v>
      </c>
      <c r="N27" s="9" t="s">
        <v>85</v>
      </c>
      <c r="O27" s="9" t="s">
        <v>85</v>
      </c>
      <c r="P27" s="9">
        <v>0.284</v>
      </c>
      <c r="Q27" s="9" t="s">
        <v>85</v>
      </c>
      <c r="R27" s="9" t="s">
        <v>85</v>
      </c>
      <c r="S27" s="9">
        <v>0.248</v>
      </c>
      <c r="T27" s="9" t="s">
        <v>85</v>
      </c>
      <c r="U27" s="9" t="s">
        <v>85</v>
      </c>
      <c r="V27" s="9">
        <v>0.252</v>
      </c>
      <c r="W27" s="9" t="s">
        <v>85</v>
      </c>
      <c r="X27" s="9" t="s">
        <v>85</v>
      </c>
      <c r="Y27" s="9">
        <v>0.252</v>
      </c>
      <c r="Z27" s="9" t="s">
        <v>85</v>
      </c>
      <c r="AA27" s="9" t="s">
        <v>85</v>
      </c>
      <c r="AB27" s="30">
        <v>0.268</v>
      </c>
      <c r="AC27" s="9" t="s">
        <v>85</v>
      </c>
      <c r="AD27" s="9" t="s">
        <v>85</v>
      </c>
      <c r="AE27" s="30">
        <v>0.284</v>
      </c>
      <c r="AF27" s="9" t="s">
        <v>85</v>
      </c>
      <c r="AG27" s="9" t="s">
        <v>85</v>
      </c>
      <c r="AH27" s="9">
        <v>0.294</v>
      </c>
      <c r="AI27" s="9" t="s">
        <v>85</v>
      </c>
      <c r="AJ27" s="9" t="s">
        <v>85</v>
      </c>
      <c r="AK27" s="9">
        <v>0.356</v>
      </c>
      <c r="AL27" s="9" t="s">
        <v>85</v>
      </c>
      <c r="AM27" s="9" t="s">
        <v>85</v>
      </c>
      <c r="AN27" s="9">
        <v>0.248</v>
      </c>
      <c r="AO27" s="9" t="s">
        <v>85</v>
      </c>
      <c r="AP27" s="9" t="s">
        <v>85</v>
      </c>
      <c r="AQ27" s="30">
        <v>0.258</v>
      </c>
      <c r="AR27" s="9" t="s">
        <v>85</v>
      </c>
      <c r="AS27" s="9" t="s">
        <v>85</v>
      </c>
      <c r="AT27" s="9">
        <v>0.248</v>
      </c>
      <c r="AU27" s="9" t="s">
        <v>85</v>
      </c>
      <c r="AV27" s="9" t="s">
        <v>85</v>
      </c>
      <c r="AW27" s="9">
        <v>0.248</v>
      </c>
      <c r="AX27" s="9" t="s">
        <v>85</v>
      </c>
      <c r="AY27" s="9" t="s">
        <v>85</v>
      </c>
      <c r="AZ27" s="9">
        <v>0.248</v>
      </c>
      <c r="BA27" s="9" t="s">
        <v>85</v>
      </c>
      <c r="BB27" s="9" t="s">
        <v>85</v>
      </c>
      <c r="BC27" s="30">
        <v>0.26</v>
      </c>
      <c r="BD27" s="9" t="s">
        <v>85</v>
      </c>
      <c r="BE27" s="9" t="s">
        <v>85</v>
      </c>
      <c r="BF27" s="9">
        <v>0.314</v>
      </c>
      <c r="BG27" s="9" t="s">
        <v>85</v>
      </c>
      <c r="BH27" s="6"/>
      <c r="BI27" s="6" t="str">
        <f t="shared" si="1"/>
        <v>10VB_Fold_Median</v>
      </c>
      <c r="BJ27" s="6" t="str">
        <f t="shared" si="2"/>
        <v>De_Fold_Median</v>
      </c>
      <c r="BK27" s="6" t="str">
        <f t="shared" si="3"/>
        <v>10V_Fold_Median</v>
      </c>
      <c r="BL27" s="6"/>
      <c r="BM27" s="6" t="s">
        <v>226</v>
      </c>
      <c r="BN27" s="18">
        <f t="shared" ref="BN27:BR27" si="8">MINUS(BN26,SUM(BN28,BN29))</f>
        <v>11</v>
      </c>
      <c r="BO27" s="18">
        <f t="shared" si="8"/>
        <v>11</v>
      </c>
      <c r="BP27" s="18">
        <f t="shared" si="8"/>
        <v>9</v>
      </c>
      <c r="BQ27" s="18">
        <f t="shared" si="8"/>
        <v>15</v>
      </c>
      <c r="BR27" s="18">
        <f t="shared" si="8"/>
        <v>7</v>
      </c>
      <c r="BS27" s="6">
        <f t="shared" ref="BS27:BS29" si="9">SUM(BN27:BR27)</f>
        <v>53</v>
      </c>
      <c r="BT27" s="6"/>
      <c r="BU27" s="6"/>
      <c r="BV27" s="6"/>
      <c r="BW27" s="6"/>
      <c r="BX27" s="6"/>
    </row>
    <row r="28" ht="15.75" customHeight="1">
      <c r="A28" s="1" t="s">
        <v>122</v>
      </c>
      <c r="B28" s="17">
        <v>131.0</v>
      </c>
      <c r="C28" s="9" t="s">
        <v>85</v>
      </c>
      <c r="D28" s="9">
        <v>0.395266</v>
      </c>
      <c r="E28" s="9" t="s">
        <v>85</v>
      </c>
      <c r="F28" s="9" t="s">
        <v>85</v>
      </c>
      <c r="G28" s="30">
        <v>0.411834329</v>
      </c>
      <c r="H28" s="9" t="s">
        <v>85</v>
      </c>
      <c r="I28" s="9" t="s">
        <v>85</v>
      </c>
      <c r="J28" s="9">
        <v>0.554438</v>
      </c>
      <c r="K28" s="9" t="s">
        <v>85</v>
      </c>
      <c r="L28" s="9" t="s">
        <v>85</v>
      </c>
      <c r="M28" s="9">
        <v>0.36568</v>
      </c>
      <c r="N28" s="9" t="s">
        <v>85</v>
      </c>
      <c r="O28" s="9" t="s">
        <v>85</v>
      </c>
      <c r="P28" s="9">
        <v>0.587574</v>
      </c>
      <c r="Q28" s="9" t="s">
        <v>85</v>
      </c>
      <c r="R28" s="9" t="s">
        <v>85</v>
      </c>
      <c r="S28" s="9">
        <v>0.557396</v>
      </c>
      <c r="T28" s="9" t="s">
        <v>85</v>
      </c>
      <c r="U28" s="9" t="s">
        <v>85</v>
      </c>
      <c r="V28" s="9">
        <v>0.523077</v>
      </c>
      <c r="W28" s="9" t="s">
        <v>85</v>
      </c>
      <c r="X28" s="9" t="s">
        <v>85</v>
      </c>
      <c r="Y28" s="9">
        <v>0.443787</v>
      </c>
      <c r="Z28" s="9" t="s">
        <v>85</v>
      </c>
      <c r="AA28" s="9" t="s">
        <v>85</v>
      </c>
      <c r="AB28" s="30">
        <v>0.580473</v>
      </c>
      <c r="AC28" s="9" t="s">
        <v>85</v>
      </c>
      <c r="AD28" s="9" t="s">
        <v>85</v>
      </c>
      <c r="AE28" s="30">
        <v>0.673373</v>
      </c>
      <c r="AF28" s="9" t="s">
        <v>85</v>
      </c>
      <c r="AG28" s="9" t="s">
        <v>85</v>
      </c>
      <c r="AH28" s="9">
        <v>0.550888</v>
      </c>
      <c r="AI28" s="9" t="s">
        <v>85</v>
      </c>
      <c r="AJ28" s="9" t="s">
        <v>85</v>
      </c>
      <c r="AK28" s="9">
        <v>0.374556</v>
      </c>
      <c r="AL28" s="9" t="s">
        <v>85</v>
      </c>
      <c r="AM28" s="9" t="s">
        <v>85</v>
      </c>
      <c r="AN28" s="9">
        <v>0.591124</v>
      </c>
      <c r="AO28" s="9" t="s">
        <v>85</v>
      </c>
      <c r="AP28" s="9" t="s">
        <v>85</v>
      </c>
      <c r="AQ28" s="30">
        <v>0.629586</v>
      </c>
      <c r="AR28" s="9" t="s">
        <v>85</v>
      </c>
      <c r="AS28" s="9" t="s">
        <v>85</v>
      </c>
      <c r="AT28" s="9">
        <v>0.420118</v>
      </c>
      <c r="AU28" s="9" t="s">
        <v>85</v>
      </c>
      <c r="AV28" s="9" t="s">
        <v>85</v>
      </c>
      <c r="AW28" s="9">
        <v>0.46568</v>
      </c>
      <c r="AX28" s="9" t="s">
        <v>85</v>
      </c>
      <c r="AY28" s="9" t="s">
        <v>85</v>
      </c>
      <c r="AZ28" s="9">
        <v>0.678106</v>
      </c>
      <c r="BA28" s="9" t="s">
        <v>85</v>
      </c>
      <c r="BB28" s="9" t="s">
        <v>85</v>
      </c>
      <c r="BC28" s="30">
        <v>0.405325</v>
      </c>
      <c r="BD28" s="9" t="s">
        <v>85</v>
      </c>
      <c r="BE28" s="9" t="s">
        <v>85</v>
      </c>
      <c r="BF28" s="9">
        <v>0.300592</v>
      </c>
      <c r="BG28" s="9" t="s">
        <v>85</v>
      </c>
      <c r="BH28" s="6"/>
      <c r="BI28" s="6" t="str">
        <f t="shared" si="1"/>
        <v>20B_Fold_Median</v>
      </c>
      <c r="BJ28" s="6" t="str">
        <f t="shared" si="2"/>
        <v>10BN_Fold_Median</v>
      </c>
      <c r="BK28" s="6" t="str">
        <f t="shared" si="3"/>
        <v>12BN_Fold_Median</v>
      </c>
      <c r="BL28" s="6"/>
      <c r="BM28" s="6" t="s">
        <v>227</v>
      </c>
      <c r="BN28" s="18">
        <f>COUNTIFS(BK3:BK118,"*V*",B3:B118,"&lt;=100")</f>
        <v>11</v>
      </c>
      <c r="BO28" s="19">
        <f>COUNTIFS(BK3:BK118,"*V*",B3:B118,"&gt;100",B3:B118,"&lt;=200")</f>
        <v>6</v>
      </c>
      <c r="BP28" s="18">
        <f>COUNTIFS(BK3:BK118,"*V*",B3:B118,"&gt;200",B3:B118,"&lt;500")</f>
        <v>11</v>
      </c>
      <c r="BQ28" s="18">
        <f>COUNTIFS(BK3:BK118,"*V*",B3:B118,"&gt;=500",B3:B118,"&lt;1000")</f>
        <v>5</v>
      </c>
      <c r="BR28" s="18">
        <f>COUNTIFS(BK3:BK118,"*V*",B3:B118,"&gt;=1000")</f>
        <v>11</v>
      </c>
      <c r="BS28" s="6">
        <f t="shared" si="9"/>
        <v>44</v>
      </c>
      <c r="BT28" s="6"/>
      <c r="BU28" s="6"/>
      <c r="BV28" s="6"/>
      <c r="BW28" s="6"/>
      <c r="BX28" s="6"/>
    </row>
    <row r="29" ht="15.75" customHeight="1">
      <c r="A29" s="1" t="s">
        <v>123</v>
      </c>
      <c r="B29" s="17">
        <v>350.0</v>
      </c>
      <c r="C29" s="9" t="s">
        <v>85</v>
      </c>
      <c r="D29" s="9">
        <v>0.397727</v>
      </c>
      <c r="E29" s="9" t="s">
        <v>85</v>
      </c>
      <c r="F29" s="9" t="s">
        <v>85</v>
      </c>
      <c r="G29" s="30">
        <v>0.363636374</v>
      </c>
      <c r="H29" s="9" t="s">
        <v>85</v>
      </c>
      <c r="I29" s="9" t="s">
        <v>85</v>
      </c>
      <c r="J29" s="9">
        <v>0.522727</v>
      </c>
      <c r="K29" s="9" t="s">
        <v>85</v>
      </c>
      <c r="L29" s="9" t="s">
        <v>85</v>
      </c>
      <c r="M29" s="9">
        <v>0.545455</v>
      </c>
      <c r="N29" s="9" t="s">
        <v>85</v>
      </c>
      <c r="O29" s="9" t="s">
        <v>85</v>
      </c>
      <c r="P29" s="9">
        <v>0.409091</v>
      </c>
      <c r="Q29" s="9" t="s">
        <v>85</v>
      </c>
      <c r="R29" s="9" t="s">
        <v>85</v>
      </c>
      <c r="S29" s="9">
        <v>0.488636</v>
      </c>
      <c r="T29" s="9" t="s">
        <v>85</v>
      </c>
      <c r="U29" s="9" t="s">
        <v>85</v>
      </c>
      <c r="V29" s="9">
        <v>0.715909</v>
      </c>
      <c r="W29" s="9" t="s">
        <v>85</v>
      </c>
      <c r="X29" s="9" t="s">
        <v>85</v>
      </c>
      <c r="Y29" s="9">
        <v>0.602273</v>
      </c>
      <c r="Z29" s="9" t="s">
        <v>85</v>
      </c>
      <c r="AA29" s="9" t="s">
        <v>85</v>
      </c>
      <c r="AB29" s="30">
        <v>0.454545</v>
      </c>
      <c r="AC29" s="9" t="s">
        <v>85</v>
      </c>
      <c r="AD29" s="9" t="s">
        <v>85</v>
      </c>
      <c r="AE29" s="30">
        <v>0.477273</v>
      </c>
      <c r="AF29" s="9" t="s">
        <v>85</v>
      </c>
      <c r="AG29" s="9" t="s">
        <v>85</v>
      </c>
      <c r="AH29" s="9">
        <v>0.556818</v>
      </c>
      <c r="AI29" s="9" t="s">
        <v>85</v>
      </c>
      <c r="AJ29" s="9" t="s">
        <v>85</v>
      </c>
      <c r="AK29" s="9">
        <v>0.625</v>
      </c>
      <c r="AL29" s="9" t="s">
        <v>85</v>
      </c>
      <c r="AM29" s="9" t="s">
        <v>85</v>
      </c>
      <c r="AN29" s="9">
        <v>0.534091</v>
      </c>
      <c r="AO29" s="9" t="s">
        <v>85</v>
      </c>
      <c r="AP29" s="9" t="s">
        <v>85</v>
      </c>
      <c r="AQ29" s="30">
        <v>0.647727</v>
      </c>
      <c r="AR29" s="9" t="s">
        <v>85</v>
      </c>
      <c r="AS29" s="9" t="s">
        <v>85</v>
      </c>
      <c r="AT29" s="9">
        <v>0.545455</v>
      </c>
      <c r="AU29" s="9" t="s">
        <v>85</v>
      </c>
      <c r="AV29" s="9" t="s">
        <v>85</v>
      </c>
      <c r="AW29" s="9">
        <v>0.602273</v>
      </c>
      <c r="AX29" s="9" t="s">
        <v>85</v>
      </c>
      <c r="AY29" s="9" t="s">
        <v>85</v>
      </c>
      <c r="AZ29" s="9">
        <v>0.488636</v>
      </c>
      <c r="BA29" s="9" t="s">
        <v>85</v>
      </c>
      <c r="BB29" s="9" t="s">
        <v>85</v>
      </c>
      <c r="BC29" s="30">
        <v>0.681818</v>
      </c>
      <c r="BD29" s="9" t="s">
        <v>85</v>
      </c>
      <c r="BE29" s="9" t="s">
        <v>85</v>
      </c>
      <c r="BF29" s="9">
        <v>0.488636</v>
      </c>
      <c r="BG29" s="9" t="s">
        <v>85</v>
      </c>
      <c r="BH29" s="6"/>
      <c r="BI29" s="6" t="str">
        <f t="shared" si="1"/>
        <v>8V_Fold_Median</v>
      </c>
      <c r="BJ29" s="6" t="str">
        <f t="shared" si="2"/>
        <v>20V_Fold_Median</v>
      </c>
      <c r="BK29" s="6" t="str">
        <f t="shared" si="3"/>
        <v>12BN_Fold_Median</v>
      </c>
      <c r="BL29" s="6"/>
      <c r="BM29" s="6" t="s">
        <v>20</v>
      </c>
      <c r="BN29" s="18">
        <f>COUNTIFS(BK3:BK118,"*De*",B3:B118,"&lt;=100")</f>
        <v>0</v>
      </c>
      <c r="BO29" s="19">
        <f>COUNTIFS(BK3:BK118,"*De*",B3:B118,"&gt;100",B3:B118,"&lt;=200")</f>
        <v>0</v>
      </c>
      <c r="BP29" s="18">
        <f>COUNTIFS(BK3:BK118,"*De*",B3:B118,"&gt;200",B3:B118,"&lt;500")</f>
        <v>1</v>
      </c>
      <c r="BQ29" s="18">
        <f>COUNTIFS(BK3:BK118,"*De*",B3:B118,"&gt;=500",B3:B118,"&lt;1000")</f>
        <v>0</v>
      </c>
      <c r="BR29" s="18">
        <f>COUNTIFS(BK3:BK118,"*De*",B3:B118,"&gt;=1000")</f>
        <v>0</v>
      </c>
      <c r="BS29" s="6">
        <f t="shared" si="9"/>
        <v>1</v>
      </c>
      <c r="BT29" s="6"/>
      <c r="BU29" s="6"/>
      <c r="BV29" s="6"/>
      <c r="BW29" s="6"/>
      <c r="BX29" s="6"/>
    </row>
    <row r="30" ht="15.75" customHeight="1">
      <c r="A30" s="1" t="s">
        <v>124</v>
      </c>
      <c r="B30" s="17">
        <v>131.0</v>
      </c>
      <c r="C30" s="9" t="s">
        <v>85</v>
      </c>
      <c r="D30" s="9">
        <v>0.519024</v>
      </c>
      <c r="E30" s="9" t="s">
        <v>85</v>
      </c>
      <c r="F30" s="9" t="s">
        <v>85</v>
      </c>
      <c r="G30" s="30">
        <v>0.458048791</v>
      </c>
      <c r="H30" s="9" t="s">
        <v>85</v>
      </c>
      <c r="I30" s="9" t="s">
        <v>85</v>
      </c>
      <c r="J30" s="9">
        <v>0.581951</v>
      </c>
      <c r="K30" s="9" t="s">
        <v>85</v>
      </c>
      <c r="L30" s="9" t="s">
        <v>85</v>
      </c>
      <c r="M30" s="9">
        <v>0.556585</v>
      </c>
      <c r="N30" s="9" t="s">
        <v>85</v>
      </c>
      <c r="O30" s="9" t="s">
        <v>85</v>
      </c>
      <c r="P30" s="9">
        <v>0.625366</v>
      </c>
      <c r="Q30" s="9" t="s">
        <v>85</v>
      </c>
      <c r="R30" s="9" t="s">
        <v>85</v>
      </c>
      <c r="S30" s="9">
        <v>0.598537</v>
      </c>
      <c r="T30" s="9" t="s">
        <v>85</v>
      </c>
      <c r="U30" s="9" t="s">
        <v>85</v>
      </c>
      <c r="V30" s="9">
        <v>0.61122</v>
      </c>
      <c r="W30" s="9" t="s">
        <v>85</v>
      </c>
      <c r="X30" s="9" t="s">
        <v>85</v>
      </c>
      <c r="Y30" s="9">
        <v>0.583902</v>
      </c>
      <c r="Z30" s="9" t="s">
        <v>85</v>
      </c>
      <c r="AA30" s="9" t="s">
        <v>85</v>
      </c>
      <c r="AB30" s="30">
        <v>0.610244</v>
      </c>
      <c r="AC30" s="9" t="s">
        <v>85</v>
      </c>
      <c r="AD30" s="9" t="s">
        <v>85</v>
      </c>
      <c r="AE30" s="30">
        <v>0.640976</v>
      </c>
      <c r="AF30" s="9" t="s">
        <v>85</v>
      </c>
      <c r="AG30" s="9" t="s">
        <v>85</v>
      </c>
      <c r="AH30" s="9">
        <v>0.537073</v>
      </c>
      <c r="AI30" s="9" t="s">
        <v>85</v>
      </c>
      <c r="AJ30" s="9" t="s">
        <v>85</v>
      </c>
      <c r="AK30" s="9">
        <v>0.581463</v>
      </c>
      <c r="AL30" s="9" t="s">
        <v>85</v>
      </c>
      <c r="AM30" s="9" t="s">
        <v>85</v>
      </c>
      <c r="AN30" s="9">
        <v>0.649268</v>
      </c>
      <c r="AO30" s="9" t="s">
        <v>85</v>
      </c>
      <c r="AP30" s="9" t="s">
        <v>85</v>
      </c>
      <c r="AQ30" s="30">
        <v>0.636585</v>
      </c>
      <c r="AR30" s="9" t="s">
        <v>85</v>
      </c>
      <c r="AS30" s="9" t="s">
        <v>85</v>
      </c>
      <c r="AT30" s="9">
        <v>0.565366</v>
      </c>
      <c r="AU30" s="9" t="s">
        <v>85</v>
      </c>
      <c r="AV30" s="9" t="s">
        <v>85</v>
      </c>
      <c r="AW30" s="9">
        <v>0.61122</v>
      </c>
      <c r="AX30" s="9" t="s">
        <v>85</v>
      </c>
      <c r="AY30" s="9" t="s">
        <v>85</v>
      </c>
      <c r="AZ30" s="9">
        <v>0.687805</v>
      </c>
      <c r="BA30" s="9" t="s">
        <v>85</v>
      </c>
      <c r="BB30" s="9" t="s">
        <v>85</v>
      </c>
      <c r="BC30" s="30">
        <v>0.541463</v>
      </c>
      <c r="BD30" s="9" t="s">
        <v>85</v>
      </c>
      <c r="BE30" s="9" t="s">
        <v>85</v>
      </c>
      <c r="BF30" s="9">
        <v>0.393171</v>
      </c>
      <c r="BG30" s="9" t="s">
        <v>85</v>
      </c>
      <c r="BH30" s="6"/>
      <c r="BI30" s="6" t="str">
        <f t="shared" si="1"/>
        <v>20B_Fold_Median</v>
      </c>
      <c r="BJ30" s="6" t="str">
        <f t="shared" si="2"/>
        <v>12B_Fold_Median</v>
      </c>
      <c r="BK30" s="6" t="str">
        <f t="shared" si="3"/>
        <v>10BN_Fold_Median</v>
      </c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</row>
    <row r="31" ht="15.75" customHeight="1">
      <c r="A31" s="1" t="s">
        <v>125</v>
      </c>
      <c r="B31" s="17">
        <v>270.0</v>
      </c>
      <c r="C31" s="9" t="s">
        <v>85</v>
      </c>
      <c r="D31" s="9">
        <v>0.413187</v>
      </c>
      <c r="E31" s="9" t="s">
        <v>85</v>
      </c>
      <c r="F31" s="9" t="s">
        <v>85</v>
      </c>
      <c r="G31" s="30">
        <v>0.353846163</v>
      </c>
      <c r="H31" s="9" t="s">
        <v>85</v>
      </c>
      <c r="I31" s="9" t="s">
        <v>85</v>
      </c>
      <c r="J31" s="9">
        <v>0.386813</v>
      </c>
      <c r="K31" s="9" t="s">
        <v>85</v>
      </c>
      <c r="L31" s="9" t="s">
        <v>85</v>
      </c>
      <c r="M31" s="9">
        <v>0.373626</v>
      </c>
      <c r="N31" s="9" t="s">
        <v>85</v>
      </c>
      <c r="O31" s="9" t="s">
        <v>85</v>
      </c>
      <c r="P31" s="9">
        <v>0.446154</v>
      </c>
      <c r="Q31" s="9" t="s">
        <v>85</v>
      </c>
      <c r="R31" s="9" t="s">
        <v>85</v>
      </c>
      <c r="S31" s="9">
        <v>0.476923</v>
      </c>
      <c r="T31" s="9" t="s">
        <v>85</v>
      </c>
      <c r="U31" s="9" t="s">
        <v>85</v>
      </c>
      <c r="V31" s="9">
        <v>0.397802</v>
      </c>
      <c r="W31" s="9" t="s">
        <v>85</v>
      </c>
      <c r="X31" s="9" t="s">
        <v>85</v>
      </c>
      <c r="Y31" s="9">
        <v>0.378022</v>
      </c>
      <c r="Z31" s="9" t="s">
        <v>85</v>
      </c>
      <c r="AA31" s="9" t="s">
        <v>85</v>
      </c>
      <c r="AB31" s="30">
        <v>0.430769</v>
      </c>
      <c r="AC31" s="9" t="s">
        <v>85</v>
      </c>
      <c r="AD31" s="9" t="s">
        <v>85</v>
      </c>
      <c r="AE31" s="30">
        <v>0.432967</v>
      </c>
      <c r="AF31" s="9" t="s">
        <v>85</v>
      </c>
      <c r="AG31" s="9" t="s">
        <v>85</v>
      </c>
      <c r="AH31" s="9">
        <v>0.259341</v>
      </c>
      <c r="AI31" s="9" t="s">
        <v>85</v>
      </c>
      <c r="AJ31" s="9" t="s">
        <v>85</v>
      </c>
      <c r="AK31" s="9">
        <v>0.424176</v>
      </c>
      <c r="AL31" s="9" t="s">
        <v>85</v>
      </c>
      <c r="AM31" s="9" t="s">
        <v>85</v>
      </c>
      <c r="AN31" s="9">
        <v>0.413187</v>
      </c>
      <c r="AO31" s="9" t="s">
        <v>85</v>
      </c>
      <c r="AP31" s="9" t="s">
        <v>85</v>
      </c>
      <c r="AQ31" s="30">
        <v>0.481319</v>
      </c>
      <c r="AR31" s="9" t="s">
        <v>85</v>
      </c>
      <c r="AS31" s="9" t="s">
        <v>85</v>
      </c>
      <c r="AT31" s="9">
        <v>0.342857</v>
      </c>
      <c r="AU31" s="9" t="s">
        <v>85</v>
      </c>
      <c r="AV31" s="9" t="s">
        <v>85</v>
      </c>
      <c r="AW31" s="9">
        <v>0.336264</v>
      </c>
      <c r="AX31" s="9" t="s">
        <v>85</v>
      </c>
      <c r="AY31" s="9" t="s">
        <v>85</v>
      </c>
      <c r="AZ31" s="9">
        <v>0.373626</v>
      </c>
      <c r="BA31" s="9" t="s">
        <v>85</v>
      </c>
      <c r="BB31" s="9" t="s">
        <v>85</v>
      </c>
      <c r="BC31" s="30">
        <v>0.382418</v>
      </c>
      <c r="BD31" s="9" t="s">
        <v>85</v>
      </c>
      <c r="BE31" s="9" t="s">
        <v>85</v>
      </c>
      <c r="BF31" s="9">
        <v>0.459341</v>
      </c>
      <c r="BG31" s="9" t="s">
        <v>85</v>
      </c>
      <c r="BH31" s="6"/>
      <c r="BI31" s="6" t="str">
        <f t="shared" si="1"/>
        <v>12BN_Fold_Median</v>
      </c>
      <c r="BJ31" s="6" t="str">
        <f t="shared" si="2"/>
        <v>8BN_Fold_Median</v>
      </c>
      <c r="BK31" s="6" t="str">
        <f t="shared" si="3"/>
        <v>De_Fold_Median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</row>
    <row r="32" ht="15.75" customHeight="1">
      <c r="A32" s="1" t="s">
        <v>126</v>
      </c>
      <c r="B32" s="17">
        <v>463.0</v>
      </c>
      <c r="C32" s="9" t="s">
        <v>85</v>
      </c>
      <c r="D32" s="9">
        <v>0.514286</v>
      </c>
      <c r="E32" s="9" t="s">
        <v>85</v>
      </c>
      <c r="F32" s="9" t="s">
        <v>85</v>
      </c>
      <c r="G32" s="30">
        <v>0.497142851</v>
      </c>
      <c r="H32" s="9" t="s">
        <v>85</v>
      </c>
      <c r="I32" s="9" t="s">
        <v>85</v>
      </c>
      <c r="J32" s="9">
        <v>0.68</v>
      </c>
      <c r="K32" s="9" t="s">
        <v>85</v>
      </c>
      <c r="L32" s="9" t="s">
        <v>85</v>
      </c>
      <c r="M32" s="9">
        <v>0.651429</v>
      </c>
      <c r="N32" s="9" t="s">
        <v>85</v>
      </c>
      <c r="O32" s="9" t="s">
        <v>85</v>
      </c>
      <c r="P32" s="9">
        <v>0.577143</v>
      </c>
      <c r="Q32" s="9" t="s">
        <v>85</v>
      </c>
      <c r="R32" s="9" t="s">
        <v>85</v>
      </c>
      <c r="S32" s="9">
        <v>0.628571</v>
      </c>
      <c r="T32" s="9" t="s">
        <v>85</v>
      </c>
      <c r="U32" s="9" t="s">
        <v>85</v>
      </c>
      <c r="V32" s="9">
        <v>0.691429</v>
      </c>
      <c r="W32" s="9" t="s">
        <v>85</v>
      </c>
      <c r="X32" s="9" t="s">
        <v>85</v>
      </c>
      <c r="Y32" s="9">
        <v>0.64</v>
      </c>
      <c r="Z32" s="9" t="s">
        <v>85</v>
      </c>
      <c r="AA32" s="9" t="s">
        <v>85</v>
      </c>
      <c r="AB32" s="30">
        <v>0.577143</v>
      </c>
      <c r="AC32" s="9" t="s">
        <v>85</v>
      </c>
      <c r="AD32" s="9" t="s">
        <v>85</v>
      </c>
      <c r="AE32" s="30">
        <v>0.6</v>
      </c>
      <c r="AF32" s="9" t="s">
        <v>85</v>
      </c>
      <c r="AG32" s="9" t="s">
        <v>85</v>
      </c>
      <c r="AH32" s="9">
        <v>0.611429</v>
      </c>
      <c r="AI32" s="9" t="s">
        <v>85</v>
      </c>
      <c r="AJ32" s="9" t="s">
        <v>85</v>
      </c>
      <c r="AK32" s="9">
        <v>0.537143</v>
      </c>
      <c r="AL32" s="9" t="s">
        <v>85</v>
      </c>
      <c r="AM32" s="9" t="s">
        <v>85</v>
      </c>
      <c r="AN32" s="9">
        <v>0.588571</v>
      </c>
      <c r="AO32" s="9" t="s">
        <v>85</v>
      </c>
      <c r="AP32" s="9" t="s">
        <v>85</v>
      </c>
      <c r="AQ32" s="30">
        <v>0.554286</v>
      </c>
      <c r="AR32" s="9" t="s">
        <v>85</v>
      </c>
      <c r="AS32" s="9" t="s">
        <v>85</v>
      </c>
      <c r="AT32" s="9">
        <v>0.571429</v>
      </c>
      <c r="AU32" s="9" t="s">
        <v>85</v>
      </c>
      <c r="AV32" s="9" t="s">
        <v>85</v>
      </c>
      <c r="AW32" s="9">
        <v>0.537143</v>
      </c>
      <c r="AX32" s="9" t="s">
        <v>85</v>
      </c>
      <c r="AY32" s="9" t="s">
        <v>85</v>
      </c>
      <c r="AZ32" s="9">
        <v>0.565714</v>
      </c>
      <c r="BA32" s="9" t="s">
        <v>85</v>
      </c>
      <c r="BB32" s="9" t="s">
        <v>85</v>
      </c>
      <c r="BC32" s="30">
        <v>0.657143</v>
      </c>
      <c r="BD32" s="9" t="s">
        <v>85</v>
      </c>
      <c r="BE32" s="9" t="s">
        <v>85</v>
      </c>
      <c r="BF32" s="9">
        <v>0.554286</v>
      </c>
      <c r="BG32" s="9" t="s">
        <v>85</v>
      </c>
      <c r="BH32" s="6"/>
      <c r="BI32" s="6" t="str">
        <f t="shared" si="1"/>
        <v>8V_Fold_Median</v>
      </c>
      <c r="BJ32" s="6" t="str">
        <f t="shared" si="2"/>
        <v>5V_Fold_Median</v>
      </c>
      <c r="BK32" s="6" t="str">
        <f t="shared" si="3"/>
        <v>20V_Fold_Median</v>
      </c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</row>
    <row r="33" ht="15.75" customHeight="1">
      <c r="A33" s="1" t="s">
        <v>127</v>
      </c>
      <c r="B33" s="17">
        <v>500.0</v>
      </c>
      <c r="C33" s="9" t="s">
        <v>85</v>
      </c>
      <c r="D33" s="9">
        <v>0.484091</v>
      </c>
      <c r="E33" s="9" t="s">
        <v>85</v>
      </c>
      <c r="F33" s="9" t="s">
        <v>85</v>
      </c>
      <c r="G33" s="30">
        <v>0.484090894</v>
      </c>
      <c r="H33" s="9" t="s">
        <v>85</v>
      </c>
      <c r="I33" s="9" t="s">
        <v>85</v>
      </c>
      <c r="J33" s="9">
        <v>0.484091</v>
      </c>
      <c r="K33" s="9" t="s">
        <v>85</v>
      </c>
      <c r="L33" s="9" t="s">
        <v>85</v>
      </c>
      <c r="M33" s="9">
        <v>0.484091</v>
      </c>
      <c r="N33" s="9" t="s">
        <v>85</v>
      </c>
      <c r="O33" s="9" t="s">
        <v>85</v>
      </c>
      <c r="P33" s="9">
        <v>0.484091</v>
      </c>
      <c r="Q33" s="9" t="s">
        <v>85</v>
      </c>
      <c r="R33" s="9" t="s">
        <v>85</v>
      </c>
      <c r="S33" s="9">
        <v>0.484091</v>
      </c>
      <c r="T33" s="9" t="s">
        <v>85</v>
      </c>
      <c r="U33" s="9" t="s">
        <v>85</v>
      </c>
      <c r="V33" s="9">
        <v>0.484091</v>
      </c>
      <c r="W33" s="9" t="s">
        <v>85</v>
      </c>
      <c r="X33" s="9" t="s">
        <v>85</v>
      </c>
      <c r="Y33" s="9">
        <v>0.484091</v>
      </c>
      <c r="Z33" s="9" t="s">
        <v>85</v>
      </c>
      <c r="AA33" s="9" t="s">
        <v>85</v>
      </c>
      <c r="AB33" s="30">
        <v>0.484091</v>
      </c>
      <c r="AC33" s="9" t="s">
        <v>85</v>
      </c>
      <c r="AD33" s="9" t="s">
        <v>85</v>
      </c>
      <c r="AE33" s="30">
        <v>0.484091</v>
      </c>
      <c r="AF33" s="9" t="s">
        <v>85</v>
      </c>
      <c r="AG33" s="9" t="s">
        <v>85</v>
      </c>
      <c r="AH33" s="9">
        <v>0.484091</v>
      </c>
      <c r="AI33" s="9" t="s">
        <v>85</v>
      </c>
      <c r="AJ33" s="9" t="s">
        <v>85</v>
      </c>
      <c r="AK33" s="9">
        <v>0.484091</v>
      </c>
      <c r="AL33" s="9" t="s">
        <v>85</v>
      </c>
      <c r="AM33" s="9" t="s">
        <v>85</v>
      </c>
      <c r="AN33" s="9">
        <v>0.484091</v>
      </c>
      <c r="AO33" s="9" t="s">
        <v>85</v>
      </c>
      <c r="AP33" s="9" t="s">
        <v>85</v>
      </c>
      <c r="AQ33" s="30">
        <v>0.484091</v>
      </c>
      <c r="AR33" s="9" t="s">
        <v>85</v>
      </c>
      <c r="AS33" s="9" t="s">
        <v>85</v>
      </c>
      <c r="AT33" s="9">
        <v>0.484091</v>
      </c>
      <c r="AU33" s="9" t="s">
        <v>85</v>
      </c>
      <c r="AV33" s="9" t="s">
        <v>85</v>
      </c>
      <c r="AW33" s="9">
        <v>0.484091</v>
      </c>
      <c r="AX33" s="9" t="s">
        <v>85</v>
      </c>
      <c r="AY33" s="9" t="s">
        <v>85</v>
      </c>
      <c r="AZ33" s="9">
        <v>0.484091</v>
      </c>
      <c r="BA33" s="9" t="s">
        <v>85</v>
      </c>
      <c r="BB33" s="9" t="s">
        <v>85</v>
      </c>
      <c r="BC33" s="30">
        <v>0.484091</v>
      </c>
      <c r="BD33" s="9" t="s">
        <v>85</v>
      </c>
      <c r="BE33" s="9" t="s">
        <v>85</v>
      </c>
      <c r="BF33" s="9">
        <v>0.484091</v>
      </c>
      <c r="BG33" s="9" t="s">
        <v>85</v>
      </c>
      <c r="BH33" s="6"/>
      <c r="BI33" s="6" t="str">
        <f t="shared" si="1"/>
        <v>5B_Fold_Median</v>
      </c>
      <c r="BJ33" s="6" t="str">
        <f t="shared" si="2"/>
        <v>5B_Fold_Median</v>
      </c>
      <c r="BK33" s="6" t="str">
        <f t="shared" si="3"/>
        <v>5B_Fold_Median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</row>
    <row r="34" ht="15.75" customHeight="1">
      <c r="A34" s="14" t="s">
        <v>128</v>
      </c>
      <c r="B34" s="17">
        <v>500.0</v>
      </c>
      <c r="C34" s="9" t="s">
        <v>85</v>
      </c>
      <c r="D34" s="9">
        <v>0.504938</v>
      </c>
      <c r="E34" s="9" t="s">
        <v>85</v>
      </c>
      <c r="F34" s="9" t="s">
        <v>85</v>
      </c>
      <c r="G34" s="30">
        <v>0.504938245</v>
      </c>
      <c r="H34" s="9" t="s">
        <v>85</v>
      </c>
      <c r="I34" s="9" t="s">
        <v>85</v>
      </c>
      <c r="J34" s="9">
        <v>0.504938</v>
      </c>
      <c r="K34" s="9" t="s">
        <v>85</v>
      </c>
      <c r="L34" s="9" t="s">
        <v>85</v>
      </c>
      <c r="M34" s="9">
        <v>0.504938</v>
      </c>
      <c r="N34" s="9" t="s">
        <v>85</v>
      </c>
      <c r="O34" s="9" t="s">
        <v>85</v>
      </c>
      <c r="P34" s="9">
        <v>0.504938</v>
      </c>
      <c r="Q34" s="9" t="s">
        <v>85</v>
      </c>
      <c r="R34" s="9" t="s">
        <v>85</v>
      </c>
      <c r="S34" s="9">
        <v>0.504938</v>
      </c>
      <c r="T34" s="9" t="s">
        <v>85</v>
      </c>
      <c r="U34" s="9" t="s">
        <v>85</v>
      </c>
      <c r="V34" s="9">
        <v>0.504938</v>
      </c>
      <c r="W34" s="9" t="s">
        <v>85</v>
      </c>
      <c r="X34" s="9" t="s">
        <v>85</v>
      </c>
      <c r="Y34" s="9">
        <v>0.504938</v>
      </c>
      <c r="Z34" s="9" t="s">
        <v>85</v>
      </c>
      <c r="AA34" s="9" t="s">
        <v>85</v>
      </c>
      <c r="AB34" s="30">
        <v>0.504938</v>
      </c>
      <c r="AC34" s="9" t="s">
        <v>85</v>
      </c>
      <c r="AD34" s="9" t="s">
        <v>85</v>
      </c>
      <c r="AE34" s="30">
        <v>0.504938</v>
      </c>
      <c r="AF34" s="9" t="s">
        <v>85</v>
      </c>
      <c r="AG34" s="9" t="s">
        <v>85</v>
      </c>
      <c r="AH34" s="9">
        <v>0.504938</v>
      </c>
      <c r="AI34" s="9" t="s">
        <v>85</v>
      </c>
      <c r="AJ34" s="9" t="s">
        <v>85</v>
      </c>
      <c r="AK34" s="9">
        <v>0.504938</v>
      </c>
      <c r="AL34" s="9" t="s">
        <v>85</v>
      </c>
      <c r="AM34" s="9" t="s">
        <v>85</v>
      </c>
      <c r="AN34" s="9">
        <v>0.504938</v>
      </c>
      <c r="AO34" s="9" t="s">
        <v>85</v>
      </c>
      <c r="AP34" s="9" t="s">
        <v>85</v>
      </c>
      <c r="AQ34" s="30">
        <v>0.504938</v>
      </c>
      <c r="AR34" s="9" t="s">
        <v>85</v>
      </c>
      <c r="AS34" s="9" t="s">
        <v>85</v>
      </c>
      <c r="AT34" s="9">
        <v>0.504938</v>
      </c>
      <c r="AU34" s="9" t="s">
        <v>85</v>
      </c>
      <c r="AV34" s="9" t="s">
        <v>85</v>
      </c>
      <c r="AW34" s="9">
        <v>0.504938</v>
      </c>
      <c r="AX34" s="9" t="s">
        <v>85</v>
      </c>
      <c r="AY34" s="9" t="s">
        <v>85</v>
      </c>
      <c r="AZ34" s="9">
        <v>0.504938</v>
      </c>
      <c r="BA34" s="9" t="s">
        <v>85</v>
      </c>
      <c r="BB34" s="9" t="s">
        <v>85</v>
      </c>
      <c r="BC34" s="30">
        <v>0.504938</v>
      </c>
      <c r="BD34" s="9" t="s">
        <v>85</v>
      </c>
      <c r="BE34" s="9" t="s">
        <v>85</v>
      </c>
      <c r="BF34" s="9">
        <v>0.504938</v>
      </c>
      <c r="BG34" s="9" t="s">
        <v>85</v>
      </c>
      <c r="BH34" s="6"/>
      <c r="BI34" s="6" t="str">
        <f t="shared" si="1"/>
        <v>5BN_Fold_Median</v>
      </c>
      <c r="BJ34" s="6" t="str">
        <f t="shared" si="2"/>
        <v>5B_Fold_Median</v>
      </c>
      <c r="BK34" s="6" t="str">
        <f t="shared" si="3"/>
        <v>5B_Fold_Median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</row>
    <row r="35" ht="15.75" customHeight="1">
      <c r="A35" s="1" t="s">
        <v>129</v>
      </c>
      <c r="B35" s="17">
        <v>301.0</v>
      </c>
      <c r="C35" s="9" t="s">
        <v>85</v>
      </c>
      <c r="D35" s="9">
        <v>0.967018</v>
      </c>
      <c r="E35" s="9" t="s">
        <v>85</v>
      </c>
      <c r="F35" s="9" t="s">
        <v>85</v>
      </c>
      <c r="G35" s="30">
        <v>0.968070149</v>
      </c>
      <c r="H35" s="9" t="s">
        <v>85</v>
      </c>
      <c r="I35" s="9" t="s">
        <v>85</v>
      </c>
      <c r="J35" s="9">
        <v>0.944211</v>
      </c>
      <c r="K35" s="9" t="s">
        <v>85</v>
      </c>
      <c r="L35" s="9" t="s">
        <v>85</v>
      </c>
      <c r="M35" s="9">
        <v>0.94386</v>
      </c>
      <c r="N35" s="9" t="s">
        <v>85</v>
      </c>
      <c r="O35" s="9" t="s">
        <v>85</v>
      </c>
      <c r="P35" s="9">
        <v>0.968421</v>
      </c>
      <c r="Q35" s="9" t="s">
        <v>85</v>
      </c>
      <c r="R35" s="9" t="s">
        <v>85</v>
      </c>
      <c r="S35" s="9">
        <v>0.971228</v>
      </c>
      <c r="T35" s="9" t="s">
        <v>85</v>
      </c>
      <c r="U35" s="9" t="s">
        <v>85</v>
      </c>
      <c r="V35" s="9">
        <v>0.975088</v>
      </c>
      <c r="W35" s="9" t="s">
        <v>85</v>
      </c>
      <c r="X35" s="9" t="s">
        <v>85</v>
      </c>
      <c r="Y35" s="9">
        <v>0.969123</v>
      </c>
      <c r="Z35" s="9" t="s">
        <v>85</v>
      </c>
      <c r="AA35" s="9" t="s">
        <v>85</v>
      </c>
      <c r="AB35" s="30">
        <v>0.973333</v>
      </c>
      <c r="AC35" s="9" t="s">
        <v>85</v>
      </c>
      <c r="AD35" s="9" t="s">
        <v>85</v>
      </c>
      <c r="AE35" s="30">
        <v>0.970877</v>
      </c>
      <c r="AF35" s="9" t="s">
        <v>85</v>
      </c>
      <c r="AG35" s="9" t="s">
        <v>85</v>
      </c>
      <c r="AH35" s="9">
        <v>0.962456</v>
      </c>
      <c r="AI35" s="9" t="s">
        <v>85</v>
      </c>
      <c r="AJ35" s="9" t="s">
        <v>85</v>
      </c>
      <c r="AK35" s="9">
        <v>0.961403</v>
      </c>
      <c r="AL35" s="9" t="s">
        <v>85</v>
      </c>
      <c r="AM35" s="9" t="s">
        <v>85</v>
      </c>
      <c r="AN35" s="9">
        <v>0.970175</v>
      </c>
      <c r="AO35" s="9" t="s">
        <v>85</v>
      </c>
      <c r="AP35" s="9" t="s">
        <v>85</v>
      </c>
      <c r="AQ35" s="30">
        <v>0.970175</v>
      </c>
      <c r="AR35" s="9" t="s">
        <v>85</v>
      </c>
      <c r="AS35" s="9" t="s">
        <v>85</v>
      </c>
      <c r="AT35" s="9">
        <v>0.963158</v>
      </c>
      <c r="AU35" s="9" t="s">
        <v>85</v>
      </c>
      <c r="AV35" s="9" t="s">
        <v>85</v>
      </c>
      <c r="AW35" s="9">
        <v>0.965263</v>
      </c>
      <c r="AX35" s="9" t="s">
        <v>85</v>
      </c>
      <c r="AY35" s="9" t="s">
        <v>85</v>
      </c>
      <c r="AZ35" s="9">
        <v>0.970877</v>
      </c>
      <c r="BA35" s="9" t="s">
        <v>85</v>
      </c>
      <c r="BB35" s="9" t="s">
        <v>85</v>
      </c>
      <c r="BC35" s="30">
        <v>0.945965</v>
      </c>
      <c r="BD35" s="9" t="s">
        <v>85</v>
      </c>
      <c r="BE35" s="9" t="s">
        <v>85</v>
      </c>
      <c r="BF35" s="9">
        <v>0.817193</v>
      </c>
      <c r="BG35" s="9" t="s">
        <v>85</v>
      </c>
      <c r="BH35" s="6"/>
      <c r="BI35" s="6" t="str">
        <f t="shared" si="1"/>
        <v>8V_Fold_Median</v>
      </c>
      <c r="BJ35" s="6" t="str">
        <f t="shared" si="2"/>
        <v>10B_Fold_Median</v>
      </c>
      <c r="BK35" s="6" t="str">
        <f t="shared" si="3"/>
        <v>8BN_Fold_Median</v>
      </c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</row>
    <row r="36" ht="15.75" customHeight="1">
      <c r="A36" s="1" t="s">
        <v>130</v>
      </c>
      <c r="B36" s="17">
        <v>301.0</v>
      </c>
      <c r="C36" s="9" t="s">
        <v>85</v>
      </c>
      <c r="D36" s="9">
        <v>0.962807</v>
      </c>
      <c r="E36" s="9" t="s">
        <v>85</v>
      </c>
      <c r="F36" s="9" t="s">
        <v>85</v>
      </c>
      <c r="G36" s="30">
        <v>0.958947361</v>
      </c>
      <c r="H36" s="9" t="s">
        <v>85</v>
      </c>
      <c r="I36" s="9" t="s">
        <v>85</v>
      </c>
      <c r="J36" s="9">
        <v>0.793333</v>
      </c>
      <c r="K36" s="9" t="s">
        <v>85</v>
      </c>
      <c r="L36" s="9" t="s">
        <v>85</v>
      </c>
      <c r="M36" s="9">
        <v>0.801053</v>
      </c>
      <c r="N36" s="9" t="s">
        <v>85</v>
      </c>
      <c r="O36" s="9" t="s">
        <v>85</v>
      </c>
      <c r="P36" s="9">
        <v>0.950175</v>
      </c>
      <c r="Q36" s="9" t="s">
        <v>85</v>
      </c>
      <c r="R36" s="9" t="s">
        <v>85</v>
      </c>
      <c r="S36" s="9">
        <v>0.949825</v>
      </c>
      <c r="T36" s="9" t="s">
        <v>85</v>
      </c>
      <c r="U36" s="9" t="s">
        <v>85</v>
      </c>
      <c r="V36" s="9">
        <v>0.921404</v>
      </c>
      <c r="W36" s="9" t="s">
        <v>85</v>
      </c>
      <c r="X36" s="9" t="s">
        <v>85</v>
      </c>
      <c r="Y36" s="9">
        <v>0.910526</v>
      </c>
      <c r="Z36" s="9" t="s">
        <v>85</v>
      </c>
      <c r="AA36" s="9" t="s">
        <v>85</v>
      </c>
      <c r="AB36" s="31" t="s">
        <v>85</v>
      </c>
      <c r="AC36" s="9" t="s">
        <v>85</v>
      </c>
      <c r="AD36" s="9" t="s">
        <v>85</v>
      </c>
      <c r="AE36" s="30">
        <v>0.966316</v>
      </c>
      <c r="AF36" s="9" t="s">
        <v>85</v>
      </c>
      <c r="AG36" s="9" t="s">
        <v>85</v>
      </c>
      <c r="AH36" s="9">
        <v>0.889474</v>
      </c>
      <c r="AI36" s="9" t="s">
        <v>85</v>
      </c>
      <c r="AJ36" s="9" t="s">
        <v>85</v>
      </c>
      <c r="AK36" s="9">
        <v>0.886316</v>
      </c>
      <c r="AL36" s="9" t="s">
        <v>85</v>
      </c>
      <c r="AM36" s="9" t="s">
        <v>85</v>
      </c>
      <c r="AN36" s="9">
        <v>0.954386</v>
      </c>
      <c r="AO36" s="9" t="s">
        <v>85</v>
      </c>
      <c r="AP36" s="9" t="s">
        <v>85</v>
      </c>
      <c r="AQ36" s="30">
        <v>0.952632</v>
      </c>
      <c r="AR36" s="9" t="s">
        <v>85</v>
      </c>
      <c r="AS36" s="9" t="s">
        <v>85</v>
      </c>
      <c r="AT36" s="9">
        <v>0.782105</v>
      </c>
      <c r="AU36" s="9" t="s">
        <v>85</v>
      </c>
      <c r="AV36" s="9" t="s">
        <v>85</v>
      </c>
      <c r="AW36" s="9">
        <v>0.799649</v>
      </c>
      <c r="AX36" s="9" t="s">
        <v>85</v>
      </c>
      <c r="AY36" s="9" t="s">
        <v>85</v>
      </c>
      <c r="AZ36" s="9">
        <v>0.968772</v>
      </c>
      <c r="BA36" s="9" t="s">
        <v>85</v>
      </c>
      <c r="BB36" s="9" t="s">
        <v>85</v>
      </c>
      <c r="BC36" s="30">
        <v>0.886667</v>
      </c>
      <c r="BD36" s="9" t="s">
        <v>85</v>
      </c>
      <c r="BE36" s="9" t="s">
        <v>85</v>
      </c>
      <c r="BF36" s="9">
        <v>0.69193</v>
      </c>
      <c r="BG36" s="9" t="s">
        <v>85</v>
      </c>
      <c r="BH36" s="6"/>
      <c r="BI36" s="6" t="str">
        <f t="shared" si="1"/>
        <v>20B_Fold_Median</v>
      </c>
      <c r="BJ36" s="6" t="str">
        <f t="shared" si="2"/>
        <v>10BN_Fold_Median</v>
      </c>
      <c r="BK36" s="6" t="str">
        <f t="shared" si="3"/>
        <v>5B_Fold_Median</v>
      </c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</row>
    <row r="37" ht="15.75" customHeight="1">
      <c r="A37" s="1" t="s">
        <v>131</v>
      </c>
      <c r="B37" s="17">
        <v>150.0</v>
      </c>
      <c r="C37" s="9" t="s">
        <v>85</v>
      </c>
      <c r="D37" s="9">
        <v>0.906667</v>
      </c>
      <c r="E37" s="9" t="s">
        <v>85</v>
      </c>
      <c r="F37" s="9" t="s">
        <v>85</v>
      </c>
      <c r="G37" s="30">
        <v>0.913333356</v>
      </c>
      <c r="H37" s="9" t="s">
        <v>85</v>
      </c>
      <c r="I37" s="9" t="s">
        <v>85</v>
      </c>
      <c r="J37" s="9">
        <v>0.9</v>
      </c>
      <c r="K37" s="9" t="s">
        <v>85</v>
      </c>
      <c r="L37" s="9" t="s">
        <v>85</v>
      </c>
      <c r="M37" s="9">
        <v>0.926667</v>
      </c>
      <c r="N37" s="9" t="s">
        <v>85</v>
      </c>
      <c r="O37" s="9" t="s">
        <v>85</v>
      </c>
      <c r="P37" s="9">
        <v>0.946667</v>
      </c>
      <c r="Q37" s="9" t="s">
        <v>85</v>
      </c>
      <c r="R37" s="9" t="s">
        <v>85</v>
      </c>
      <c r="S37" s="9">
        <v>0.94</v>
      </c>
      <c r="T37" s="9" t="s">
        <v>85</v>
      </c>
      <c r="U37" s="9" t="s">
        <v>85</v>
      </c>
      <c r="V37" s="9">
        <v>0.84</v>
      </c>
      <c r="W37" s="9" t="s">
        <v>85</v>
      </c>
      <c r="X37" s="9" t="s">
        <v>85</v>
      </c>
      <c r="Y37" s="9">
        <v>0.813333</v>
      </c>
      <c r="Z37" s="9" t="s">
        <v>85</v>
      </c>
      <c r="AA37" s="9" t="s">
        <v>85</v>
      </c>
      <c r="AB37" s="30">
        <v>0.933333</v>
      </c>
      <c r="AC37" s="9" t="s">
        <v>85</v>
      </c>
      <c r="AD37" s="9" t="s">
        <v>85</v>
      </c>
      <c r="AE37" s="30">
        <v>0.92</v>
      </c>
      <c r="AF37" s="9" t="s">
        <v>85</v>
      </c>
      <c r="AG37" s="9" t="s">
        <v>85</v>
      </c>
      <c r="AH37" s="9">
        <v>0.826667</v>
      </c>
      <c r="AI37" s="9" t="s">
        <v>85</v>
      </c>
      <c r="AJ37" s="9" t="s">
        <v>85</v>
      </c>
      <c r="AK37" s="9">
        <v>0.833333</v>
      </c>
      <c r="AL37" s="9" t="s">
        <v>85</v>
      </c>
      <c r="AM37" s="9" t="s">
        <v>85</v>
      </c>
      <c r="AN37" s="9">
        <v>0.953333</v>
      </c>
      <c r="AO37" s="9" t="s">
        <v>85</v>
      </c>
      <c r="AP37" s="9" t="s">
        <v>85</v>
      </c>
      <c r="AQ37" s="30">
        <v>0.94</v>
      </c>
      <c r="AR37" s="9" t="s">
        <v>85</v>
      </c>
      <c r="AS37" s="9" t="s">
        <v>85</v>
      </c>
      <c r="AT37" s="9">
        <v>0.873333</v>
      </c>
      <c r="AU37" s="9" t="s">
        <v>85</v>
      </c>
      <c r="AV37" s="9" t="s">
        <v>85</v>
      </c>
      <c r="AW37" s="9">
        <v>0.853333</v>
      </c>
      <c r="AX37" s="9" t="s">
        <v>85</v>
      </c>
      <c r="AY37" s="9" t="s">
        <v>85</v>
      </c>
      <c r="AZ37" s="9">
        <v>0.92</v>
      </c>
      <c r="BA37" s="9" t="s">
        <v>85</v>
      </c>
      <c r="BB37" s="9" t="s">
        <v>85</v>
      </c>
      <c r="BC37" s="30">
        <v>0.893333</v>
      </c>
      <c r="BD37" s="9" t="s">
        <v>85</v>
      </c>
      <c r="BE37" s="9" t="s">
        <v>85</v>
      </c>
      <c r="BF37" s="9">
        <v>0.786667</v>
      </c>
      <c r="BG37" s="9" t="s">
        <v>85</v>
      </c>
      <c r="BH37" s="6"/>
      <c r="BI37" s="6" t="str">
        <f t="shared" si="1"/>
        <v>12B_Fold_Median</v>
      </c>
      <c r="BJ37" s="6" t="str">
        <f t="shared" si="2"/>
        <v>8B_Fold_Median</v>
      </c>
      <c r="BK37" s="6" t="str">
        <f t="shared" si="3"/>
        <v>8BN_Fold_Median</v>
      </c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</row>
    <row r="38" ht="15.75" customHeight="1">
      <c r="A38" s="1" t="s">
        <v>132</v>
      </c>
      <c r="B38" s="17">
        <v>150.0</v>
      </c>
      <c r="C38" s="9" t="s">
        <v>85</v>
      </c>
      <c r="D38" s="9">
        <v>0.955696</v>
      </c>
      <c r="E38" s="9" t="s">
        <v>85</v>
      </c>
      <c r="F38" s="9" t="s">
        <v>85</v>
      </c>
      <c r="G38" s="30">
        <v>0.946202517</v>
      </c>
      <c r="H38" s="9" t="s">
        <v>85</v>
      </c>
      <c r="I38" s="9" t="s">
        <v>85</v>
      </c>
      <c r="J38" s="9">
        <v>0.936709</v>
      </c>
      <c r="K38" s="9" t="s">
        <v>85</v>
      </c>
      <c r="L38" s="9" t="s">
        <v>85</v>
      </c>
      <c r="M38" s="9">
        <v>0.946203</v>
      </c>
      <c r="N38" s="9" t="s">
        <v>85</v>
      </c>
      <c r="O38" s="9" t="s">
        <v>85</v>
      </c>
      <c r="P38" s="9">
        <v>0.946203</v>
      </c>
      <c r="Q38" s="9" t="s">
        <v>85</v>
      </c>
      <c r="R38" s="9" t="s">
        <v>85</v>
      </c>
      <c r="S38" s="9">
        <v>0.955696</v>
      </c>
      <c r="T38" s="9" t="s">
        <v>85</v>
      </c>
      <c r="U38" s="9" t="s">
        <v>85</v>
      </c>
      <c r="V38" s="9">
        <v>0.89557</v>
      </c>
      <c r="W38" s="9" t="s">
        <v>85</v>
      </c>
      <c r="X38" s="9" t="s">
        <v>85</v>
      </c>
      <c r="Y38" s="9">
        <v>0.898734</v>
      </c>
      <c r="Z38" s="9" t="s">
        <v>85</v>
      </c>
      <c r="AA38" s="9" t="s">
        <v>85</v>
      </c>
      <c r="AB38" s="30">
        <v>0.936709</v>
      </c>
      <c r="AC38" s="9" t="s">
        <v>85</v>
      </c>
      <c r="AD38" s="9" t="s">
        <v>85</v>
      </c>
      <c r="AE38" s="30">
        <v>0.939873</v>
      </c>
      <c r="AF38" s="9" t="s">
        <v>85</v>
      </c>
      <c r="AG38" s="9" t="s">
        <v>85</v>
      </c>
      <c r="AH38" s="9">
        <v>0.908228</v>
      </c>
      <c r="AI38" s="9" t="s">
        <v>85</v>
      </c>
      <c r="AJ38" s="9" t="s">
        <v>85</v>
      </c>
      <c r="AK38" s="9">
        <v>0.914557</v>
      </c>
      <c r="AL38" s="9" t="s">
        <v>85</v>
      </c>
      <c r="AM38" s="9" t="s">
        <v>85</v>
      </c>
      <c r="AN38" s="9">
        <v>0.93038</v>
      </c>
      <c r="AO38" s="9" t="s">
        <v>85</v>
      </c>
      <c r="AP38" s="9" t="s">
        <v>85</v>
      </c>
      <c r="AQ38" s="30">
        <v>0.93038</v>
      </c>
      <c r="AR38" s="9" t="s">
        <v>85</v>
      </c>
      <c r="AS38" s="9" t="s">
        <v>85</v>
      </c>
      <c r="AT38" s="9">
        <v>0.917722</v>
      </c>
      <c r="AU38" s="9" t="s">
        <v>85</v>
      </c>
      <c r="AV38" s="9" t="s">
        <v>85</v>
      </c>
      <c r="AW38" s="9">
        <v>0.914557</v>
      </c>
      <c r="AX38" s="9" t="s">
        <v>85</v>
      </c>
      <c r="AY38" s="9" t="s">
        <v>85</v>
      </c>
      <c r="AZ38" s="9">
        <v>0.920886</v>
      </c>
      <c r="BA38" s="9" t="s">
        <v>85</v>
      </c>
      <c r="BB38" s="9" t="s">
        <v>85</v>
      </c>
      <c r="BC38" s="30">
        <v>0.920886</v>
      </c>
      <c r="BD38" s="9" t="s">
        <v>85</v>
      </c>
      <c r="BE38" s="9" t="s">
        <v>85</v>
      </c>
      <c r="BF38" s="9">
        <v>0.506329</v>
      </c>
      <c r="BG38" s="9" t="s">
        <v>85</v>
      </c>
      <c r="BH38" s="6"/>
      <c r="BI38" s="6" t="str">
        <f t="shared" si="1"/>
        <v>5B_Fold_Median</v>
      </c>
      <c r="BJ38" s="6" t="str">
        <f t="shared" si="2"/>
        <v>5B_Fold_Median</v>
      </c>
      <c r="BK38" s="6" t="str">
        <f t="shared" si="3"/>
        <v>5VB_Fold_Median</v>
      </c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</row>
    <row r="39" ht="15.75" customHeight="1">
      <c r="A39" s="1" t="s">
        <v>133</v>
      </c>
      <c r="B39" s="17">
        <v>150.0</v>
      </c>
      <c r="C39" s="9" t="s">
        <v>85</v>
      </c>
      <c r="D39" s="9">
        <v>0.96519</v>
      </c>
      <c r="E39" s="9" t="s">
        <v>85</v>
      </c>
      <c r="F39" s="9" t="s">
        <v>85</v>
      </c>
      <c r="G39" s="30">
        <v>0.958860755</v>
      </c>
      <c r="H39" s="9" t="s">
        <v>85</v>
      </c>
      <c r="I39" s="9" t="s">
        <v>85</v>
      </c>
      <c r="J39" s="9">
        <v>0.946203</v>
      </c>
      <c r="K39" s="9" t="s">
        <v>85</v>
      </c>
      <c r="L39" s="9" t="s">
        <v>85</v>
      </c>
      <c r="M39" s="9">
        <v>0.96519</v>
      </c>
      <c r="N39" s="9" t="s">
        <v>85</v>
      </c>
      <c r="O39" s="9" t="s">
        <v>85</v>
      </c>
      <c r="P39" s="9">
        <v>0.977848</v>
      </c>
      <c r="Q39" s="9" t="s">
        <v>85</v>
      </c>
      <c r="R39" s="9" t="s">
        <v>85</v>
      </c>
      <c r="S39" s="9">
        <v>0.974684</v>
      </c>
      <c r="T39" s="9" t="s">
        <v>85</v>
      </c>
      <c r="U39" s="9" t="s">
        <v>85</v>
      </c>
      <c r="V39" s="9">
        <v>0.949367</v>
      </c>
      <c r="W39" s="9" t="s">
        <v>85</v>
      </c>
      <c r="X39" s="9" t="s">
        <v>85</v>
      </c>
      <c r="Y39" s="9">
        <v>0.958861</v>
      </c>
      <c r="Z39" s="9" t="s">
        <v>85</v>
      </c>
      <c r="AA39" s="9" t="s">
        <v>85</v>
      </c>
      <c r="AB39" s="30">
        <v>0.987342</v>
      </c>
      <c r="AC39" s="9" t="s">
        <v>85</v>
      </c>
      <c r="AD39" s="9" t="s">
        <v>85</v>
      </c>
      <c r="AE39" s="30">
        <v>0.981013</v>
      </c>
      <c r="AF39" s="9" t="s">
        <v>85</v>
      </c>
      <c r="AG39" s="9" t="s">
        <v>85</v>
      </c>
      <c r="AH39" s="9">
        <v>0.974684</v>
      </c>
      <c r="AI39" s="9" t="s">
        <v>85</v>
      </c>
      <c r="AJ39" s="9" t="s">
        <v>85</v>
      </c>
      <c r="AK39" s="9">
        <v>0.968354</v>
      </c>
      <c r="AL39" s="9" t="s">
        <v>85</v>
      </c>
      <c r="AM39" s="9" t="s">
        <v>85</v>
      </c>
      <c r="AN39" s="9">
        <v>0.96519</v>
      </c>
      <c r="AO39" s="9" t="s">
        <v>85</v>
      </c>
      <c r="AP39" s="9" t="s">
        <v>85</v>
      </c>
      <c r="AQ39" s="30">
        <v>0.968354</v>
      </c>
      <c r="AR39" s="9" t="s">
        <v>85</v>
      </c>
      <c r="AS39" s="9" t="s">
        <v>85</v>
      </c>
      <c r="AT39" s="9">
        <v>0.987342</v>
      </c>
      <c r="AU39" s="9" t="s">
        <v>85</v>
      </c>
      <c r="AV39" s="9" t="s">
        <v>85</v>
      </c>
      <c r="AW39" s="9">
        <v>0.987342</v>
      </c>
      <c r="AX39" s="9" t="s">
        <v>85</v>
      </c>
      <c r="AY39" s="9" t="s">
        <v>85</v>
      </c>
      <c r="AZ39" s="9">
        <v>0.968354</v>
      </c>
      <c r="BA39" s="9" t="s">
        <v>85</v>
      </c>
      <c r="BB39" s="9" t="s">
        <v>85</v>
      </c>
      <c r="BC39" s="30">
        <v>0.96519</v>
      </c>
      <c r="BD39" s="9" t="s">
        <v>85</v>
      </c>
      <c r="BE39" s="9" t="s">
        <v>85</v>
      </c>
      <c r="BF39" s="9">
        <v>0.525316</v>
      </c>
      <c r="BG39" s="9" t="s">
        <v>85</v>
      </c>
      <c r="BH39" s="6"/>
      <c r="BI39" s="6" t="str">
        <f t="shared" si="1"/>
        <v>10B_Fold_Median</v>
      </c>
      <c r="BJ39" s="6" t="str">
        <f t="shared" si="2"/>
        <v>10B_Fold_Median</v>
      </c>
      <c r="BK39" s="6" t="str">
        <f t="shared" si="3"/>
        <v>10B_Fold_Median</v>
      </c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</row>
    <row r="40" ht="15.75" customHeight="1">
      <c r="A40" s="1" t="s">
        <v>134</v>
      </c>
      <c r="B40" s="17">
        <v>150.0</v>
      </c>
      <c r="C40" s="9" t="s">
        <v>85</v>
      </c>
      <c r="D40" s="9">
        <v>0.968254</v>
      </c>
      <c r="E40" s="9" t="s">
        <v>85</v>
      </c>
      <c r="F40" s="9" t="s">
        <v>85</v>
      </c>
      <c r="G40" s="30">
        <v>0.965079367</v>
      </c>
      <c r="H40" s="9" t="s">
        <v>85</v>
      </c>
      <c r="I40" s="9" t="s">
        <v>85</v>
      </c>
      <c r="J40" s="9">
        <v>0.942857</v>
      </c>
      <c r="K40" s="9" t="s">
        <v>85</v>
      </c>
      <c r="L40" s="9" t="s">
        <v>85</v>
      </c>
      <c r="M40" s="9">
        <v>0.936508</v>
      </c>
      <c r="N40" s="9" t="s">
        <v>85</v>
      </c>
      <c r="O40" s="9" t="s">
        <v>85</v>
      </c>
      <c r="P40" s="9">
        <v>0.936508</v>
      </c>
      <c r="Q40" s="9" t="s">
        <v>85</v>
      </c>
      <c r="R40" s="9" t="s">
        <v>85</v>
      </c>
      <c r="S40" s="9">
        <v>0.936508</v>
      </c>
      <c r="T40" s="9" t="s">
        <v>85</v>
      </c>
      <c r="U40" s="9" t="s">
        <v>85</v>
      </c>
      <c r="V40" s="9">
        <v>0.936508</v>
      </c>
      <c r="W40" s="9" t="s">
        <v>85</v>
      </c>
      <c r="X40" s="9" t="s">
        <v>85</v>
      </c>
      <c r="Y40" s="9">
        <v>0.933333</v>
      </c>
      <c r="Z40" s="9" t="s">
        <v>85</v>
      </c>
      <c r="AA40" s="9" t="s">
        <v>85</v>
      </c>
      <c r="AB40" s="30">
        <v>0.949206</v>
      </c>
      <c r="AC40" s="9" t="s">
        <v>85</v>
      </c>
      <c r="AD40" s="9" t="s">
        <v>85</v>
      </c>
      <c r="AE40" s="30">
        <v>0.952381</v>
      </c>
      <c r="AF40" s="9" t="s">
        <v>85</v>
      </c>
      <c r="AG40" s="9" t="s">
        <v>85</v>
      </c>
      <c r="AH40" s="9">
        <v>0.914286</v>
      </c>
      <c r="AI40" s="9" t="s">
        <v>85</v>
      </c>
      <c r="AJ40" s="9" t="s">
        <v>85</v>
      </c>
      <c r="AK40" s="9">
        <v>0.91746</v>
      </c>
      <c r="AL40" s="9" t="s">
        <v>85</v>
      </c>
      <c r="AM40" s="9" t="s">
        <v>85</v>
      </c>
      <c r="AN40" s="9">
        <v>0.95873</v>
      </c>
      <c r="AO40" s="9" t="s">
        <v>85</v>
      </c>
      <c r="AP40" s="9" t="s">
        <v>85</v>
      </c>
      <c r="AQ40" s="30">
        <v>0.946032</v>
      </c>
      <c r="AR40" s="9" t="s">
        <v>85</v>
      </c>
      <c r="AS40" s="9" t="s">
        <v>85</v>
      </c>
      <c r="AT40" s="9">
        <v>0.91746</v>
      </c>
      <c r="AU40" s="9" t="s">
        <v>85</v>
      </c>
      <c r="AV40" s="9" t="s">
        <v>85</v>
      </c>
      <c r="AW40" s="9">
        <v>0.911111</v>
      </c>
      <c r="AX40" s="9" t="s">
        <v>85</v>
      </c>
      <c r="AY40" s="9" t="s">
        <v>85</v>
      </c>
      <c r="AZ40" s="9">
        <v>0.946032</v>
      </c>
      <c r="BA40" s="9" t="s">
        <v>85</v>
      </c>
      <c r="BB40" s="9" t="s">
        <v>85</v>
      </c>
      <c r="BC40" s="30">
        <v>0.91746</v>
      </c>
      <c r="BD40" s="9" t="s">
        <v>85</v>
      </c>
      <c r="BE40" s="9" t="s">
        <v>85</v>
      </c>
      <c r="BF40" s="9">
        <v>0.52381</v>
      </c>
      <c r="BG40" s="9" t="s">
        <v>85</v>
      </c>
      <c r="BH40" s="6"/>
      <c r="BI40" s="6" t="str">
        <f t="shared" si="1"/>
        <v>5B_Fold_Median</v>
      </c>
      <c r="BJ40" s="6" t="str">
        <f t="shared" si="2"/>
        <v>5BN_Fold_Median</v>
      </c>
      <c r="BK40" s="6" t="str">
        <f t="shared" si="3"/>
        <v>12B_Fold_Median</v>
      </c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</row>
    <row r="41" ht="15.75" customHeight="1">
      <c r="A41" s="1" t="s">
        <v>135</v>
      </c>
      <c r="B41" s="17">
        <v>431.0</v>
      </c>
      <c r="C41" s="9" t="s">
        <v>85</v>
      </c>
      <c r="D41" s="9">
        <v>0.542857</v>
      </c>
      <c r="E41" s="9" t="s">
        <v>85</v>
      </c>
      <c r="F41" s="9" t="s">
        <v>85</v>
      </c>
      <c r="G41" s="30">
        <v>0.45714286</v>
      </c>
      <c r="H41" s="9" t="s">
        <v>85</v>
      </c>
      <c r="I41" s="9" t="s">
        <v>85</v>
      </c>
      <c r="J41" s="9">
        <v>0.514286</v>
      </c>
      <c r="K41" s="9" t="s">
        <v>85</v>
      </c>
      <c r="L41" s="9" t="s">
        <v>85</v>
      </c>
      <c r="M41" s="9">
        <v>0.495238</v>
      </c>
      <c r="N41" s="9" t="s">
        <v>85</v>
      </c>
      <c r="O41" s="9" t="s">
        <v>85</v>
      </c>
      <c r="P41" s="9">
        <v>0.561905</v>
      </c>
      <c r="Q41" s="9" t="s">
        <v>85</v>
      </c>
      <c r="R41" s="9" t="s">
        <v>85</v>
      </c>
      <c r="S41" s="9">
        <v>0.533333</v>
      </c>
      <c r="T41" s="9" t="s">
        <v>85</v>
      </c>
      <c r="U41" s="9" t="s">
        <v>85</v>
      </c>
      <c r="V41" s="9">
        <v>0.561905</v>
      </c>
      <c r="W41" s="9" t="s">
        <v>85</v>
      </c>
      <c r="X41" s="9" t="s">
        <v>85</v>
      </c>
      <c r="Y41" s="9">
        <v>0.561905</v>
      </c>
      <c r="Z41" s="9" t="s">
        <v>85</v>
      </c>
      <c r="AA41" s="9" t="s">
        <v>85</v>
      </c>
      <c r="AB41" s="30">
        <v>0.571429</v>
      </c>
      <c r="AC41" s="9" t="s">
        <v>85</v>
      </c>
      <c r="AD41" s="9" t="s">
        <v>85</v>
      </c>
      <c r="AE41" s="30">
        <v>0.571429</v>
      </c>
      <c r="AF41" s="9" t="s">
        <v>85</v>
      </c>
      <c r="AG41" s="9" t="s">
        <v>85</v>
      </c>
      <c r="AH41" s="9">
        <v>0.628571</v>
      </c>
      <c r="AI41" s="9" t="s">
        <v>85</v>
      </c>
      <c r="AJ41" s="9" t="s">
        <v>85</v>
      </c>
      <c r="AK41" s="9">
        <v>0.647619</v>
      </c>
      <c r="AL41" s="9" t="s">
        <v>85</v>
      </c>
      <c r="AM41" s="9" t="s">
        <v>85</v>
      </c>
      <c r="AN41" s="9">
        <v>0.552381</v>
      </c>
      <c r="AO41" s="9" t="s">
        <v>85</v>
      </c>
      <c r="AP41" s="9" t="s">
        <v>85</v>
      </c>
      <c r="AQ41" s="30">
        <v>0.561905</v>
      </c>
      <c r="AR41" s="9" t="s">
        <v>85</v>
      </c>
      <c r="AS41" s="9" t="s">
        <v>85</v>
      </c>
      <c r="AT41" s="9">
        <v>0.609524</v>
      </c>
      <c r="AU41" s="9" t="s">
        <v>85</v>
      </c>
      <c r="AV41" s="9" t="s">
        <v>85</v>
      </c>
      <c r="AW41" s="9">
        <v>0.628571</v>
      </c>
      <c r="AX41" s="9" t="s">
        <v>85</v>
      </c>
      <c r="AY41" s="9" t="s">
        <v>85</v>
      </c>
      <c r="AZ41" s="9">
        <v>0.619048</v>
      </c>
      <c r="BA41" s="9" t="s">
        <v>85</v>
      </c>
      <c r="BB41" s="9" t="s">
        <v>85</v>
      </c>
      <c r="BC41" s="30">
        <v>0.609524</v>
      </c>
      <c r="BD41" s="9" t="s">
        <v>85</v>
      </c>
      <c r="BE41" s="9" t="s">
        <v>85</v>
      </c>
      <c r="BF41" s="9">
        <v>0.761905</v>
      </c>
      <c r="BG41" s="9" t="s">
        <v>85</v>
      </c>
      <c r="BH41" s="6"/>
      <c r="BI41" s="6" t="str">
        <f t="shared" si="1"/>
        <v>De_Fold_Median</v>
      </c>
      <c r="BJ41" s="6" t="str">
        <f t="shared" si="2"/>
        <v>10VB_Fold_Median</v>
      </c>
      <c r="BK41" s="6" t="str">
        <f t="shared" si="3"/>
        <v>10V_Fold_Median</v>
      </c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</row>
    <row r="42" ht="15.75" customHeight="1">
      <c r="A42" s="1" t="s">
        <v>136</v>
      </c>
      <c r="B42" s="17">
        <v>1092.0</v>
      </c>
      <c r="C42" s="9" t="s">
        <v>85</v>
      </c>
      <c r="D42" s="9">
        <v>0.38961</v>
      </c>
      <c r="E42" s="9" t="s">
        <v>85</v>
      </c>
      <c r="F42" s="9" t="s">
        <v>85</v>
      </c>
      <c r="G42" s="30">
        <v>0.344155848</v>
      </c>
      <c r="H42" s="9" t="s">
        <v>85</v>
      </c>
      <c r="I42" s="9" t="s">
        <v>85</v>
      </c>
      <c r="J42" s="9">
        <v>0.357143</v>
      </c>
      <c r="K42" s="9" t="s">
        <v>85</v>
      </c>
      <c r="L42" s="9" t="s">
        <v>85</v>
      </c>
      <c r="M42" s="9">
        <v>0.337662</v>
      </c>
      <c r="N42" s="9" t="s">
        <v>85</v>
      </c>
      <c r="O42" s="9" t="s">
        <v>85</v>
      </c>
      <c r="P42" s="9">
        <v>0.399351</v>
      </c>
      <c r="Q42" s="9" t="s">
        <v>85</v>
      </c>
      <c r="R42" s="9" t="s">
        <v>85</v>
      </c>
      <c r="S42" s="9">
        <v>0.409091</v>
      </c>
      <c r="T42" s="9" t="s">
        <v>85</v>
      </c>
      <c r="U42" s="9" t="s">
        <v>85</v>
      </c>
      <c r="V42" s="9">
        <v>0.405844</v>
      </c>
      <c r="W42" s="9" t="s">
        <v>85</v>
      </c>
      <c r="X42" s="9" t="s">
        <v>85</v>
      </c>
      <c r="Y42" s="9">
        <v>0.38961</v>
      </c>
      <c r="Z42" s="9" t="s">
        <v>85</v>
      </c>
      <c r="AA42" s="9" t="s">
        <v>85</v>
      </c>
      <c r="AB42" s="30">
        <v>0.366883</v>
      </c>
      <c r="AC42" s="9" t="s">
        <v>85</v>
      </c>
      <c r="AD42" s="9" t="s">
        <v>85</v>
      </c>
      <c r="AE42" s="30">
        <v>0.418831</v>
      </c>
      <c r="AF42" s="9" t="s">
        <v>85</v>
      </c>
      <c r="AG42" s="9" t="s">
        <v>85</v>
      </c>
      <c r="AH42" s="9">
        <v>0.405844</v>
      </c>
      <c r="AI42" s="9" t="s">
        <v>85</v>
      </c>
      <c r="AJ42" s="9" t="s">
        <v>85</v>
      </c>
      <c r="AK42" s="9">
        <v>0.422078</v>
      </c>
      <c r="AL42" s="9" t="s">
        <v>85</v>
      </c>
      <c r="AM42" s="9" t="s">
        <v>85</v>
      </c>
      <c r="AN42" s="9">
        <v>0.431818</v>
      </c>
      <c r="AO42" s="9" t="s">
        <v>85</v>
      </c>
      <c r="AP42" s="9" t="s">
        <v>85</v>
      </c>
      <c r="AQ42" s="30">
        <v>0.422078</v>
      </c>
      <c r="AR42" s="9" t="s">
        <v>85</v>
      </c>
      <c r="AS42" s="9" t="s">
        <v>85</v>
      </c>
      <c r="AT42" s="9">
        <v>0.396104</v>
      </c>
      <c r="AU42" s="9" t="s">
        <v>85</v>
      </c>
      <c r="AV42" s="9" t="s">
        <v>85</v>
      </c>
      <c r="AW42" s="9">
        <v>0.405844</v>
      </c>
      <c r="AX42" s="9" t="s">
        <v>85</v>
      </c>
      <c r="AY42" s="9" t="s">
        <v>85</v>
      </c>
      <c r="AZ42" s="9">
        <v>0.409091</v>
      </c>
      <c r="BA42" s="9" t="s">
        <v>85</v>
      </c>
      <c r="BB42" s="9" t="s">
        <v>85</v>
      </c>
      <c r="BC42" s="30">
        <v>0.454545</v>
      </c>
      <c r="BD42" s="9" t="s">
        <v>85</v>
      </c>
      <c r="BE42" s="9" t="s">
        <v>85</v>
      </c>
      <c r="BF42" s="9">
        <v>0.415584</v>
      </c>
      <c r="BG42" s="9" t="s">
        <v>85</v>
      </c>
      <c r="BH42" s="6"/>
      <c r="BI42" s="6" t="str">
        <f t="shared" si="1"/>
        <v>20V_Fold_Median</v>
      </c>
      <c r="BJ42" s="6" t="str">
        <f t="shared" si="2"/>
        <v>12B_Fold_Median</v>
      </c>
      <c r="BK42" s="6" t="str">
        <f t="shared" si="3"/>
        <v>10VB_Fold_Median</v>
      </c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</row>
    <row r="43" ht="15.75" customHeight="1">
      <c r="A43" s="1" t="s">
        <v>137</v>
      </c>
      <c r="B43" s="17">
        <v>512.0</v>
      </c>
      <c r="C43" s="9" t="s">
        <v>85</v>
      </c>
      <c r="D43" s="9">
        <v>0.5625</v>
      </c>
      <c r="E43" s="9" t="s">
        <v>85</v>
      </c>
      <c r="F43" s="9" t="s">
        <v>85</v>
      </c>
      <c r="G43" s="30">
        <v>0.59375</v>
      </c>
      <c r="H43" s="9" t="s">
        <v>85</v>
      </c>
      <c r="I43" s="9" t="s">
        <v>85</v>
      </c>
      <c r="J43" s="9">
        <v>0.53125</v>
      </c>
      <c r="K43" s="9" t="s">
        <v>85</v>
      </c>
      <c r="L43" s="9" t="s">
        <v>85</v>
      </c>
      <c r="M43" s="9">
        <v>0.578125</v>
      </c>
      <c r="N43" s="9" t="s">
        <v>85</v>
      </c>
      <c r="O43" s="9" t="s">
        <v>85</v>
      </c>
      <c r="P43" s="9">
        <v>0.546875</v>
      </c>
      <c r="Q43" s="9" t="s">
        <v>85</v>
      </c>
      <c r="R43" s="9" t="s">
        <v>85</v>
      </c>
      <c r="S43" s="9">
        <v>0.53125</v>
      </c>
      <c r="T43" s="9" t="s">
        <v>85</v>
      </c>
      <c r="U43" s="9" t="s">
        <v>85</v>
      </c>
      <c r="V43" s="9">
        <v>0.5625</v>
      </c>
      <c r="W43" s="9" t="s">
        <v>85</v>
      </c>
      <c r="X43" s="9" t="s">
        <v>85</v>
      </c>
      <c r="Y43" s="9">
        <v>0.59375</v>
      </c>
      <c r="Z43" s="9" t="s">
        <v>85</v>
      </c>
      <c r="AA43" s="9" t="s">
        <v>85</v>
      </c>
      <c r="AB43" s="30">
        <v>0.578125</v>
      </c>
      <c r="AC43" s="9" t="s">
        <v>85</v>
      </c>
      <c r="AD43" s="9" t="s">
        <v>85</v>
      </c>
      <c r="AE43" s="30">
        <v>0.59375</v>
      </c>
      <c r="AF43" s="9" t="s">
        <v>85</v>
      </c>
      <c r="AG43" s="9" t="s">
        <v>85</v>
      </c>
      <c r="AH43" s="9">
        <v>0.59375</v>
      </c>
      <c r="AI43" s="9" t="s">
        <v>85</v>
      </c>
      <c r="AJ43" s="9" t="s">
        <v>85</v>
      </c>
      <c r="AK43" s="9">
        <v>0.59375</v>
      </c>
      <c r="AL43" s="9" t="s">
        <v>85</v>
      </c>
      <c r="AM43" s="9" t="s">
        <v>85</v>
      </c>
      <c r="AN43" s="9">
        <v>0.59375</v>
      </c>
      <c r="AO43" s="9" t="s">
        <v>85</v>
      </c>
      <c r="AP43" s="9" t="s">
        <v>85</v>
      </c>
      <c r="AQ43" s="30">
        <v>0.546875</v>
      </c>
      <c r="AR43" s="9" t="s">
        <v>85</v>
      </c>
      <c r="AS43" s="9" t="s">
        <v>85</v>
      </c>
      <c r="AT43" s="9">
        <v>0.609375</v>
      </c>
      <c r="AU43" s="9" t="s">
        <v>85</v>
      </c>
      <c r="AV43" s="9" t="s">
        <v>85</v>
      </c>
      <c r="AW43" s="9">
        <v>0.609375</v>
      </c>
      <c r="AX43" s="9" t="s">
        <v>85</v>
      </c>
      <c r="AY43" s="9" t="s">
        <v>85</v>
      </c>
      <c r="AZ43" s="9">
        <v>0.59375</v>
      </c>
      <c r="BA43" s="9" t="s">
        <v>85</v>
      </c>
      <c r="BB43" s="9" t="s">
        <v>85</v>
      </c>
      <c r="BC43" s="30">
        <v>0.59375</v>
      </c>
      <c r="BD43" s="9" t="s">
        <v>85</v>
      </c>
      <c r="BE43" s="9" t="s">
        <v>85</v>
      </c>
      <c r="BF43" s="9">
        <v>0.59375</v>
      </c>
      <c r="BG43" s="9" t="s">
        <v>85</v>
      </c>
      <c r="BH43" s="6"/>
      <c r="BI43" s="6" t="str">
        <f t="shared" si="1"/>
        <v>12V_Fold_Median</v>
      </c>
      <c r="BJ43" s="6" t="str">
        <f t="shared" si="2"/>
        <v>12V_Fold_Median</v>
      </c>
      <c r="BK43" s="6" t="str">
        <f t="shared" si="3"/>
        <v>5BN_Fold_Median</v>
      </c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</row>
    <row r="44" ht="15.75" customHeight="1">
      <c r="A44" s="1" t="s">
        <v>138</v>
      </c>
      <c r="B44" s="17">
        <v>3000.0</v>
      </c>
      <c r="C44" s="9" t="s">
        <v>85</v>
      </c>
      <c r="D44" s="9">
        <v>0.798319</v>
      </c>
      <c r="E44" s="9" t="s">
        <v>85</v>
      </c>
      <c r="F44" s="9" t="s">
        <v>85</v>
      </c>
      <c r="G44" s="30">
        <v>0.773109257</v>
      </c>
      <c r="H44" s="9" t="s">
        <v>85</v>
      </c>
      <c r="I44" s="9" t="s">
        <v>85</v>
      </c>
      <c r="J44" s="9">
        <v>0.722689</v>
      </c>
      <c r="K44" s="9" t="s">
        <v>85</v>
      </c>
      <c r="L44" s="9" t="s">
        <v>85</v>
      </c>
      <c r="M44" s="9">
        <v>0.697479</v>
      </c>
      <c r="N44" s="9" t="s">
        <v>85</v>
      </c>
      <c r="O44" s="9" t="s">
        <v>85</v>
      </c>
      <c r="P44" s="9">
        <v>0.806723</v>
      </c>
      <c r="Q44" s="9" t="s">
        <v>85</v>
      </c>
      <c r="R44" s="9" t="s">
        <v>85</v>
      </c>
      <c r="S44" s="9">
        <v>0.831933</v>
      </c>
      <c r="T44" s="9" t="s">
        <v>85</v>
      </c>
      <c r="U44" s="9" t="s">
        <v>85</v>
      </c>
      <c r="V44" s="9">
        <v>0.731092</v>
      </c>
      <c r="W44" s="9" t="s">
        <v>85</v>
      </c>
      <c r="X44" s="9" t="s">
        <v>85</v>
      </c>
      <c r="Y44" s="9">
        <v>0.756303</v>
      </c>
      <c r="Z44" s="9" t="s">
        <v>85</v>
      </c>
      <c r="AA44" s="9" t="s">
        <v>85</v>
      </c>
      <c r="AB44" s="30">
        <v>0.831933</v>
      </c>
      <c r="AC44" s="9" t="s">
        <v>85</v>
      </c>
      <c r="AD44" s="9" t="s">
        <v>85</v>
      </c>
      <c r="AE44" s="30">
        <v>0.840336</v>
      </c>
      <c r="AF44" s="9" t="s">
        <v>85</v>
      </c>
      <c r="AG44" s="9" t="s">
        <v>85</v>
      </c>
      <c r="AH44" s="9">
        <v>0.689076</v>
      </c>
      <c r="AI44" s="9" t="s">
        <v>85</v>
      </c>
      <c r="AJ44" s="9" t="s">
        <v>85</v>
      </c>
      <c r="AK44" s="9">
        <v>0.714286</v>
      </c>
      <c r="AL44" s="9" t="s">
        <v>85</v>
      </c>
      <c r="AM44" s="9" t="s">
        <v>85</v>
      </c>
      <c r="AN44" s="9">
        <v>0.865546</v>
      </c>
      <c r="AO44" s="9" t="s">
        <v>85</v>
      </c>
      <c r="AP44" s="9" t="s">
        <v>85</v>
      </c>
      <c r="AQ44" s="30">
        <v>0.857143</v>
      </c>
      <c r="AR44" s="9" t="s">
        <v>85</v>
      </c>
      <c r="AS44" s="9" t="s">
        <v>85</v>
      </c>
      <c r="AT44" s="9">
        <v>0.705882</v>
      </c>
      <c r="AU44" s="9" t="s">
        <v>85</v>
      </c>
      <c r="AV44" s="9" t="s">
        <v>85</v>
      </c>
      <c r="AW44" s="9">
        <v>0.773109</v>
      </c>
      <c r="AX44" s="9" t="s">
        <v>85</v>
      </c>
      <c r="AY44" s="9" t="s">
        <v>85</v>
      </c>
      <c r="AZ44" s="9">
        <v>0.865546</v>
      </c>
      <c r="BA44" s="9" t="s">
        <v>85</v>
      </c>
      <c r="BB44" s="9" t="s">
        <v>85</v>
      </c>
      <c r="BC44" s="30">
        <v>0.773109</v>
      </c>
      <c r="BD44" s="9" t="s">
        <v>85</v>
      </c>
      <c r="BE44" s="9" t="s">
        <v>85</v>
      </c>
      <c r="BF44" s="9">
        <v>0.420168</v>
      </c>
      <c r="BG44" s="9" t="s">
        <v>85</v>
      </c>
      <c r="BH44" s="6"/>
      <c r="BI44" s="6" t="str">
        <f t="shared" si="1"/>
        <v>12B_Fold_Median</v>
      </c>
      <c r="BJ44" s="6" t="str">
        <f t="shared" si="2"/>
        <v>12B_Fold_Median</v>
      </c>
      <c r="BK44" s="6" t="str">
        <f t="shared" si="3"/>
        <v>12BN_Fold_Median</v>
      </c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</row>
    <row r="45" ht="15.75" customHeight="1">
      <c r="A45" s="1" t="s">
        <v>139</v>
      </c>
      <c r="B45" s="17">
        <v>1882.0</v>
      </c>
      <c r="C45" s="9" t="s">
        <v>85</v>
      </c>
      <c r="D45" s="9">
        <v>0.303636</v>
      </c>
      <c r="E45" s="9" t="s">
        <v>85</v>
      </c>
      <c r="F45" s="9" t="s">
        <v>85</v>
      </c>
      <c r="G45" s="30">
        <v>0.298181832</v>
      </c>
      <c r="H45" s="9" t="s">
        <v>85</v>
      </c>
      <c r="I45" s="9" t="s">
        <v>85</v>
      </c>
      <c r="J45" s="9">
        <v>0.247273</v>
      </c>
      <c r="K45" s="9" t="s">
        <v>85</v>
      </c>
      <c r="L45" s="9" t="s">
        <v>85</v>
      </c>
      <c r="M45" s="9">
        <v>0.287273</v>
      </c>
      <c r="N45" s="9" t="s">
        <v>85</v>
      </c>
      <c r="O45" s="9" t="s">
        <v>85</v>
      </c>
      <c r="P45" s="9">
        <v>0.289091</v>
      </c>
      <c r="Q45" s="9" t="s">
        <v>85</v>
      </c>
      <c r="R45" s="9" t="s">
        <v>85</v>
      </c>
      <c r="S45" s="9">
        <v>0.289091</v>
      </c>
      <c r="T45" s="9" t="s">
        <v>85</v>
      </c>
      <c r="U45" s="9" t="s">
        <v>85</v>
      </c>
      <c r="V45" s="9">
        <v>0.203636</v>
      </c>
      <c r="W45" s="9" t="s">
        <v>85</v>
      </c>
      <c r="X45" s="9" t="s">
        <v>85</v>
      </c>
      <c r="Y45" s="9">
        <v>0.223636</v>
      </c>
      <c r="Z45" s="9" t="s">
        <v>85</v>
      </c>
      <c r="AA45" s="9" t="s">
        <v>85</v>
      </c>
      <c r="AB45" s="30">
        <v>0.283636</v>
      </c>
      <c r="AC45" s="9" t="s">
        <v>85</v>
      </c>
      <c r="AD45" s="9" t="s">
        <v>85</v>
      </c>
      <c r="AE45" s="30">
        <v>0.269091</v>
      </c>
      <c r="AF45" s="9" t="s">
        <v>85</v>
      </c>
      <c r="AG45" s="9" t="s">
        <v>85</v>
      </c>
      <c r="AH45" s="9">
        <v>0.210909</v>
      </c>
      <c r="AI45" s="9" t="s">
        <v>85</v>
      </c>
      <c r="AJ45" s="9" t="s">
        <v>85</v>
      </c>
      <c r="AK45" s="9">
        <v>0.227273</v>
      </c>
      <c r="AL45" s="9" t="s">
        <v>85</v>
      </c>
      <c r="AM45" s="9" t="s">
        <v>85</v>
      </c>
      <c r="AN45" s="9">
        <v>0.267273</v>
      </c>
      <c r="AO45" s="9" t="s">
        <v>85</v>
      </c>
      <c r="AP45" s="9" t="s">
        <v>85</v>
      </c>
      <c r="AQ45" s="30">
        <v>0.292727</v>
      </c>
      <c r="AR45" s="9" t="s">
        <v>85</v>
      </c>
      <c r="AS45" s="9" t="s">
        <v>85</v>
      </c>
      <c r="AT45" s="9">
        <v>0.243636</v>
      </c>
      <c r="AU45" s="9" t="s">
        <v>85</v>
      </c>
      <c r="AV45" s="9" t="s">
        <v>85</v>
      </c>
      <c r="AW45" s="9">
        <v>0.236364</v>
      </c>
      <c r="AX45" s="9" t="s">
        <v>85</v>
      </c>
      <c r="AY45" s="9" t="s">
        <v>85</v>
      </c>
      <c r="AZ45" s="9">
        <v>0.290909</v>
      </c>
      <c r="BA45" s="9" t="s">
        <v>85</v>
      </c>
      <c r="BB45" s="9" t="s">
        <v>85</v>
      </c>
      <c r="BC45" s="30">
        <v>0.243636</v>
      </c>
      <c r="BD45" s="9" t="s">
        <v>85</v>
      </c>
      <c r="BE45" s="9" t="s">
        <v>85</v>
      </c>
      <c r="BF45" s="9">
        <v>0.183636</v>
      </c>
      <c r="BG45" s="9" t="s">
        <v>85</v>
      </c>
      <c r="BH45" s="6"/>
      <c r="BI45" s="6" t="str">
        <f t="shared" si="1"/>
        <v>5B_Fold_Median</v>
      </c>
      <c r="BJ45" s="6" t="str">
        <f t="shared" si="2"/>
        <v>5BN_Fold_Median</v>
      </c>
      <c r="BK45" s="6" t="str">
        <f t="shared" si="3"/>
        <v>12BN_Fold_Median</v>
      </c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</row>
    <row r="46" ht="15.75" customHeight="1">
      <c r="A46" s="1" t="s">
        <v>140</v>
      </c>
      <c r="B46" s="17">
        <v>601.0</v>
      </c>
      <c r="C46" s="9" t="s">
        <v>85</v>
      </c>
      <c r="D46" s="9">
        <v>0.803213</v>
      </c>
      <c r="E46" s="9" t="s">
        <v>85</v>
      </c>
      <c r="F46" s="9" t="s">
        <v>85</v>
      </c>
      <c r="G46" s="30">
        <v>0.795180738</v>
      </c>
      <c r="H46" s="9" t="s">
        <v>85</v>
      </c>
      <c r="I46" s="9" t="s">
        <v>85</v>
      </c>
      <c r="J46" s="9">
        <v>0.787149</v>
      </c>
      <c r="K46" s="9" t="s">
        <v>85</v>
      </c>
      <c r="L46" s="9" t="s">
        <v>85</v>
      </c>
      <c r="M46" s="9">
        <v>0.803213</v>
      </c>
      <c r="N46" s="9" t="s">
        <v>85</v>
      </c>
      <c r="O46" s="9" t="s">
        <v>85</v>
      </c>
      <c r="P46" s="9">
        <v>0.803213</v>
      </c>
      <c r="Q46" s="9" t="s">
        <v>85</v>
      </c>
      <c r="R46" s="9" t="s">
        <v>85</v>
      </c>
      <c r="S46" s="9">
        <v>0.803213</v>
      </c>
      <c r="T46" s="9" t="s">
        <v>85</v>
      </c>
      <c r="U46" s="9" t="s">
        <v>85</v>
      </c>
      <c r="V46" s="9">
        <v>0.799197</v>
      </c>
      <c r="W46" s="9" t="s">
        <v>85</v>
      </c>
      <c r="X46" s="9" t="s">
        <v>85</v>
      </c>
      <c r="Y46" s="9">
        <v>0.795181</v>
      </c>
      <c r="Z46" s="9" t="s">
        <v>85</v>
      </c>
      <c r="AA46" s="9" t="s">
        <v>85</v>
      </c>
      <c r="AB46" s="30">
        <v>0.799197</v>
      </c>
      <c r="AC46" s="9" t="s">
        <v>85</v>
      </c>
      <c r="AD46" s="9" t="s">
        <v>85</v>
      </c>
      <c r="AE46" s="30">
        <v>0.811245</v>
      </c>
      <c r="AF46" s="9" t="s">
        <v>85</v>
      </c>
      <c r="AG46" s="9" t="s">
        <v>85</v>
      </c>
      <c r="AH46" s="9">
        <v>0.799197</v>
      </c>
      <c r="AI46" s="9" t="s">
        <v>85</v>
      </c>
      <c r="AJ46" s="9" t="s">
        <v>85</v>
      </c>
      <c r="AK46" s="9">
        <v>0.799197</v>
      </c>
      <c r="AL46" s="9" t="s">
        <v>85</v>
      </c>
      <c r="AM46" s="9" t="s">
        <v>85</v>
      </c>
      <c r="AN46" s="9">
        <v>0.807229</v>
      </c>
      <c r="AO46" s="9" t="s">
        <v>85</v>
      </c>
      <c r="AP46" s="9" t="s">
        <v>85</v>
      </c>
      <c r="AQ46" s="30">
        <v>0.807229</v>
      </c>
      <c r="AR46" s="9" t="s">
        <v>85</v>
      </c>
      <c r="AS46" s="9" t="s">
        <v>85</v>
      </c>
      <c r="AT46" s="9">
        <v>0.811245</v>
      </c>
      <c r="AU46" s="9" t="s">
        <v>85</v>
      </c>
      <c r="AV46" s="9" t="s">
        <v>85</v>
      </c>
      <c r="AW46" s="9">
        <v>0.811245</v>
      </c>
      <c r="AX46" s="9" t="s">
        <v>85</v>
      </c>
      <c r="AY46" s="9" t="s">
        <v>85</v>
      </c>
      <c r="AZ46" s="9">
        <v>0.815261</v>
      </c>
      <c r="BA46" s="9" t="s">
        <v>85</v>
      </c>
      <c r="BB46" s="9" t="s">
        <v>85</v>
      </c>
      <c r="BC46" s="30">
        <v>0.839357</v>
      </c>
      <c r="BD46" s="9" t="s">
        <v>85</v>
      </c>
      <c r="BE46" s="9" t="s">
        <v>85</v>
      </c>
      <c r="BF46" s="9">
        <v>1.0</v>
      </c>
      <c r="BG46" s="9" t="s">
        <v>85</v>
      </c>
      <c r="BH46" s="6"/>
      <c r="BI46" s="6" t="str">
        <f t="shared" si="1"/>
        <v>De_Fold_Median</v>
      </c>
      <c r="BJ46" s="6" t="str">
        <f t="shared" si="2"/>
        <v>20V_Fold_Median</v>
      </c>
      <c r="BK46" s="6" t="str">
        <f t="shared" si="3"/>
        <v>20B_Fold_Median</v>
      </c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</row>
    <row r="47" ht="15.75" customHeight="1">
      <c r="A47" s="1" t="s">
        <v>141</v>
      </c>
      <c r="B47" s="17">
        <v>601.0</v>
      </c>
      <c r="C47" s="9" t="s">
        <v>85</v>
      </c>
      <c r="D47" s="9">
        <v>0.73494</v>
      </c>
      <c r="E47" s="9" t="s">
        <v>85</v>
      </c>
      <c r="F47" s="9" t="s">
        <v>85</v>
      </c>
      <c r="G47" s="30">
        <v>0.710843384</v>
      </c>
      <c r="H47" s="9" t="s">
        <v>85</v>
      </c>
      <c r="I47" s="9" t="s">
        <v>85</v>
      </c>
      <c r="J47" s="9">
        <v>0.751004</v>
      </c>
      <c r="K47" s="9" t="s">
        <v>85</v>
      </c>
      <c r="L47" s="9" t="s">
        <v>85</v>
      </c>
      <c r="M47" s="9">
        <v>0.75502</v>
      </c>
      <c r="N47" s="9" t="s">
        <v>85</v>
      </c>
      <c r="O47" s="9" t="s">
        <v>85</v>
      </c>
      <c r="P47" s="9">
        <v>0.75502</v>
      </c>
      <c r="Q47" s="9" t="s">
        <v>85</v>
      </c>
      <c r="R47" s="9" t="s">
        <v>85</v>
      </c>
      <c r="S47" s="9">
        <v>0.767068</v>
      </c>
      <c r="T47" s="9" t="s">
        <v>85</v>
      </c>
      <c r="U47" s="9" t="s">
        <v>85</v>
      </c>
      <c r="V47" s="9">
        <v>0.751004</v>
      </c>
      <c r="W47" s="9" t="s">
        <v>85</v>
      </c>
      <c r="X47" s="9" t="s">
        <v>85</v>
      </c>
      <c r="Y47" s="9">
        <v>0.767068</v>
      </c>
      <c r="Z47" s="9" t="s">
        <v>85</v>
      </c>
      <c r="AA47" s="9" t="s">
        <v>85</v>
      </c>
      <c r="AB47" s="30">
        <v>0.759036</v>
      </c>
      <c r="AC47" s="9" t="s">
        <v>85</v>
      </c>
      <c r="AD47" s="9" t="s">
        <v>85</v>
      </c>
      <c r="AE47" s="30">
        <v>0.767068</v>
      </c>
      <c r="AF47" s="9" t="s">
        <v>85</v>
      </c>
      <c r="AG47" s="9" t="s">
        <v>85</v>
      </c>
      <c r="AH47" s="9">
        <v>0.75502</v>
      </c>
      <c r="AI47" s="9" t="s">
        <v>85</v>
      </c>
      <c r="AJ47" s="9" t="s">
        <v>85</v>
      </c>
      <c r="AK47" s="9">
        <v>0.742972</v>
      </c>
      <c r="AL47" s="9" t="s">
        <v>85</v>
      </c>
      <c r="AM47" s="9" t="s">
        <v>85</v>
      </c>
      <c r="AN47" s="9">
        <v>0.7751</v>
      </c>
      <c r="AO47" s="9" t="s">
        <v>85</v>
      </c>
      <c r="AP47" s="9" t="s">
        <v>85</v>
      </c>
      <c r="AQ47" s="30">
        <v>0.759036</v>
      </c>
      <c r="AR47" s="9" t="s">
        <v>85</v>
      </c>
      <c r="AS47" s="9" t="s">
        <v>85</v>
      </c>
      <c r="AT47" s="9">
        <v>0.73494</v>
      </c>
      <c r="AU47" s="9" t="s">
        <v>85</v>
      </c>
      <c r="AV47" s="9" t="s">
        <v>85</v>
      </c>
      <c r="AW47" s="9">
        <v>0.73494</v>
      </c>
      <c r="AX47" s="9" t="s">
        <v>85</v>
      </c>
      <c r="AY47" s="9" t="s">
        <v>85</v>
      </c>
      <c r="AZ47" s="9">
        <v>0.481928</v>
      </c>
      <c r="BA47" s="9" t="s">
        <v>85</v>
      </c>
      <c r="BB47" s="9" t="s">
        <v>85</v>
      </c>
      <c r="BC47" s="30">
        <v>0.759036</v>
      </c>
      <c r="BD47" s="9" t="s">
        <v>85</v>
      </c>
      <c r="BE47" s="9" t="s">
        <v>85</v>
      </c>
      <c r="BF47" s="9">
        <v>1.0</v>
      </c>
      <c r="BG47" s="9" t="s">
        <v>85</v>
      </c>
      <c r="BH47" s="6"/>
      <c r="BI47" s="6" t="str">
        <f t="shared" si="1"/>
        <v>De_Fold_Median</v>
      </c>
      <c r="BJ47" s="6" t="str">
        <f t="shared" si="2"/>
        <v>12B_Fold_Median</v>
      </c>
      <c r="BK47" s="6" t="str">
        <f t="shared" si="3"/>
        <v>8BN_Fold_Median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</row>
    <row r="48" ht="15.75" customHeight="1">
      <c r="A48" s="1" t="s">
        <v>142</v>
      </c>
      <c r="B48" s="17">
        <v>24.0</v>
      </c>
      <c r="C48" s="9" t="s">
        <v>85</v>
      </c>
      <c r="D48" s="9">
        <v>0.921283</v>
      </c>
      <c r="E48" s="9" t="s">
        <v>85</v>
      </c>
      <c r="F48" s="9" t="s">
        <v>85</v>
      </c>
      <c r="G48" s="30">
        <v>0.922254622</v>
      </c>
      <c r="H48" s="9" t="s">
        <v>85</v>
      </c>
      <c r="I48" s="9" t="s">
        <v>85</v>
      </c>
      <c r="J48" s="9">
        <v>0.83965</v>
      </c>
      <c r="K48" s="9" t="s">
        <v>85</v>
      </c>
      <c r="L48" s="9" t="s">
        <v>85</v>
      </c>
      <c r="M48" s="9">
        <v>0.836735</v>
      </c>
      <c r="N48" s="9" t="s">
        <v>85</v>
      </c>
      <c r="O48" s="9" t="s">
        <v>85</v>
      </c>
      <c r="P48" s="9">
        <v>0.909621</v>
      </c>
      <c r="Q48" s="9" t="s">
        <v>85</v>
      </c>
      <c r="R48" s="9" t="s">
        <v>85</v>
      </c>
      <c r="S48" s="9">
        <v>0.912536</v>
      </c>
      <c r="T48" s="9" t="s">
        <v>85</v>
      </c>
      <c r="U48" s="9" t="s">
        <v>85</v>
      </c>
      <c r="V48" s="9">
        <v>0.93586</v>
      </c>
      <c r="W48" s="9" t="s">
        <v>85</v>
      </c>
      <c r="X48" s="9" t="s">
        <v>85</v>
      </c>
      <c r="Y48" s="9">
        <v>0.936832</v>
      </c>
      <c r="Z48" s="9" t="s">
        <v>85</v>
      </c>
      <c r="AA48" s="9" t="s">
        <v>85</v>
      </c>
      <c r="AB48" s="30">
        <v>0.922255</v>
      </c>
      <c r="AC48" s="9" t="s">
        <v>85</v>
      </c>
      <c r="AD48" s="9" t="s">
        <v>85</v>
      </c>
      <c r="AE48" s="30">
        <v>0.924198</v>
      </c>
      <c r="AF48" s="9" t="s">
        <v>85</v>
      </c>
      <c r="AG48" s="9" t="s">
        <v>85</v>
      </c>
      <c r="AH48" s="9">
        <v>0.886297</v>
      </c>
      <c r="AI48" s="9" t="s">
        <v>85</v>
      </c>
      <c r="AJ48" s="9" t="s">
        <v>85</v>
      </c>
      <c r="AK48" s="9">
        <v>0.901846</v>
      </c>
      <c r="AL48" s="9" t="s">
        <v>85</v>
      </c>
      <c r="AM48" s="9" t="s">
        <v>85</v>
      </c>
      <c r="AN48" s="9">
        <v>0.921283</v>
      </c>
      <c r="AO48" s="9" t="s">
        <v>85</v>
      </c>
      <c r="AP48" s="9" t="s">
        <v>85</v>
      </c>
      <c r="AQ48" s="30">
        <v>0.922255</v>
      </c>
      <c r="AR48" s="9" t="s">
        <v>85</v>
      </c>
      <c r="AS48" s="9" t="s">
        <v>85</v>
      </c>
      <c r="AT48" s="9">
        <v>0.8931</v>
      </c>
      <c r="AU48" s="9" t="s">
        <v>85</v>
      </c>
      <c r="AV48" s="9" t="s">
        <v>85</v>
      </c>
      <c r="AW48" s="9">
        <v>0.896987</v>
      </c>
      <c r="AX48" s="9" t="s">
        <v>85</v>
      </c>
      <c r="AY48" s="9" t="s">
        <v>85</v>
      </c>
      <c r="AZ48" s="9">
        <v>0.880466</v>
      </c>
      <c r="BA48" s="9" t="s">
        <v>85</v>
      </c>
      <c r="BB48" s="9" t="s">
        <v>85</v>
      </c>
      <c r="BC48" s="30">
        <v>0.90379</v>
      </c>
      <c r="BD48" s="9" t="s">
        <v>85</v>
      </c>
      <c r="BE48" s="9" t="s">
        <v>85</v>
      </c>
      <c r="BF48" s="9">
        <v>0.970845</v>
      </c>
      <c r="BG48" s="9" t="s">
        <v>85</v>
      </c>
      <c r="BH48" s="6"/>
      <c r="BI48" s="6" t="str">
        <f t="shared" si="1"/>
        <v>De_Fold_Median</v>
      </c>
      <c r="BJ48" s="6" t="str">
        <f t="shared" si="2"/>
        <v>8VB_Fold_Median</v>
      </c>
      <c r="BK48" s="6" t="str">
        <f t="shared" si="3"/>
        <v>8V_Fold_Median</v>
      </c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</row>
    <row r="49" ht="15.75" customHeight="1">
      <c r="A49" s="1" t="s">
        <v>143</v>
      </c>
      <c r="B49" s="17">
        <v>720.0</v>
      </c>
      <c r="C49" s="9" t="s">
        <v>85</v>
      </c>
      <c r="D49" s="9">
        <v>0.674667</v>
      </c>
      <c r="E49" s="9" t="s">
        <v>85</v>
      </c>
      <c r="F49" s="9" t="s">
        <v>85</v>
      </c>
      <c r="G49" s="30">
        <v>0.472000003</v>
      </c>
      <c r="H49" s="9" t="s">
        <v>85</v>
      </c>
      <c r="I49" s="9" t="s">
        <v>85</v>
      </c>
      <c r="J49" s="9">
        <v>0.6</v>
      </c>
      <c r="K49" s="9" t="s">
        <v>85</v>
      </c>
      <c r="L49" s="9" t="s">
        <v>85</v>
      </c>
      <c r="M49" s="9">
        <v>0.6</v>
      </c>
      <c r="N49" s="9" t="s">
        <v>85</v>
      </c>
      <c r="O49" s="9" t="s">
        <v>85</v>
      </c>
      <c r="P49" s="9">
        <v>0.672</v>
      </c>
      <c r="Q49" s="9" t="s">
        <v>85</v>
      </c>
      <c r="R49" s="9" t="s">
        <v>85</v>
      </c>
      <c r="S49" s="9">
        <v>0.664</v>
      </c>
      <c r="T49" s="9" t="s">
        <v>85</v>
      </c>
      <c r="U49" s="9" t="s">
        <v>85</v>
      </c>
      <c r="V49" s="9">
        <v>0.578667</v>
      </c>
      <c r="W49" s="9" t="s">
        <v>85</v>
      </c>
      <c r="X49" s="9" t="s">
        <v>85</v>
      </c>
      <c r="Y49" s="9">
        <v>0.568</v>
      </c>
      <c r="Z49" s="9" t="s">
        <v>85</v>
      </c>
      <c r="AA49" s="9" t="s">
        <v>85</v>
      </c>
      <c r="AB49" s="30">
        <v>0.642667</v>
      </c>
      <c r="AC49" s="9" t="s">
        <v>85</v>
      </c>
      <c r="AD49" s="9" t="s">
        <v>85</v>
      </c>
      <c r="AE49" s="30">
        <v>0.653333</v>
      </c>
      <c r="AF49" s="9" t="s">
        <v>85</v>
      </c>
      <c r="AG49" s="9" t="s">
        <v>85</v>
      </c>
      <c r="AH49" s="9">
        <v>0.576</v>
      </c>
      <c r="AI49" s="9" t="s">
        <v>85</v>
      </c>
      <c r="AJ49" s="9" t="s">
        <v>85</v>
      </c>
      <c r="AK49" s="9">
        <v>0.573333</v>
      </c>
      <c r="AL49" s="9" t="s">
        <v>85</v>
      </c>
      <c r="AM49" s="9" t="s">
        <v>85</v>
      </c>
      <c r="AN49" s="9">
        <v>0.648</v>
      </c>
      <c r="AO49" s="9" t="s">
        <v>85</v>
      </c>
      <c r="AP49" s="9" t="s">
        <v>85</v>
      </c>
      <c r="AQ49" s="30">
        <v>0.677333</v>
      </c>
      <c r="AR49" s="9" t="s">
        <v>85</v>
      </c>
      <c r="AS49" s="9" t="s">
        <v>85</v>
      </c>
      <c r="AT49" s="9">
        <v>0.578667</v>
      </c>
      <c r="AU49" s="9" t="s">
        <v>85</v>
      </c>
      <c r="AV49" s="9" t="s">
        <v>85</v>
      </c>
      <c r="AW49" s="9">
        <v>0.594667</v>
      </c>
      <c r="AX49" s="9" t="s">
        <v>85</v>
      </c>
      <c r="AY49" s="9" t="s">
        <v>85</v>
      </c>
      <c r="AZ49" s="9">
        <v>0.634667</v>
      </c>
      <c r="BA49" s="9" t="s">
        <v>85</v>
      </c>
      <c r="BB49" s="9" t="s">
        <v>85</v>
      </c>
      <c r="BC49" s="30">
        <v>0.597333</v>
      </c>
      <c r="BD49" s="9" t="s">
        <v>85</v>
      </c>
      <c r="BE49" s="9" t="s">
        <v>85</v>
      </c>
      <c r="BF49" s="9">
        <v>0.509333</v>
      </c>
      <c r="BG49" s="9" t="s">
        <v>85</v>
      </c>
      <c r="BH49" s="6"/>
      <c r="BI49" s="6" t="str">
        <f t="shared" si="1"/>
        <v>12BN_Fold_Median</v>
      </c>
      <c r="BJ49" s="6" t="str">
        <f t="shared" si="2"/>
        <v>5B_Fold_Median</v>
      </c>
      <c r="BK49" s="6" t="str">
        <f t="shared" si="3"/>
        <v>8B_Fold_Median</v>
      </c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</row>
    <row r="50" ht="15.75" customHeight="1">
      <c r="A50" s="1" t="s">
        <v>144</v>
      </c>
      <c r="B50" s="17">
        <v>637.0</v>
      </c>
      <c r="C50" s="9" t="s">
        <v>85</v>
      </c>
      <c r="D50" s="9">
        <v>0.540984</v>
      </c>
      <c r="E50" s="9" t="s">
        <v>85</v>
      </c>
      <c r="F50" s="9" t="s">
        <v>85</v>
      </c>
      <c r="G50" s="30">
        <v>0.540983617</v>
      </c>
      <c r="H50" s="9" t="s">
        <v>85</v>
      </c>
      <c r="I50" s="9" t="s">
        <v>85</v>
      </c>
      <c r="J50" s="9">
        <v>0.540984</v>
      </c>
      <c r="K50" s="9" t="s">
        <v>85</v>
      </c>
      <c r="L50" s="9" t="s">
        <v>85</v>
      </c>
      <c r="M50" s="9">
        <v>0.540984</v>
      </c>
      <c r="N50" s="9" t="s">
        <v>85</v>
      </c>
      <c r="O50" s="9" t="s">
        <v>85</v>
      </c>
      <c r="P50" s="9">
        <v>0.540984</v>
      </c>
      <c r="Q50" s="9" t="s">
        <v>85</v>
      </c>
      <c r="R50" s="9" t="s">
        <v>85</v>
      </c>
      <c r="S50" s="9">
        <v>0.540984</v>
      </c>
      <c r="T50" s="9" t="s">
        <v>85</v>
      </c>
      <c r="U50" s="9" t="s">
        <v>85</v>
      </c>
      <c r="V50" s="9">
        <v>0.540984</v>
      </c>
      <c r="W50" s="9" t="s">
        <v>85</v>
      </c>
      <c r="X50" s="9" t="s">
        <v>85</v>
      </c>
      <c r="Y50" s="9">
        <v>0.540984</v>
      </c>
      <c r="Z50" s="9" t="s">
        <v>85</v>
      </c>
      <c r="AA50" s="9" t="s">
        <v>85</v>
      </c>
      <c r="AB50" s="30">
        <v>0.540984</v>
      </c>
      <c r="AC50" s="9" t="s">
        <v>85</v>
      </c>
      <c r="AD50" s="9" t="s">
        <v>85</v>
      </c>
      <c r="AE50" s="30">
        <v>0.540984</v>
      </c>
      <c r="AF50" s="9" t="s">
        <v>85</v>
      </c>
      <c r="AG50" s="9" t="s">
        <v>85</v>
      </c>
      <c r="AH50" s="9">
        <v>0.540984</v>
      </c>
      <c r="AI50" s="9" t="s">
        <v>85</v>
      </c>
      <c r="AJ50" s="9" t="s">
        <v>85</v>
      </c>
      <c r="AK50" s="9">
        <v>0.540984</v>
      </c>
      <c r="AL50" s="9" t="s">
        <v>85</v>
      </c>
      <c r="AM50" s="9" t="s">
        <v>85</v>
      </c>
      <c r="AN50" s="9">
        <v>0.540984</v>
      </c>
      <c r="AO50" s="9" t="s">
        <v>85</v>
      </c>
      <c r="AP50" s="9" t="s">
        <v>85</v>
      </c>
      <c r="AQ50" s="30">
        <v>0.540984</v>
      </c>
      <c r="AR50" s="9" t="s">
        <v>85</v>
      </c>
      <c r="AS50" s="9" t="s">
        <v>85</v>
      </c>
      <c r="AT50" s="9">
        <v>0.540984</v>
      </c>
      <c r="AU50" s="9" t="s">
        <v>85</v>
      </c>
      <c r="AV50" s="9" t="s">
        <v>85</v>
      </c>
      <c r="AW50" s="9">
        <v>0.540984</v>
      </c>
      <c r="AX50" s="9" t="s">
        <v>85</v>
      </c>
      <c r="AY50" s="9" t="s">
        <v>85</v>
      </c>
      <c r="AZ50" s="9">
        <v>0.540984</v>
      </c>
      <c r="BA50" s="9" t="s">
        <v>85</v>
      </c>
      <c r="BB50" s="9" t="s">
        <v>85</v>
      </c>
      <c r="BC50" s="30">
        <v>0.540984</v>
      </c>
      <c r="BD50" s="9" t="s">
        <v>85</v>
      </c>
      <c r="BE50" s="9" t="s">
        <v>85</v>
      </c>
      <c r="BF50" s="9">
        <v>0.540984</v>
      </c>
      <c r="BG50" s="9" t="s">
        <v>85</v>
      </c>
      <c r="BH50" s="6"/>
      <c r="BI50" s="6" t="str">
        <f t="shared" si="1"/>
        <v>5B_Fold_Median</v>
      </c>
      <c r="BJ50" s="6" t="str">
        <f t="shared" si="2"/>
        <v>5B_Fold_Median</v>
      </c>
      <c r="BK50" s="6" t="str">
        <f t="shared" si="3"/>
        <v>5B_Fold_Median</v>
      </c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</row>
    <row r="51" ht="15.75" customHeight="1">
      <c r="A51" s="1" t="s">
        <v>145</v>
      </c>
      <c r="B51" s="17">
        <v>319.0</v>
      </c>
      <c r="C51" s="9" t="s">
        <v>85</v>
      </c>
      <c r="D51" s="9">
        <v>0.575342</v>
      </c>
      <c r="E51" s="9" t="s">
        <v>85</v>
      </c>
      <c r="F51" s="9" t="s">
        <v>85</v>
      </c>
      <c r="G51" s="30">
        <v>0.520547926</v>
      </c>
      <c r="H51" s="9" t="s">
        <v>85</v>
      </c>
      <c r="I51" s="9" t="s">
        <v>85</v>
      </c>
      <c r="J51" s="9">
        <v>0.60274</v>
      </c>
      <c r="K51" s="9" t="s">
        <v>85</v>
      </c>
      <c r="L51" s="9" t="s">
        <v>85</v>
      </c>
      <c r="M51" s="9">
        <v>0.589041</v>
      </c>
      <c r="N51" s="9" t="s">
        <v>85</v>
      </c>
      <c r="O51" s="9" t="s">
        <v>85</v>
      </c>
      <c r="P51" s="9">
        <v>0.575342</v>
      </c>
      <c r="Q51" s="9" t="s">
        <v>85</v>
      </c>
      <c r="R51" s="9" t="s">
        <v>85</v>
      </c>
      <c r="S51" s="9">
        <v>0.575342</v>
      </c>
      <c r="T51" s="9" t="s">
        <v>85</v>
      </c>
      <c r="U51" s="9" t="s">
        <v>85</v>
      </c>
      <c r="V51" s="9">
        <v>0.657534</v>
      </c>
      <c r="W51" s="9" t="s">
        <v>85</v>
      </c>
      <c r="X51" s="9" t="s">
        <v>85</v>
      </c>
      <c r="Y51" s="9">
        <v>0.643836</v>
      </c>
      <c r="Z51" s="9" t="s">
        <v>85</v>
      </c>
      <c r="AA51" s="9" t="s">
        <v>85</v>
      </c>
      <c r="AB51" s="30">
        <v>0.575342</v>
      </c>
      <c r="AC51" s="9" t="s">
        <v>85</v>
      </c>
      <c r="AD51" s="9" t="s">
        <v>85</v>
      </c>
      <c r="AE51" s="30">
        <v>0.561644</v>
      </c>
      <c r="AF51" s="9" t="s">
        <v>85</v>
      </c>
      <c r="AG51" s="9" t="s">
        <v>85</v>
      </c>
      <c r="AH51" s="9">
        <v>0.589041</v>
      </c>
      <c r="AI51" s="9" t="s">
        <v>85</v>
      </c>
      <c r="AJ51" s="9" t="s">
        <v>85</v>
      </c>
      <c r="AK51" s="9">
        <v>0.575342</v>
      </c>
      <c r="AL51" s="9" t="s">
        <v>85</v>
      </c>
      <c r="AM51" s="9" t="s">
        <v>85</v>
      </c>
      <c r="AN51" s="9">
        <v>0.589041</v>
      </c>
      <c r="AO51" s="9" t="s">
        <v>85</v>
      </c>
      <c r="AP51" s="9" t="s">
        <v>85</v>
      </c>
      <c r="AQ51" s="30">
        <v>0.60274</v>
      </c>
      <c r="AR51" s="9" t="s">
        <v>85</v>
      </c>
      <c r="AS51" s="9" t="s">
        <v>85</v>
      </c>
      <c r="AT51" s="9">
        <v>0.561644</v>
      </c>
      <c r="AU51" s="9" t="s">
        <v>85</v>
      </c>
      <c r="AV51" s="9" t="s">
        <v>85</v>
      </c>
      <c r="AW51" s="9">
        <v>0.630137</v>
      </c>
      <c r="AX51" s="9" t="s">
        <v>85</v>
      </c>
      <c r="AY51" s="9" t="s">
        <v>85</v>
      </c>
      <c r="AZ51" s="9">
        <v>0.589041</v>
      </c>
      <c r="BA51" s="9" t="s">
        <v>85</v>
      </c>
      <c r="BB51" s="9" t="s">
        <v>85</v>
      </c>
      <c r="BC51" s="30">
        <v>0.60274</v>
      </c>
      <c r="BD51" s="9" t="s">
        <v>85</v>
      </c>
      <c r="BE51" s="9" t="s">
        <v>85</v>
      </c>
      <c r="BF51" s="9">
        <v>0.616438</v>
      </c>
      <c r="BG51" s="9" t="s">
        <v>85</v>
      </c>
      <c r="BH51" s="6"/>
      <c r="BI51" s="6" t="str">
        <f t="shared" si="1"/>
        <v>8V_Fold_Median</v>
      </c>
      <c r="BJ51" s="6" t="str">
        <f t="shared" si="2"/>
        <v>8VB_Fold_Median</v>
      </c>
      <c r="BK51" s="6" t="str">
        <f t="shared" si="3"/>
        <v>12VB_Fold_Median</v>
      </c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</row>
    <row r="52" ht="15.75" customHeight="1">
      <c r="A52" s="1" t="s">
        <v>146</v>
      </c>
      <c r="B52" s="17">
        <v>1024.0</v>
      </c>
      <c r="C52" s="9" t="s">
        <v>85</v>
      </c>
      <c r="D52" s="9">
        <v>0.591471</v>
      </c>
      <c r="E52" s="9" t="s">
        <v>85</v>
      </c>
      <c r="F52" s="9" t="s">
        <v>85</v>
      </c>
      <c r="G52" s="30">
        <v>0.573134303</v>
      </c>
      <c r="H52" s="9" t="s">
        <v>85</v>
      </c>
      <c r="I52" s="9" t="s">
        <v>85</v>
      </c>
      <c r="J52" s="9">
        <v>0.686141</v>
      </c>
      <c r="K52" s="9" t="s">
        <v>85</v>
      </c>
      <c r="L52" s="9" t="s">
        <v>85</v>
      </c>
      <c r="M52" s="9">
        <v>0.58209</v>
      </c>
      <c r="N52" s="9" t="s">
        <v>85</v>
      </c>
      <c r="O52" s="9" t="s">
        <v>85</v>
      </c>
      <c r="P52" s="9">
        <v>0.663966</v>
      </c>
      <c r="Q52" s="9" t="s">
        <v>85</v>
      </c>
      <c r="R52" s="9" t="s">
        <v>85</v>
      </c>
      <c r="S52" s="9">
        <v>0.672495</v>
      </c>
      <c r="T52" s="9" t="s">
        <v>85</v>
      </c>
      <c r="U52" s="9" t="s">
        <v>85</v>
      </c>
      <c r="V52" s="9">
        <v>0.4742</v>
      </c>
      <c r="W52" s="9" t="s">
        <v>85</v>
      </c>
      <c r="X52" s="9" t="s">
        <v>85</v>
      </c>
      <c r="Y52" s="9">
        <v>0.564606</v>
      </c>
      <c r="Z52" s="9" t="s">
        <v>85</v>
      </c>
      <c r="AA52" s="9" t="s">
        <v>85</v>
      </c>
      <c r="AB52" s="30">
        <v>0.697655</v>
      </c>
      <c r="AC52" s="9" t="s">
        <v>85</v>
      </c>
      <c r="AD52" s="9" t="s">
        <v>85</v>
      </c>
      <c r="AE52" s="30">
        <v>0.634542</v>
      </c>
      <c r="AF52" s="9" t="s">
        <v>85</v>
      </c>
      <c r="AG52" s="9" t="s">
        <v>85</v>
      </c>
      <c r="AH52" s="9">
        <v>0.596588</v>
      </c>
      <c r="AI52" s="9" t="s">
        <v>85</v>
      </c>
      <c r="AJ52" s="9" t="s">
        <v>85</v>
      </c>
      <c r="AK52" s="9">
        <v>0.4742</v>
      </c>
      <c r="AL52" s="9" t="s">
        <v>85</v>
      </c>
      <c r="AM52" s="9" t="s">
        <v>85</v>
      </c>
      <c r="AN52" s="9">
        <v>0.701493</v>
      </c>
      <c r="AO52" s="9" t="s">
        <v>85</v>
      </c>
      <c r="AP52" s="9" t="s">
        <v>85</v>
      </c>
      <c r="AQ52" s="30">
        <v>0.690832</v>
      </c>
      <c r="AR52" s="9" t="s">
        <v>85</v>
      </c>
      <c r="AS52" s="9" t="s">
        <v>85</v>
      </c>
      <c r="AT52" s="9">
        <v>0.575267</v>
      </c>
      <c r="AU52" s="9" t="s">
        <v>85</v>
      </c>
      <c r="AV52" s="9" t="s">
        <v>85</v>
      </c>
      <c r="AW52" s="9">
        <v>0.553518</v>
      </c>
      <c r="AX52" s="9" t="s">
        <v>85</v>
      </c>
      <c r="AY52" s="9" t="s">
        <v>85</v>
      </c>
      <c r="AZ52" s="9">
        <v>0.694669</v>
      </c>
      <c r="BA52" s="9" t="s">
        <v>85</v>
      </c>
      <c r="BB52" s="9" t="s">
        <v>85</v>
      </c>
      <c r="BC52" s="30">
        <v>0.551386</v>
      </c>
      <c r="BD52" s="9" t="s">
        <v>85</v>
      </c>
      <c r="BE52" s="9" t="s">
        <v>85</v>
      </c>
      <c r="BF52" s="9">
        <v>0.373134</v>
      </c>
      <c r="BG52" s="9" t="s">
        <v>85</v>
      </c>
      <c r="BH52" s="6"/>
      <c r="BI52" s="6" t="str">
        <f t="shared" si="1"/>
        <v>12B_Fold_Median</v>
      </c>
      <c r="BJ52" s="6" t="str">
        <f t="shared" si="2"/>
        <v>10B_Fold_Median</v>
      </c>
      <c r="BK52" s="6" t="str">
        <f t="shared" si="3"/>
        <v>20B_Fold_Median</v>
      </c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</row>
    <row r="53" ht="15.75" customHeight="1">
      <c r="A53" s="1" t="s">
        <v>147</v>
      </c>
      <c r="B53" s="17">
        <v>448.0</v>
      </c>
      <c r="C53" s="9" t="s">
        <v>85</v>
      </c>
      <c r="D53" s="9">
        <v>0.916667</v>
      </c>
      <c r="E53" s="9" t="s">
        <v>85</v>
      </c>
      <c r="F53" s="9" t="s">
        <v>85</v>
      </c>
      <c r="G53" s="30">
        <v>0.916666687</v>
      </c>
      <c r="H53" s="9" t="s">
        <v>85</v>
      </c>
      <c r="I53" s="9" t="s">
        <v>85</v>
      </c>
      <c r="J53" s="9">
        <v>0.633333</v>
      </c>
      <c r="K53" s="9" t="s">
        <v>85</v>
      </c>
      <c r="L53" s="9" t="s">
        <v>85</v>
      </c>
      <c r="M53" s="9">
        <v>0.533333</v>
      </c>
      <c r="N53" s="9" t="s">
        <v>85</v>
      </c>
      <c r="O53" s="9" t="s">
        <v>85</v>
      </c>
      <c r="P53" s="9">
        <v>0.916667</v>
      </c>
      <c r="Q53" s="9" t="s">
        <v>85</v>
      </c>
      <c r="R53" s="9" t="s">
        <v>85</v>
      </c>
      <c r="S53" s="9">
        <v>0.883333</v>
      </c>
      <c r="T53" s="9" t="s">
        <v>85</v>
      </c>
      <c r="U53" s="9" t="s">
        <v>85</v>
      </c>
      <c r="V53" s="9">
        <v>0.55</v>
      </c>
      <c r="W53" s="9" t="s">
        <v>85</v>
      </c>
      <c r="X53" s="9" t="s">
        <v>85</v>
      </c>
      <c r="Y53" s="9">
        <v>0.5</v>
      </c>
      <c r="Z53" s="9" t="s">
        <v>85</v>
      </c>
      <c r="AA53" s="9" t="s">
        <v>85</v>
      </c>
      <c r="AB53" s="30">
        <v>0.916667</v>
      </c>
      <c r="AC53" s="9" t="s">
        <v>85</v>
      </c>
      <c r="AD53" s="9" t="s">
        <v>85</v>
      </c>
      <c r="AE53" s="30">
        <v>0.933333</v>
      </c>
      <c r="AF53" s="9" t="s">
        <v>85</v>
      </c>
      <c r="AG53" s="9" t="s">
        <v>85</v>
      </c>
      <c r="AH53" s="9">
        <v>0.666667</v>
      </c>
      <c r="AI53" s="9" t="s">
        <v>85</v>
      </c>
      <c r="AJ53" s="9" t="s">
        <v>85</v>
      </c>
      <c r="AK53" s="9">
        <v>0.733333</v>
      </c>
      <c r="AL53" s="9" t="s">
        <v>85</v>
      </c>
      <c r="AM53" s="9" t="s">
        <v>85</v>
      </c>
      <c r="AN53" s="9">
        <v>0.883333</v>
      </c>
      <c r="AO53" s="9" t="s">
        <v>85</v>
      </c>
      <c r="AP53" s="9" t="s">
        <v>85</v>
      </c>
      <c r="AQ53" s="30">
        <v>0.9</v>
      </c>
      <c r="AR53" s="9" t="s">
        <v>85</v>
      </c>
      <c r="AS53" s="9" t="s">
        <v>85</v>
      </c>
      <c r="AT53" s="9">
        <v>0.616667</v>
      </c>
      <c r="AU53" s="9" t="s">
        <v>85</v>
      </c>
      <c r="AV53" s="9" t="s">
        <v>85</v>
      </c>
      <c r="AW53" s="9">
        <v>0.65</v>
      </c>
      <c r="AX53" s="9" t="s">
        <v>85</v>
      </c>
      <c r="AY53" s="9" t="s">
        <v>85</v>
      </c>
      <c r="AZ53" s="9">
        <v>0.883333</v>
      </c>
      <c r="BA53" s="9" t="s">
        <v>85</v>
      </c>
      <c r="BB53" s="9" t="s">
        <v>85</v>
      </c>
      <c r="BC53" s="30">
        <v>0.616667</v>
      </c>
      <c r="BD53" s="9" t="s">
        <v>85</v>
      </c>
      <c r="BE53" s="9" t="s">
        <v>85</v>
      </c>
      <c r="BF53" s="9">
        <v>0.633333</v>
      </c>
      <c r="BG53" s="9" t="s">
        <v>85</v>
      </c>
      <c r="BH53" s="6"/>
      <c r="BI53" s="6" t="str">
        <f t="shared" si="1"/>
        <v>10BN_Fold_Median</v>
      </c>
      <c r="BJ53" s="6" t="str">
        <f t="shared" si="2"/>
        <v>5B_Fold_Median</v>
      </c>
      <c r="BK53" s="6" t="str">
        <f t="shared" si="3"/>
        <v>5B_Fold_Median</v>
      </c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</row>
    <row r="54" ht="15.75" customHeight="1">
      <c r="A54" s="1" t="s">
        <v>148</v>
      </c>
      <c r="B54" s="17">
        <v>99.0</v>
      </c>
      <c r="C54" s="9" t="s">
        <v>85</v>
      </c>
      <c r="D54" s="9">
        <v>0.521053</v>
      </c>
      <c r="E54" s="9" t="s">
        <v>85</v>
      </c>
      <c r="F54" s="9" t="s">
        <v>85</v>
      </c>
      <c r="G54" s="30">
        <v>0.514473677</v>
      </c>
      <c r="H54" s="9" t="s">
        <v>85</v>
      </c>
      <c r="I54" s="9" t="s">
        <v>85</v>
      </c>
      <c r="J54" s="9">
        <v>0.544737</v>
      </c>
      <c r="K54" s="9" t="s">
        <v>85</v>
      </c>
      <c r="L54" s="9" t="s">
        <v>85</v>
      </c>
      <c r="M54" s="9">
        <v>0.528947</v>
      </c>
      <c r="N54" s="9" t="s">
        <v>85</v>
      </c>
      <c r="O54" s="9" t="s">
        <v>85</v>
      </c>
      <c r="P54" s="9">
        <v>0.527632</v>
      </c>
      <c r="Q54" s="9" t="s">
        <v>85</v>
      </c>
      <c r="R54" s="9" t="s">
        <v>85</v>
      </c>
      <c r="S54" s="9">
        <v>0.526316</v>
      </c>
      <c r="T54" s="9" t="s">
        <v>85</v>
      </c>
      <c r="U54" s="9" t="s">
        <v>85</v>
      </c>
      <c r="V54" s="9">
        <v>0.551316</v>
      </c>
      <c r="W54" s="9" t="s">
        <v>85</v>
      </c>
      <c r="X54" s="9" t="s">
        <v>85</v>
      </c>
      <c r="Y54" s="9">
        <v>0.596053</v>
      </c>
      <c r="Z54" s="9" t="s">
        <v>85</v>
      </c>
      <c r="AA54" s="9" t="s">
        <v>85</v>
      </c>
      <c r="AB54" s="30">
        <v>0.542105</v>
      </c>
      <c r="AC54" s="9" t="s">
        <v>85</v>
      </c>
      <c r="AD54" s="9" t="s">
        <v>85</v>
      </c>
      <c r="AE54" s="30">
        <v>0.531579</v>
      </c>
      <c r="AF54" s="9" t="s">
        <v>85</v>
      </c>
      <c r="AG54" s="9" t="s">
        <v>85</v>
      </c>
      <c r="AH54" s="9">
        <v>0.517105</v>
      </c>
      <c r="AI54" s="9" t="s">
        <v>85</v>
      </c>
      <c r="AJ54" s="9" t="s">
        <v>85</v>
      </c>
      <c r="AK54" s="9">
        <v>0.530263</v>
      </c>
      <c r="AL54" s="9" t="s">
        <v>85</v>
      </c>
      <c r="AM54" s="9" t="s">
        <v>85</v>
      </c>
      <c r="AN54" s="9">
        <v>0.536842</v>
      </c>
      <c r="AO54" s="9" t="s">
        <v>85</v>
      </c>
      <c r="AP54" s="9" t="s">
        <v>85</v>
      </c>
      <c r="AQ54" s="30">
        <v>0.553947</v>
      </c>
      <c r="AR54" s="9" t="s">
        <v>85</v>
      </c>
      <c r="AS54" s="9" t="s">
        <v>85</v>
      </c>
      <c r="AT54" s="9">
        <v>0.536842</v>
      </c>
      <c r="AU54" s="9" t="s">
        <v>85</v>
      </c>
      <c r="AV54" s="9" t="s">
        <v>85</v>
      </c>
      <c r="AW54" s="9">
        <v>0.542105</v>
      </c>
      <c r="AX54" s="9" t="s">
        <v>85</v>
      </c>
      <c r="AY54" s="9" t="s">
        <v>85</v>
      </c>
      <c r="AZ54" s="9">
        <v>0.525</v>
      </c>
      <c r="BA54" s="9" t="s">
        <v>85</v>
      </c>
      <c r="BB54" s="9" t="s">
        <v>85</v>
      </c>
      <c r="BC54" s="30">
        <v>0.551316</v>
      </c>
      <c r="BD54" s="9" t="s">
        <v>85</v>
      </c>
      <c r="BE54" s="9" t="s">
        <v>85</v>
      </c>
      <c r="BF54" s="9">
        <v>0.514474</v>
      </c>
      <c r="BG54" s="9" t="s">
        <v>85</v>
      </c>
      <c r="BH54" s="6"/>
      <c r="BI54" s="6" t="str">
        <f t="shared" si="1"/>
        <v>8VB_Fold_Median</v>
      </c>
      <c r="BJ54" s="6" t="str">
        <f t="shared" si="2"/>
        <v>12BN_Fold_Median</v>
      </c>
      <c r="BK54" s="6" t="str">
        <f t="shared" si="3"/>
        <v>8V_Fold_Median</v>
      </c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</row>
    <row r="55" ht="15.75" customHeight="1">
      <c r="A55" s="1" t="s">
        <v>149</v>
      </c>
      <c r="B55" s="17">
        <v>80.0</v>
      </c>
      <c r="C55" s="9" t="s">
        <v>85</v>
      </c>
      <c r="D55" s="9">
        <v>0.564935</v>
      </c>
      <c r="E55" s="9" t="s">
        <v>85</v>
      </c>
      <c r="F55" s="9" t="s">
        <v>85</v>
      </c>
      <c r="G55" s="30">
        <v>0.558441579</v>
      </c>
      <c r="H55" s="9" t="s">
        <v>85</v>
      </c>
      <c r="I55" s="9" t="s">
        <v>85</v>
      </c>
      <c r="J55" s="9">
        <v>0.577922</v>
      </c>
      <c r="K55" s="9" t="s">
        <v>85</v>
      </c>
      <c r="L55" s="9" t="s">
        <v>85</v>
      </c>
      <c r="M55" s="9">
        <v>0.584416</v>
      </c>
      <c r="N55" s="9" t="s">
        <v>85</v>
      </c>
      <c r="O55" s="9" t="s">
        <v>85</v>
      </c>
      <c r="P55" s="9">
        <v>0.584416</v>
      </c>
      <c r="Q55" s="9" t="s">
        <v>85</v>
      </c>
      <c r="R55" s="9" t="s">
        <v>85</v>
      </c>
      <c r="S55" s="9">
        <v>0.584416</v>
      </c>
      <c r="T55" s="9" t="s">
        <v>85</v>
      </c>
      <c r="U55" s="9" t="s">
        <v>85</v>
      </c>
      <c r="V55" s="9">
        <v>0.577922</v>
      </c>
      <c r="W55" s="9" t="s">
        <v>85</v>
      </c>
      <c r="X55" s="9" t="s">
        <v>85</v>
      </c>
      <c r="Y55" s="9">
        <v>0.571429</v>
      </c>
      <c r="Z55" s="9" t="s">
        <v>85</v>
      </c>
      <c r="AA55" s="9" t="s">
        <v>85</v>
      </c>
      <c r="AB55" s="30">
        <v>0.584416</v>
      </c>
      <c r="AC55" s="9" t="s">
        <v>85</v>
      </c>
      <c r="AD55" s="9" t="s">
        <v>85</v>
      </c>
      <c r="AE55" s="30">
        <v>0.584416</v>
      </c>
      <c r="AF55" s="9" t="s">
        <v>85</v>
      </c>
      <c r="AG55" s="9" t="s">
        <v>85</v>
      </c>
      <c r="AH55" s="9">
        <v>0.571429</v>
      </c>
      <c r="AI55" s="9" t="s">
        <v>85</v>
      </c>
      <c r="AJ55" s="9" t="s">
        <v>85</v>
      </c>
      <c r="AK55" s="9">
        <v>0.564935</v>
      </c>
      <c r="AL55" s="9" t="s">
        <v>85</v>
      </c>
      <c r="AM55" s="9" t="s">
        <v>85</v>
      </c>
      <c r="AN55" s="9">
        <v>0.584416</v>
      </c>
      <c r="AO55" s="9" t="s">
        <v>85</v>
      </c>
      <c r="AP55" s="9" t="s">
        <v>85</v>
      </c>
      <c r="AQ55" s="30">
        <v>0.577922</v>
      </c>
      <c r="AR55" s="9" t="s">
        <v>85</v>
      </c>
      <c r="AS55" s="9" t="s">
        <v>85</v>
      </c>
      <c r="AT55" s="9">
        <v>0.577922</v>
      </c>
      <c r="AU55" s="9" t="s">
        <v>85</v>
      </c>
      <c r="AV55" s="9" t="s">
        <v>85</v>
      </c>
      <c r="AW55" s="9">
        <v>0.584416</v>
      </c>
      <c r="AX55" s="9" t="s">
        <v>85</v>
      </c>
      <c r="AY55" s="9" t="s">
        <v>85</v>
      </c>
      <c r="AZ55" s="9">
        <v>0.571429</v>
      </c>
      <c r="BA55" s="9" t="s">
        <v>85</v>
      </c>
      <c r="BB55" s="9" t="s">
        <v>85</v>
      </c>
      <c r="BC55" s="30">
        <v>0.584416</v>
      </c>
      <c r="BD55" s="9" t="s">
        <v>85</v>
      </c>
      <c r="BE55" s="9" t="s">
        <v>85</v>
      </c>
      <c r="BF55" s="9">
        <v>0.616883</v>
      </c>
      <c r="BG55" s="9" t="s">
        <v>85</v>
      </c>
      <c r="BH55" s="6"/>
      <c r="BI55" s="6" t="str">
        <f t="shared" si="1"/>
        <v>De_Fold_Median</v>
      </c>
      <c r="BJ55" s="6" t="str">
        <f t="shared" si="2"/>
        <v>5VB_Fold_Median</v>
      </c>
      <c r="BK55" s="6" t="str">
        <f t="shared" si="3"/>
        <v>5VB_Fold_Median</v>
      </c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</row>
    <row r="56" ht="15.75" customHeight="1">
      <c r="A56" s="1" t="s">
        <v>150</v>
      </c>
      <c r="B56" s="17">
        <v>80.0</v>
      </c>
      <c r="C56" s="9" t="s">
        <v>85</v>
      </c>
      <c r="D56" s="9">
        <v>0.714777</v>
      </c>
      <c r="E56" s="9" t="s">
        <v>85</v>
      </c>
      <c r="F56" s="9" t="s">
        <v>85</v>
      </c>
      <c r="G56" s="30">
        <v>0.676975965</v>
      </c>
      <c r="H56" s="9" t="s">
        <v>85</v>
      </c>
      <c r="I56" s="9" t="s">
        <v>85</v>
      </c>
      <c r="J56" s="9">
        <v>0.790378</v>
      </c>
      <c r="K56" s="9" t="s">
        <v>85</v>
      </c>
      <c r="L56" s="9" t="s">
        <v>85</v>
      </c>
      <c r="M56" s="9">
        <v>0.780069</v>
      </c>
      <c r="N56" s="9" t="s">
        <v>85</v>
      </c>
      <c r="O56" s="9" t="s">
        <v>85</v>
      </c>
      <c r="P56" s="9">
        <v>0.701031</v>
      </c>
      <c r="Q56" s="9" t="s">
        <v>85</v>
      </c>
      <c r="R56" s="9" t="s">
        <v>85</v>
      </c>
      <c r="S56" s="9">
        <v>0.752577</v>
      </c>
      <c r="T56" s="9" t="s">
        <v>85</v>
      </c>
      <c r="U56" s="9" t="s">
        <v>85</v>
      </c>
      <c r="V56" s="9">
        <v>0.766323</v>
      </c>
      <c r="W56" s="9" t="s">
        <v>85</v>
      </c>
      <c r="X56" s="9" t="s">
        <v>85</v>
      </c>
      <c r="Y56" s="9">
        <v>0.769759</v>
      </c>
      <c r="Z56" s="9" t="s">
        <v>85</v>
      </c>
      <c r="AA56" s="9" t="s">
        <v>85</v>
      </c>
      <c r="AB56" s="30">
        <v>0.749141</v>
      </c>
      <c r="AC56" s="9" t="s">
        <v>85</v>
      </c>
      <c r="AD56" s="9" t="s">
        <v>85</v>
      </c>
      <c r="AE56" s="30">
        <v>0.742268</v>
      </c>
      <c r="AF56" s="9" t="s">
        <v>85</v>
      </c>
      <c r="AG56" s="9" t="s">
        <v>85</v>
      </c>
      <c r="AH56" s="9">
        <v>0.756014</v>
      </c>
      <c r="AI56" s="9" t="s">
        <v>85</v>
      </c>
      <c r="AJ56" s="9" t="s">
        <v>85</v>
      </c>
      <c r="AK56" s="9">
        <v>0.776632</v>
      </c>
      <c r="AL56" s="9" t="s">
        <v>85</v>
      </c>
      <c r="AM56" s="9" t="s">
        <v>85</v>
      </c>
      <c r="AN56" s="9">
        <v>0.738832</v>
      </c>
      <c r="AO56" s="9" t="s">
        <v>85</v>
      </c>
      <c r="AP56" s="9" t="s">
        <v>85</v>
      </c>
      <c r="AQ56" s="30">
        <v>0.742268</v>
      </c>
      <c r="AR56" s="9" t="s">
        <v>85</v>
      </c>
      <c r="AS56" s="9" t="s">
        <v>85</v>
      </c>
      <c r="AT56" s="9">
        <v>0.790378</v>
      </c>
      <c r="AU56" s="9" t="s">
        <v>85</v>
      </c>
      <c r="AV56" s="9" t="s">
        <v>85</v>
      </c>
      <c r="AW56" s="9">
        <v>0.783505</v>
      </c>
      <c r="AX56" s="9" t="s">
        <v>85</v>
      </c>
      <c r="AY56" s="9" t="s">
        <v>85</v>
      </c>
      <c r="AZ56" s="9">
        <v>0.718213</v>
      </c>
      <c r="BA56" s="9" t="s">
        <v>85</v>
      </c>
      <c r="BB56" s="9" t="s">
        <v>85</v>
      </c>
      <c r="BC56" s="30">
        <v>0.804124</v>
      </c>
      <c r="BD56" s="9" t="s">
        <v>85</v>
      </c>
      <c r="BE56" s="9" t="s">
        <v>85</v>
      </c>
      <c r="BF56" s="9">
        <v>0.704467</v>
      </c>
      <c r="BG56" s="9" t="s">
        <v>85</v>
      </c>
      <c r="BH56" s="6"/>
      <c r="BI56" s="6" t="str">
        <f t="shared" si="1"/>
        <v>20V_Fold_Median</v>
      </c>
      <c r="BJ56" s="6" t="str">
        <f t="shared" si="2"/>
        <v>5V_Fold_Median</v>
      </c>
      <c r="BK56" s="6" t="str">
        <f t="shared" si="3"/>
        <v>5V_Fold_Median</v>
      </c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</row>
    <row r="57" ht="15.75" customHeight="1">
      <c r="A57" s="1" t="s">
        <v>151</v>
      </c>
      <c r="B57" s="17">
        <v>80.0</v>
      </c>
      <c r="C57" s="9" t="s">
        <v>85</v>
      </c>
      <c r="D57" s="9">
        <v>0.558442</v>
      </c>
      <c r="E57" s="9" t="s">
        <v>85</v>
      </c>
      <c r="F57" s="9" t="s">
        <v>85</v>
      </c>
      <c r="G57" s="30">
        <v>0.558441579</v>
      </c>
      <c r="H57" s="9" t="s">
        <v>85</v>
      </c>
      <c r="I57" s="9" t="s">
        <v>85</v>
      </c>
      <c r="J57" s="9">
        <v>0.577922</v>
      </c>
      <c r="K57" s="9" t="s">
        <v>85</v>
      </c>
      <c r="L57" s="9" t="s">
        <v>85</v>
      </c>
      <c r="M57" s="9">
        <v>0.558442</v>
      </c>
      <c r="N57" s="9" t="s">
        <v>85</v>
      </c>
      <c r="O57" s="9" t="s">
        <v>85</v>
      </c>
      <c r="P57" s="9">
        <v>0.551948</v>
      </c>
      <c r="Q57" s="9" t="s">
        <v>85</v>
      </c>
      <c r="R57" s="9" t="s">
        <v>85</v>
      </c>
      <c r="S57" s="9">
        <v>0.558442</v>
      </c>
      <c r="T57" s="9" t="s">
        <v>85</v>
      </c>
      <c r="U57" s="9" t="s">
        <v>85</v>
      </c>
      <c r="V57" s="9">
        <v>0.558442</v>
      </c>
      <c r="W57" s="9" t="s">
        <v>85</v>
      </c>
      <c r="X57" s="9" t="s">
        <v>85</v>
      </c>
      <c r="Y57" s="9">
        <v>0.558442</v>
      </c>
      <c r="Z57" s="9" t="s">
        <v>85</v>
      </c>
      <c r="AA57" s="9" t="s">
        <v>85</v>
      </c>
      <c r="AB57" s="30">
        <v>0.558442</v>
      </c>
      <c r="AC57" s="9" t="s">
        <v>85</v>
      </c>
      <c r="AD57" s="9" t="s">
        <v>85</v>
      </c>
      <c r="AE57" s="30">
        <v>0.558442</v>
      </c>
      <c r="AF57" s="9" t="s">
        <v>85</v>
      </c>
      <c r="AG57" s="9" t="s">
        <v>85</v>
      </c>
      <c r="AH57" s="9">
        <v>0.558442</v>
      </c>
      <c r="AI57" s="9" t="s">
        <v>85</v>
      </c>
      <c r="AJ57" s="9" t="s">
        <v>85</v>
      </c>
      <c r="AK57" s="9">
        <v>0.558442</v>
      </c>
      <c r="AL57" s="9" t="s">
        <v>85</v>
      </c>
      <c r="AM57" s="9" t="s">
        <v>85</v>
      </c>
      <c r="AN57" s="9">
        <v>0.558442</v>
      </c>
      <c r="AO57" s="9" t="s">
        <v>85</v>
      </c>
      <c r="AP57" s="9" t="s">
        <v>85</v>
      </c>
      <c r="AQ57" s="30">
        <v>0.558442</v>
      </c>
      <c r="AR57" s="9" t="s">
        <v>85</v>
      </c>
      <c r="AS57" s="9" t="s">
        <v>85</v>
      </c>
      <c r="AT57" s="9">
        <v>0.558442</v>
      </c>
      <c r="AU57" s="9" t="s">
        <v>85</v>
      </c>
      <c r="AV57" s="9" t="s">
        <v>85</v>
      </c>
      <c r="AW57" s="9">
        <v>0.558442</v>
      </c>
      <c r="AX57" s="9" t="s">
        <v>85</v>
      </c>
      <c r="AY57" s="9" t="s">
        <v>85</v>
      </c>
      <c r="AZ57" s="9">
        <v>0.558442</v>
      </c>
      <c r="BA57" s="9" t="s">
        <v>85</v>
      </c>
      <c r="BB57" s="9" t="s">
        <v>85</v>
      </c>
      <c r="BC57" s="30">
        <v>0.558442</v>
      </c>
      <c r="BD57" s="9" t="s">
        <v>85</v>
      </c>
      <c r="BE57" s="9" t="s">
        <v>85</v>
      </c>
      <c r="BF57" s="9">
        <v>0.558442</v>
      </c>
      <c r="BG57" s="9" t="s">
        <v>85</v>
      </c>
      <c r="BH57" s="6"/>
      <c r="BI57" s="6" t="str">
        <f t="shared" si="1"/>
        <v>5V_Fold_Median</v>
      </c>
      <c r="BJ57" s="6" t="str">
        <f t="shared" si="2"/>
        <v>5B_Fold_Median</v>
      </c>
      <c r="BK57" s="6" t="str">
        <f t="shared" si="3"/>
        <v>5B_Fold_Median</v>
      </c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</row>
    <row r="58" ht="15.75" customHeight="1">
      <c r="A58" s="1" t="s">
        <v>152</v>
      </c>
      <c r="B58" s="17">
        <v>1024.0</v>
      </c>
      <c r="C58" s="9" t="s">
        <v>85</v>
      </c>
      <c r="D58" s="9">
        <v>0.822268</v>
      </c>
      <c r="E58" s="9" t="s">
        <v>85</v>
      </c>
      <c r="F58" s="9" t="s">
        <v>85</v>
      </c>
      <c r="G58" s="30">
        <v>0.824742258</v>
      </c>
      <c r="H58" s="9" t="s">
        <v>85</v>
      </c>
      <c r="I58" s="9" t="s">
        <v>85</v>
      </c>
      <c r="J58" s="9">
        <v>0.851134</v>
      </c>
      <c r="K58" s="9" t="s">
        <v>85</v>
      </c>
      <c r="L58" s="9" t="s">
        <v>85</v>
      </c>
      <c r="M58" s="9">
        <v>0.856082</v>
      </c>
      <c r="N58" s="9" t="s">
        <v>85</v>
      </c>
      <c r="O58" s="9" t="s">
        <v>85</v>
      </c>
      <c r="P58" s="9">
        <v>0.856082</v>
      </c>
      <c r="Q58" s="9" t="s">
        <v>85</v>
      </c>
      <c r="R58" s="9" t="s">
        <v>85</v>
      </c>
      <c r="S58" s="9">
        <v>0.859381</v>
      </c>
      <c r="T58" s="9" t="s">
        <v>85</v>
      </c>
      <c r="U58" s="9" t="s">
        <v>85</v>
      </c>
      <c r="V58" s="9">
        <v>0.866804</v>
      </c>
      <c r="W58" s="9" t="s">
        <v>85</v>
      </c>
      <c r="X58" s="9" t="s">
        <v>85</v>
      </c>
      <c r="Y58" s="9">
        <v>0.875052</v>
      </c>
      <c r="Z58" s="9" t="s">
        <v>85</v>
      </c>
      <c r="AA58" s="9" t="s">
        <v>85</v>
      </c>
      <c r="AB58" s="30">
        <v>0.854433</v>
      </c>
      <c r="AC58" s="9" t="s">
        <v>85</v>
      </c>
      <c r="AD58" s="9" t="s">
        <v>85</v>
      </c>
      <c r="AE58" s="30">
        <v>0.852784</v>
      </c>
      <c r="AF58" s="9" t="s">
        <v>85</v>
      </c>
      <c r="AG58" s="9" t="s">
        <v>85</v>
      </c>
      <c r="AH58" s="9">
        <v>0.863505</v>
      </c>
      <c r="AI58" s="9" t="s">
        <v>85</v>
      </c>
      <c r="AJ58" s="9" t="s">
        <v>85</v>
      </c>
      <c r="AK58" s="9">
        <v>0.867629</v>
      </c>
      <c r="AL58" s="9" t="s">
        <v>85</v>
      </c>
      <c r="AM58" s="9" t="s">
        <v>85</v>
      </c>
      <c r="AN58" s="9">
        <v>0.852784</v>
      </c>
      <c r="AO58" s="9" t="s">
        <v>85</v>
      </c>
      <c r="AP58" s="9" t="s">
        <v>85</v>
      </c>
      <c r="AQ58" s="30">
        <v>0.856495</v>
      </c>
      <c r="AR58" s="9" t="s">
        <v>85</v>
      </c>
      <c r="AS58" s="9" t="s">
        <v>85</v>
      </c>
      <c r="AT58" s="9">
        <v>0.863918</v>
      </c>
      <c r="AU58" s="9" t="s">
        <v>85</v>
      </c>
      <c r="AV58" s="9" t="s">
        <v>85</v>
      </c>
      <c r="AW58" s="9">
        <v>0.861443</v>
      </c>
      <c r="AX58" s="9" t="s">
        <v>85</v>
      </c>
      <c r="AY58" s="9" t="s">
        <v>85</v>
      </c>
      <c r="AZ58" s="9">
        <v>0.858969</v>
      </c>
      <c r="BA58" s="9" t="s">
        <v>85</v>
      </c>
      <c r="BB58" s="9" t="s">
        <v>85</v>
      </c>
      <c r="BC58" s="30">
        <v>0.874227</v>
      </c>
      <c r="BD58" s="9" t="s">
        <v>85</v>
      </c>
      <c r="BE58" s="9" t="s">
        <v>85</v>
      </c>
      <c r="BF58" s="9">
        <v>0.779794</v>
      </c>
      <c r="BG58" s="9" t="s">
        <v>85</v>
      </c>
      <c r="BH58" s="6"/>
      <c r="BI58" s="6" t="str">
        <f t="shared" si="1"/>
        <v>8VB_Fold_Median</v>
      </c>
      <c r="BJ58" s="6" t="str">
        <f t="shared" si="2"/>
        <v>20V_Fold_Median</v>
      </c>
      <c r="BK58" s="6" t="str">
        <f t="shared" si="3"/>
        <v>10VB_Fold_Median</v>
      </c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</row>
    <row r="59" ht="15.75" customHeight="1">
      <c r="A59" s="1" t="s">
        <v>153</v>
      </c>
      <c r="B59" s="17">
        <v>1024.0</v>
      </c>
      <c r="C59" s="9" t="s">
        <v>85</v>
      </c>
      <c r="D59" s="9">
        <v>0.764948</v>
      </c>
      <c r="E59" s="9" t="s">
        <v>85</v>
      </c>
      <c r="F59" s="9" t="s">
        <v>85</v>
      </c>
      <c r="G59" s="30">
        <v>0.748865962</v>
      </c>
      <c r="H59" s="9" t="s">
        <v>85</v>
      </c>
      <c r="I59" s="9" t="s">
        <v>85</v>
      </c>
      <c r="J59" s="9">
        <v>0.789278</v>
      </c>
      <c r="K59" s="9" t="s">
        <v>85</v>
      </c>
      <c r="L59" s="9" t="s">
        <v>85</v>
      </c>
      <c r="M59" s="9">
        <v>0.798763</v>
      </c>
      <c r="N59" s="9" t="s">
        <v>85</v>
      </c>
      <c r="O59" s="9" t="s">
        <v>85</v>
      </c>
      <c r="P59" s="9">
        <v>0.783918</v>
      </c>
      <c r="Q59" s="9" t="s">
        <v>85</v>
      </c>
      <c r="R59" s="9" t="s">
        <v>85</v>
      </c>
      <c r="S59" s="9">
        <v>0.796289</v>
      </c>
      <c r="T59" s="9" t="s">
        <v>85</v>
      </c>
      <c r="U59" s="9" t="s">
        <v>85</v>
      </c>
      <c r="V59" s="9">
        <v>0.793402</v>
      </c>
      <c r="W59" s="9" t="s">
        <v>85</v>
      </c>
      <c r="X59" s="9" t="s">
        <v>85</v>
      </c>
      <c r="Y59" s="9">
        <v>0.816495</v>
      </c>
      <c r="Z59" s="9" t="s">
        <v>85</v>
      </c>
      <c r="AA59" s="9" t="s">
        <v>85</v>
      </c>
      <c r="AB59" s="30">
        <v>0.794639</v>
      </c>
      <c r="AC59" s="9" t="s">
        <v>85</v>
      </c>
      <c r="AD59" s="9" t="s">
        <v>85</v>
      </c>
      <c r="AE59" s="30">
        <v>0.802887</v>
      </c>
      <c r="AF59" s="9" t="s">
        <v>85</v>
      </c>
      <c r="AG59" s="9" t="s">
        <v>85</v>
      </c>
      <c r="AH59" s="9">
        <v>0.803299</v>
      </c>
      <c r="AI59" s="9" t="s">
        <v>85</v>
      </c>
      <c r="AJ59" s="9" t="s">
        <v>85</v>
      </c>
      <c r="AK59" s="9">
        <v>0.82268</v>
      </c>
      <c r="AL59" s="9" t="s">
        <v>85</v>
      </c>
      <c r="AM59" s="9" t="s">
        <v>85</v>
      </c>
      <c r="AN59" s="9">
        <v>0.782268</v>
      </c>
      <c r="AO59" s="9" t="s">
        <v>85</v>
      </c>
      <c r="AP59" s="9" t="s">
        <v>85</v>
      </c>
      <c r="AQ59" s="30">
        <v>0.782268</v>
      </c>
      <c r="AR59" s="9" t="s">
        <v>85</v>
      </c>
      <c r="AS59" s="9" t="s">
        <v>85</v>
      </c>
      <c r="AT59" s="9">
        <v>0.812783</v>
      </c>
      <c r="AU59" s="9" t="s">
        <v>85</v>
      </c>
      <c r="AV59" s="9" t="s">
        <v>85</v>
      </c>
      <c r="AW59" s="9">
        <v>0.807835</v>
      </c>
      <c r="AX59" s="9" t="s">
        <v>85</v>
      </c>
      <c r="AY59" s="9" t="s">
        <v>85</v>
      </c>
      <c r="AZ59" s="9">
        <v>0.80701</v>
      </c>
      <c r="BA59" s="9" t="s">
        <v>85</v>
      </c>
      <c r="BB59" s="9" t="s">
        <v>85</v>
      </c>
      <c r="BC59" s="30">
        <v>0.81732</v>
      </c>
      <c r="BD59" s="9" t="s">
        <v>85</v>
      </c>
      <c r="BE59" s="9" t="s">
        <v>85</v>
      </c>
      <c r="BF59" s="9">
        <v>0.723711</v>
      </c>
      <c r="BG59" s="9" t="s">
        <v>85</v>
      </c>
      <c r="BH59" s="6"/>
      <c r="BI59" s="6" t="str">
        <f t="shared" si="1"/>
        <v>10VB_Fold_Median</v>
      </c>
      <c r="BJ59" s="6" t="str">
        <f t="shared" si="2"/>
        <v>20V_Fold_Median</v>
      </c>
      <c r="BK59" s="6" t="str">
        <f t="shared" si="3"/>
        <v>8VB_Fold_Median</v>
      </c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</row>
    <row r="60" ht="15.75" customHeight="1">
      <c r="A60" s="1" t="s">
        <v>154</v>
      </c>
      <c r="B60" s="17">
        <v>84.0</v>
      </c>
      <c r="C60" s="9" t="s">
        <v>85</v>
      </c>
      <c r="D60" s="9">
        <v>0.722045</v>
      </c>
      <c r="E60" s="9" t="s">
        <v>85</v>
      </c>
      <c r="F60" s="9" t="s">
        <v>85</v>
      </c>
      <c r="G60" s="30">
        <v>0.809105456</v>
      </c>
      <c r="H60" s="9" t="s">
        <v>85</v>
      </c>
      <c r="I60" s="9" t="s">
        <v>85</v>
      </c>
      <c r="J60" s="9">
        <v>0.826677</v>
      </c>
      <c r="K60" s="9" t="s">
        <v>85</v>
      </c>
      <c r="L60" s="9" t="s">
        <v>85</v>
      </c>
      <c r="M60" s="9">
        <v>0.8123</v>
      </c>
      <c r="N60" s="9" t="s">
        <v>85</v>
      </c>
      <c r="O60" s="9" t="s">
        <v>85</v>
      </c>
      <c r="P60" s="9">
        <v>0.748403</v>
      </c>
      <c r="Q60" s="9" t="s">
        <v>85</v>
      </c>
      <c r="R60" s="9" t="s">
        <v>85</v>
      </c>
      <c r="S60" s="9">
        <v>0.780351</v>
      </c>
      <c r="T60" s="9" t="s">
        <v>85</v>
      </c>
      <c r="U60" s="9" t="s">
        <v>85</v>
      </c>
      <c r="V60" s="9">
        <v>0.82508</v>
      </c>
      <c r="W60" s="9" t="s">
        <v>85</v>
      </c>
      <c r="X60" s="9" t="s">
        <v>85</v>
      </c>
      <c r="Y60" s="9">
        <v>0.802716</v>
      </c>
      <c r="Z60" s="9" t="s">
        <v>85</v>
      </c>
      <c r="AA60" s="9" t="s">
        <v>85</v>
      </c>
      <c r="AB60" s="30">
        <v>0.735623</v>
      </c>
      <c r="AC60" s="9" t="s">
        <v>85</v>
      </c>
      <c r="AD60" s="9" t="s">
        <v>85</v>
      </c>
      <c r="AE60" s="30">
        <v>0.783546</v>
      </c>
      <c r="AF60" s="9" t="s">
        <v>85</v>
      </c>
      <c r="AG60" s="9" t="s">
        <v>85</v>
      </c>
      <c r="AH60" s="9">
        <v>0.820288</v>
      </c>
      <c r="AI60" s="9" t="s">
        <v>85</v>
      </c>
      <c r="AJ60" s="9" t="s">
        <v>85</v>
      </c>
      <c r="AK60" s="9">
        <v>0.83147</v>
      </c>
      <c r="AL60" s="9" t="s">
        <v>85</v>
      </c>
      <c r="AM60" s="9" t="s">
        <v>85</v>
      </c>
      <c r="AN60" s="9">
        <v>0.753195</v>
      </c>
      <c r="AO60" s="9" t="s">
        <v>85</v>
      </c>
      <c r="AP60" s="9" t="s">
        <v>85</v>
      </c>
      <c r="AQ60" s="30">
        <v>0.739617</v>
      </c>
      <c r="AR60" s="9" t="s">
        <v>85</v>
      </c>
      <c r="AS60" s="9" t="s">
        <v>85</v>
      </c>
      <c r="AT60" s="9">
        <v>0.82508</v>
      </c>
      <c r="AU60" s="9" t="s">
        <v>85</v>
      </c>
      <c r="AV60" s="9" t="s">
        <v>85</v>
      </c>
      <c r="AW60" s="9">
        <v>0.81869</v>
      </c>
      <c r="AX60" s="9" t="s">
        <v>85</v>
      </c>
      <c r="AY60" s="9" t="s">
        <v>85</v>
      </c>
      <c r="AZ60" s="9">
        <v>0.759585</v>
      </c>
      <c r="BA60" s="9" t="s">
        <v>85</v>
      </c>
      <c r="BB60" s="9" t="s">
        <v>85</v>
      </c>
      <c r="BC60" s="30">
        <v>0.791534</v>
      </c>
      <c r="BD60" s="9" t="s">
        <v>85</v>
      </c>
      <c r="BE60" s="9" t="s">
        <v>85</v>
      </c>
      <c r="BF60" s="9">
        <v>0.852236</v>
      </c>
      <c r="BG60" s="9" t="s">
        <v>85</v>
      </c>
      <c r="BH60" s="6"/>
      <c r="BI60" s="6" t="str">
        <f t="shared" si="1"/>
        <v>De_Fold_Median</v>
      </c>
      <c r="BJ60" s="6" t="str">
        <f t="shared" si="2"/>
        <v>10VB_Fold_Median</v>
      </c>
      <c r="BK60" s="6" t="str">
        <f t="shared" si="3"/>
        <v>5V_Fold_Median</v>
      </c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</row>
    <row r="61" ht="15.75" customHeight="1">
      <c r="A61" s="1" t="s">
        <v>155</v>
      </c>
      <c r="B61" s="17">
        <v>570.0</v>
      </c>
      <c r="C61" s="9" t="s">
        <v>85</v>
      </c>
      <c r="D61" s="9">
        <v>0.533333</v>
      </c>
      <c r="E61" s="9" t="s">
        <v>85</v>
      </c>
      <c r="F61" s="9" t="s">
        <v>85</v>
      </c>
      <c r="G61" s="30">
        <v>0.400000006</v>
      </c>
      <c r="H61" s="9" t="s">
        <v>85</v>
      </c>
      <c r="I61" s="9" t="s">
        <v>85</v>
      </c>
      <c r="J61" s="9">
        <v>0.4</v>
      </c>
      <c r="K61" s="9" t="s">
        <v>85</v>
      </c>
      <c r="L61" s="9" t="s">
        <v>85</v>
      </c>
      <c r="M61" s="9">
        <v>0.4</v>
      </c>
      <c r="N61" s="9" t="s">
        <v>85</v>
      </c>
      <c r="O61" s="9" t="s">
        <v>85</v>
      </c>
      <c r="P61" s="9">
        <v>0.466667</v>
      </c>
      <c r="Q61" s="9" t="s">
        <v>85</v>
      </c>
      <c r="R61" s="9" t="s">
        <v>85</v>
      </c>
      <c r="S61" s="9">
        <v>0.4</v>
      </c>
      <c r="T61" s="9" t="s">
        <v>85</v>
      </c>
      <c r="U61" s="9" t="s">
        <v>85</v>
      </c>
      <c r="V61" s="9">
        <v>0.4</v>
      </c>
      <c r="W61" s="9" t="s">
        <v>85</v>
      </c>
      <c r="X61" s="9" t="s">
        <v>85</v>
      </c>
      <c r="Y61" s="9">
        <v>0.4</v>
      </c>
      <c r="Z61" s="9" t="s">
        <v>85</v>
      </c>
      <c r="AA61" s="9" t="s">
        <v>85</v>
      </c>
      <c r="AB61" s="30">
        <v>0.4</v>
      </c>
      <c r="AC61" s="9" t="s">
        <v>85</v>
      </c>
      <c r="AD61" s="9" t="s">
        <v>85</v>
      </c>
      <c r="AE61" s="30">
        <v>0.4</v>
      </c>
      <c r="AF61" s="9" t="s">
        <v>85</v>
      </c>
      <c r="AG61" s="9" t="s">
        <v>85</v>
      </c>
      <c r="AH61" s="9">
        <v>0.4</v>
      </c>
      <c r="AI61" s="9" t="s">
        <v>85</v>
      </c>
      <c r="AJ61" s="9" t="s">
        <v>85</v>
      </c>
      <c r="AK61" s="9">
        <v>0.4</v>
      </c>
      <c r="AL61" s="9" t="s">
        <v>85</v>
      </c>
      <c r="AM61" s="9" t="s">
        <v>85</v>
      </c>
      <c r="AN61" s="9">
        <v>0.4</v>
      </c>
      <c r="AO61" s="9" t="s">
        <v>85</v>
      </c>
      <c r="AP61" s="9" t="s">
        <v>85</v>
      </c>
      <c r="AQ61" s="30">
        <v>0.4</v>
      </c>
      <c r="AR61" s="9" t="s">
        <v>85</v>
      </c>
      <c r="AS61" s="9" t="s">
        <v>85</v>
      </c>
      <c r="AT61" s="9">
        <v>0.4</v>
      </c>
      <c r="AU61" s="9" t="s">
        <v>85</v>
      </c>
      <c r="AV61" s="9" t="s">
        <v>85</v>
      </c>
      <c r="AW61" s="9">
        <v>0.4</v>
      </c>
      <c r="AX61" s="9" t="s">
        <v>85</v>
      </c>
      <c r="AY61" s="9" t="s">
        <v>85</v>
      </c>
      <c r="AZ61" s="9">
        <v>0.4</v>
      </c>
      <c r="BA61" s="9" t="s">
        <v>85</v>
      </c>
      <c r="BB61" s="9" t="s">
        <v>85</v>
      </c>
      <c r="BC61" s="30">
        <v>0.4</v>
      </c>
      <c r="BD61" s="9" t="s">
        <v>85</v>
      </c>
      <c r="BE61" s="9" t="s">
        <v>85</v>
      </c>
      <c r="BF61" s="9">
        <v>0.4</v>
      </c>
      <c r="BG61" s="9" t="s">
        <v>85</v>
      </c>
      <c r="BH61" s="6"/>
      <c r="BI61" s="6" t="str">
        <f t="shared" si="1"/>
        <v>5B_Fold_Median</v>
      </c>
      <c r="BJ61" s="6" t="str">
        <f t="shared" si="2"/>
        <v>8B_Fold_Median</v>
      </c>
      <c r="BK61" s="6" t="str">
        <f t="shared" si="3"/>
        <v>5BN_Fold_Median</v>
      </c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</row>
    <row r="62" ht="15.75" customHeight="1">
      <c r="A62" s="1" t="s">
        <v>156</v>
      </c>
      <c r="B62" s="17">
        <v>427.0</v>
      </c>
      <c r="C62" s="9" t="s">
        <v>85</v>
      </c>
      <c r="D62" s="9">
        <v>0.413223</v>
      </c>
      <c r="E62" s="9" t="s">
        <v>85</v>
      </c>
      <c r="F62" s="9" t="s">
        <v>85</v>
      </c>
      <c r="G62" s="30">
        <v>0.446280986</v>
      </c>
      <c r="H62" s="9" t="s">
        <v>85</v>
      </c>
      <c r="I62" s="9" t="s">
        <v>85</v>
      </c>
      <c r="J62" s="9">
        <v>0.450413</v>
      </c>
      <c r="K62" s="9" t="s">
        <v>85</v>
      </c>
      <c r="L62" s="9" t="s">
        <v>85</v>
      </c>
      <c r="M62" s="9">
        <v>0.400826</v>
      </c>
      <c r="N62" s="9" t="s">
        <v>85</v>
      </c>
      <c r="O62" s="9" t="s">
        <v>85</v>
      </c>
      <c r="P62" s="9">
        <v>0.38843</v>
      </c>
      <c r="Q62" s="9" t="s">
        <v>85</v>
      </c>
      <c r="R62" s="9" t="s">
        <v>85</v>
      </c>
      <c r="S62" s="9">
        <v>0.413223</v>
      </c>
      <c r="T62" s="9" t="s">
        <v>85</v>
      </c>
      <c r="U62" s="9" t="s">
        <v>85</v>
      </c>
      <c r="V62" s="9">
        <v>0.446281</v>
      </c>
      <c r="W62" s="9" t="s">
        <v>85</v>
      </c>
      <c r="X62" s="9" t="s">
        <v>85</v>
      </c>
      <c r="Y62" s="9">
        <v>0.429752</v>
      </c>
      <c r="Z62" s="9" t="s">
        <v>85</v>
      </c>
      <c r="AA62" s="9" t="s">
        <v>85</v>
      </c>
      <c r="AB62" s="30">
        <v>0.46281</v>
      </c>
      <c r="AC62" s="9" t="s">
        <v>85</v>
      </c>
      <c r="AD62" s="9" t="s">
        <v>85</v>
      </c>
      <c r="AE62" s="30">
        <v>0.458678</v>
      </c>
      <c r="AF62" s="9" t="s">
        <v>85</v>
      </c>
      <c r="AG62" s="9" t="s">
        <v>85</v>
      </c>
      <c r="AH62" s="9">
        <v>0.417355</v>
      </c>
      <c r="AI62" s="9" t="s">
        <v>85</v>
      </c>
      <c r="AJ62" s="9" t="s">
        <v>85</v>
      </c>
      <c r="AK62" s="9">
        <v>0.429752</v>
      </c>
      <c r="AL62" s="9" t="s">
        <v>85</v>
      </c>
      <c r="AM62" s="9" t="s">
        <v>85</v>
      </c>
      <c r="AN62" s="9">
        <v>0.454545</v>
      </c>
      <c r="AO62" s="9" t="s">
        <v>85</v>
      </c>
      <c r="AP62" s="9" t="s">
        <v>85</v>
      </c>
      <c r="AQ62" s="30">
        <v>0.466942</v>
      </c>
      <c r="AR62" s="9" t="s">
        <v>85</v>
      </c>
      <c r="AS62" s="9" t="s">
        <v>85</v>
      </c>
      <c r="AT62" s="9">
        <v>0.487603</v>
      </c>
      <c r="AU62" s="9" t="s">
        <v>85</v>
      </c>
      <c r="AV62" s="9" t="s">
        <v>85</v>
      </c>
      <c r="AW62" s="9">
        <v>0.495868</v>
      </c>
      <c r="AX62" s="9" t="s">
        <v>85</v>
      </c>
      <c r="AY62" s="9" t="s">
        <v>85</v>
      </c>
      <c r="AZ62" s="9">
        <v>0.458678</v>
      </c>
      <c r="BA62" s="9" t="s">
        <v>85</v>
      </c>
      <c r="BB62" s="9" t="s">
        <v>85</v>
      </c>
      <c r="BC62" s="30">
        <v>0.471074</v>
      </c>
      <c r="BD62" s="9" t="s">
        <v>85</v>
      </c>
      <c r="BE62" s="9" t="s">
        <v>85</v>
      </c>
      <c r="BF62" s="9">
        <v>0.322314</v>
      </c>
      <c r="BG62" s="9" t="s">
        <v>85</v>
      </c>
      <c r="BH62" s="6"/>
      <c r="BI62" s="6" t="str">
        <f t="shared" si="1"/>
        <v>12VB_Fold_Median</v>
      </c>
      <c r="BJ62" s="6" t="str">
        <f t="shared" si="2"/>
        <v>12V_Fold_Median</v>
      </c>
      <c r="BK62" s="6" t="str">
        <f t="shared" si="3"/>
        <v>20V_Fold_Median</v>
      </c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</row>
    <row r="63" ht="15.75" customHeight="1">
      <c r="A63" s="1" t="s">
        <v>157</v>
      </c>
      <c r="B63" s="17">
        <v>80.0</v>
      </c>
      <c r="C63" s="9" t="s">
        <v>85</v>
      </c>
      <c r="D63" s="9">
        <v>0.613054</v>
      </c>
      <c r="E63" s="9" t="s">
        <v>85</v>
      </c>
      <c r="F63" s="9" t="s">
        <v>85</v>
      </c>
      <c r="G63" s="30">
        <v>0.692307711</v>
      </c>
      <c r="H63" s="9" t="s">
        <v>85</v>
      </c>
      <c r="I63" s="9" t="s">
        <v>85</v>
      </c>
      <c r="J63" s="9">
        <v>0.731935</v>
      </c>
      <c r="K63" s="9" t="s">
        <v>85</v>
      </c>
      <c r="L63" s="9" t="s">
        <v>85</v>
      </c>
      <c r="M63" s="9">
        <v>0.748252</v>
      </c>
      <c r="N63" s="9" t="s">
        <v>85</v>
      </c>
      <c r="O63" s="9" t="s">
        <v>85</v>
      </c>
      <c r="P63" s="9">
        <v>0.715618</v>
      </c>
      <c r="Q63" s="9" t="s">
        <v>85</v>
      </c>
      <c r="R63" s="9" t="s">
        <v>85</v>
      </c>
      <c r="S63" s="9">
        <v>0.713287</v>
      </c>
      <c r="T63" s="9" t="s">
        <v>85</v>
      </c>
      <c r="U63" s="9" t="s">
        <v>85</v>
      </c>
      <c r="V63" s="9">
        <v>0.772727</v>
      </c>
      <c r="W63" s="9" t="s">
        <v>85</v>
      </c>
      <c r="X63" s="9" t="s">
        <v>85</v>
      </c>
      <c r="Y63" s="9">
        <v>0.758741</v>
      </c>
      <c r="Z63" s="9" t="s">
        <v>85</v>
      </c>
      <c r="AA63" s="9" t="s">
        <v>85</v>
      </c>
      <c r="AB63" s="30">
        <v>0.722611</v>
      </c>
      <c r="AC63" s="9" t="s">
        <v>85</v>
      </c>
      <c r="AD63" s="9" t="s">
        <v>85</v>
      </c>
      <c r="AE63" s="30">
        <v>0.740093</v>
      </c>
      <c r="AF63" s="9" t="s">
        <v>85</v>
      </c>
      <c r="AG63" s="9" t="s">
        <v>85</v>
      </c>
      <c r="AH63" s="9">
        <v>0.762238</v>
      </c>
      <c r="AI63" s="9" t="s">
        <v>85</v>
      </c>
      <c r="AJ63" s="9" t="s">
        <v>85</v>
      </c>
      <c r="AK63" s="9">
        <v>0.764569</v>
      </c>
      <c r="AL63" s="9" t="s">
        <v>85</v>
      </c>
      <c r="AM63" s="9" t="s">
        <v>85</v>
      </c>
      <c r="AN63" s="9">
        <v>0.75641</v>
      </c>
      <c r="AO63" s="9" t="s">
        <v>85</v>
      </c>
      <c r="AP63" s="9" t="s">
        <v>85</v>
      </c>
      <c r="AQ63" s="30">
        <v>0.757576</v>
      </c>
      <c r="AR63" s="9" t="s">
        <v>85</v>
      </c>
      <c r="AS63" s="9" t="s">
        <v>85</v>
      </c>
      <c r="AT63" s="9">
        <v>0.784382</v>
      </c>
      <c r="AU63" s="9" t="s">
        <v>85</v>
      </c>
      <c r="AV63" s="9" t="s">
        <v>85</v>
      </c>
      <c r="AW63" s="9">
        <v>0.780886</v>
      </c>
      <c r="AX63" s="9" t="s">
        <v>85</v>
      </c>
      <c r="AY63" s="9" t="s">
        <v>85</v>
      </c>
      <c r="AZ63" s="9">
        <v>0.745921</v>
      </c>
      <c r="BA63" s="9" t="s">
        <v>85</v>
      </c>
      <c r="BB63" s="9" t="s">
        <v>85</v>
      </c>
      <c r="BC63" s="30">
        <v>0.613054</v>
      </c>
      <c r="BD63" s="9" t="s">
        <v>85</v>
      </c>
      <c r="BE63" s="9" t="s">
        <v>85</v>
      </c>
      <c r="BF63" s="9">
        <v>0.664336</v>
      </c>
      <c r="BG63" s="9" t="s">
        <v>85</v>
      </c>
      <c r="BH63" s="6"/>
      <c r="BI63" s="6" t="str">
        <f t="shared" si="1"/>
        <v>12V_Fold_Median</v>
      </c>
      <c r="BJ63" s="6" t="str">
        <f t="shared" si="2"/>
        <v>12VB_Fold_Median</v>
      </c>
      <c r="BK63" s="6" t="str">
        <f t="shared" si="3"/>
        <v>8V_Fold_Median</v>
      </c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</row>
    <row r="64" ht="15.75" customHeight="1">
      <c r="A64" s="1" t="s">
        <v>158</v>
      </c>
      <c r="B64" s="17">
        <v>1024.0</v>
      </c>
      <c r="C64" s="9" t="s">
        <v>85</v>
      </c>
      <c r="D64" s="9">
        <v>0.141878</v>
      </c>
      <c r="E64" s="9" t="s">
        <v>85</v>
      </c>
      <c r="F64" s="9" t="s">
        <v>85</v>
      </c>
      <c r="G64" s="30">
        <v>0.145569623</v>
      </c>
      <c r="H64" s="9" t="s">
        <v>85</v>
      </c>
      <c r="I64" s="9" t="s">
        <v>85</v>
      </c>
      <c r="J64" s="9">
        <v>0.1577</v>
      </c>
      <c r="K64" s="9" t="s">
        <v>85</v>
      </c>
      <c r="L64" s="9" t="s">
        <v>85</v>
      </c>
      <c r="M64" s="9">
        <v>0.156118</v>
      </c>
      <c r="N64" s="9" t="s">
        <v>85</v>
      </c>
      <c r="O64" s="9" t="s">
        <v>85</v>
      </c>
      <c r="P64" s="9">
        <v>0.151899</v>
      </c>
      <c r="Q64" s="9" t="s">
        <v>85</v>
      </c>
      <c r="R64" s="9" t="s">
        <v>85</v>
      </c>
      <c r="S64" s="9">
        <v>0.149789</v>
      </c>
      <c r="T64" s="9" t="s">
        <v>85</v>
      </c>
      <c r="U64" s="9" t="s">
        <v>85</v>
      </c>
      <c r="V64" s="9">
        <v>0.152426</v>
      </c>
      <c r="W64" s="9" t="s">
        <v>85</v>
      </c>
      <c r="X64" s="9" t="s">
        <v>85</v>
      </c>
      <c r="Y64" s="9">
        <v>0.153481</v>
      </c>
      <c r="Z64" s="9" t="s">
        <v>85</v>
      </c>
      <c r="AA64" s="9" t="s">
        <v>85</v>
      </c>
      <c r="AB64" s="30">
        <v>0.149789</v>
      </c>
      <c r="AC64" s="9" t="s">
        <v>85</v>
      </c>
      <c r="AD64" s="9" t="s">
        <v>85</v>
      </c>
      <c r="AE64" s="30">
        <v>0.152426</v>
      </c>
      <c r="AF64" s="9" t="s">
        <v>85</v>
      </c>
      <c r="AG64" s="9" t="s">
        <v>85</v>
      </c>
      <c r="AH64" s="9">
        <v>0.149262</v>
      </c>
      <c r="AI64" s="9" t="s">
        <v>85</v>
      </c>
      <c r="AJ64" s="9" t="s">
        <v>85</v>
      </c>
      <c r="AK64" s="9">
        <v>0.150844</v>
      </c>
      <c r="AL64" s="9" t="s">
        <v>85</v>
      </c>
      <c r="AM64" s="9" t="s">
        <v>85</v>
      </c>
      <c r="AN64" s="9">
        <v>0.167194</v>
      </c>
      <c r="AO64" s="9" t="s">
        <v>85</v>
      </c>
      <c r="AP64" s="9" t="s">
        <v>85</v>
      </c>
      <c r="AQ64" s="30">
        <v>0.156646</v>
      </c>
      <c r="AR64" s="9" t="s">
        <v>85</v>
      </c>
      <c r="AS64" s="9" t="s">
        <v>85</v>
      </c>
      <c r="AT64" s="9">
        <v>0.149262</v>
      </c>
      <c r="AU64" s="9" t="s">
        <v>85</v>
      </c>
      <c r="AV64" s="9" t="s">
        <v>85</v>
      </c>
      <c r="AW64" s="9">
        <v>0.149262</v>
      </c>
      <c r="AX64" s="9" t="s">
        <v>85</v>
      </c>
      <c r="AY64" s="9" t="s">
        <v>85</v>
      </c>
      <c r="AZ64" s="9">
        <v>0.150844</v>
      </c>
      <c r="BA64" s="9" t="s">
        <v>85</v>
      </c>
      <c r="BB64" s="9" t="s">
        <v>85</v>
      </c>
      <c r="BC64" s="30">
        <v>0.120781</v>
      </c>
      <c r="BD64" s="9" t="s">
        <v>85</v>
      </c>
      <c r="BE64" s="9" t="s">
        <v>85</v>
      </c>
      <c r="BF64" s="9">
        <v>0.112869</v>
      </c>
      <c r="BG64" s="9" t="s">
        <v>85</v>
      </c>
      <c r="BH64" s="6"/>
      <c r="BI64" s="6" t="str">
        <f t="shared" si="1"/>
        <v>12B_Fold_Median</v>
      </c>
      <c r="BJ64" s="6" t="str">
        <f t="shared" si="2"/>
        <v>5V_Fold_Median</v>
      </c>
      <c r="BK64" s="6" t="str">
        <f t="shared" si="3"/>
        <v>12BN_Fold_Median</v>
      </c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</row>
    <row r="65" ht="15.75" customHeight="1">
      <c r="A65" s="1" t="s">
        <v>159</v>
      </c>
      <c r="B65" s="17">
        <v>2000.0</v>
      </c>
      <c r="C65" s="9" t="s">
        <v>85</v>
      </c>
      <c r="D65" s="9">
        <v>0.028846</v>
      </c>
      <c r="E65" s="9" t="s">
        <v>85</v>
      </c>
      <c r="F65" s="9" t="s">
        <v>85</v>
      </c>
      <c r="G65" s="30">
        <v>0.033653848</v>
      </c>
      <c r="H65" s="9" t="s">
        <v>85</v>
      </c>
      <c r="I65" s="9" t="s">
        <v>85</v>
      </c>
      <c r="J65" s="9">
        <v>0.052885</v>
      </c>
      <c r="K65" s="9" t="s">
        <v>85</v>
      </c>
      <c r="L65" s="9" t="s">
        <v>85</v>
      </c>
      <c r="M65" s="9">
        <v>0.024038</v>
      </c>
      <c r="N65" s="9" t="s">
        <v>85</v>
      </c>
      <c r="O65" s="9" t="s">
        <v>85</v>
      </c>
      <c r="P65" s="9">
        <v>0.019231</v>
      </c>
      <c r="Q65" s="9" t="s">
        <v>85</v>
      </c>
      <c r="R65" s="9" t="s">
        <v>85</v>
      </c>
      <c r="S65" s="9">
        <v>0.024038</v>
      </c>
      <c r="T65" s="9" t="s">
        <v>85</v>
      </c>
      <c r="U65" s="9" t="s">
        <v>85</v>
      </c>
      <c r="V65" s="9">
        <v>0.028846</v>
      </c>
      <c r="W65" s="9" t="s">
        <v>85</v>
      </c>
      <c r="X65" s="9" t="s">
        <v>85</v>
      </c>
      <c r="Y65" s="9">
        <v>0.019231</v>
      </c>
      <c r="Z65" s="9" t="s">
        <v>85</v>
      </c>
      <c r="AA65" s="9" t="s">
        <v>85</v>
      </c>
      <c r="AB65" s="30">
        <v>0.033654</v>
      </c>
      <c r="AC65" s="9" t="s">
        <v>85</v>
      </c>
      <c r="AD65" s="9" t="s">
        <v>85</v>
      </c>
      <c r="AE65" s="30">
        <v>0.028846</v>
      </c>
      <c r="AF65" s="9" t="s">
        <v>85</v>
      </c>
      <c r="AG65" s="9" t="s">
        <v>85</v>
      </c>
      <c r="AH65" s="9">
        <v>0.038462</v>
      </c>
      <c r="AI65" s="9" t="s">
        <v>85</v>
      </c>
      <c r="AJ65" s="9" t="s">
        <v>85</v>
      </c>
      <c r="AK65" s="9">
        <v>0.014423</v>
      </c>
      <c r="AL65" s="9" t="s">
        <v>85</v>
      </c>
      <c r="AM65" s="9" t="s">
        <v>85</v>
      </c>
      <c r="AN65" s="9">
        <v>0.024038</v>
      </c>
      <c r="AO65" s="9" t="s">
        <v>85</v>
      </c>
      <c r="AP65" s="9" t="s">
        <v>85</v>
      </c>
      <c r="AQ65" s="30">
        <v>0.024038</v>
      </c>
      <c r="AR65" s="9" t="s">
        <v>85</v>
      </c>
      <c r="AS65" s="9" t="s">
        <v>85</v>
      </c>
      <c r="AT65" s="9">
        <v>0.033654</v>
      </c>
      <c r="AU65" s="9" t="s">
        <v>85</v>
      </c>
      <c r="AV65" s="9" t="s">
        <v>85</v>
      </c>
      <c r="AW65" s="9">
        <v>0.033654</v>
      </c>
      <c r="AX65" s="9" t="s">
        <v>85</v>
      </c>
      <c r="AY65" s="9" t="s">
        <v>85</v>
      </c>
      <c r="AZ65" s="9">
        <v>0.019231</v>
      </c>
      <c r="BA65" s="9" t="s">
        <v>85</v>
      </c>
      <c r="BB65" s="9" t="s">
        <v>85</v>
      </c>
      <c r="BC65" s="30">
        <v>0.038462</v>
      </c>
      <c r="BD65" s="9" t="s">
        <v>85</v>
      </c>
      <c r="BE65" s="9" t="s">
        <v>85</v>
      </c>
      <c r="BF65" s="9">
        <v>0.019231</v>
      </c>
      <c r="BG65" s="9" t="s">
        <v>85</v>
      </c>
      <c r="BH65" s="6"/>
      <c r="BI65" s="6" t="str">
        <f t="shared" si="1"/>
        <v>5V_Fold_Median</v>
      </c>
      <c r="BJ65" s="6" t="str">
        <f t="shared" si="2"/>
        <v>10V_Fold_Median</v>
      </c>
      <c r="BK65" s="6" t="str">
        <f t="shared" si="3"/>
        <v>10V_Fold_Median</v>
      </c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</row>
    <row r="66" ht="15.75" customHeight="1">
      <c r="A66" s="1" t="s">
        <v>160</v>
      </c>
      <c r="B66" s="17">
        <v>2000.0</v>
      </c>
      <c r="C66" s="9" t="s">
        <v>85</v>
      </c>
      <c r="D66" s="9">
        <v>0.019231</v>
      </c>
      <c r="E66" s="9" t="s">
        <v>85</v>
      </c>
      <c r="F66" s="9" t="s">
        <v>85</v>
      </c>
      <c r="G66" s="30">
        <v>0.024038462</v>
      </c>
      <c r="H66" s="9" t="s">
        <v>85</v>
      </c>
      <c r="I66" s="9" t="s">
        <v>85</v>
      </c>
      <c r="J66" s="9">
        <v>0.033654</v>
      </c>
      <c r="K66" s="9" t="s">
        <v>85</v>
      </c>
      <c r="L66" s="9" t="s">
        <v>85</v>
      </c>
      <c r="M66" s="9">
        <v>0.028846</v>
      </c>
      <c r="N66" s="9" t="s">
        <v>85</v>
      </c>
      <c r="O66" s="9" t="s">
        <v>85</v>
      </c>
      <c r="P66" s="9">
        <v>0.019231</v>
      </c>
      <c r="Q66" s="9" t="s">
        <v>85</v>
      </c>
      <c r="R66" s="9" t="s">
        <v>85</v>
      </c>
      <c r="S66" s="9">
        <v>0.019231</v>
      </c>
      <c r="T66" s="9" t="s">
        <v>85</v>
      </c>
      <c r="U66" s="9" t="s">
        <v>85</v>
      </c>
      <c r="V66" s="9">
        <v>0.019231</v>
      </c>
      <c r="W66" s="9" t="s">
        <v>85</v>
      </c>
      <c r="X66" s="9" t="s">
        <v>85</v>
      </c>
      <c r="Y66" s="9">
        <v>0.019231</v>
      </c>
      <c r="Z66" s="9" t="s">
        <v>85</v>
      </c>
      <c r="AA66" s="9" t="s">
        <v>85</v>
      </c>
      <c r="AB66" s="30">
        <v>0.028846</v>
      </c>
      <c r="AC66" s="9" t="s">
        <v>85</v>
      </c>
      <c r="AD66" s="9" t="s">
        <v>85</v>
      </c>
      <c r="AE66" s="30">
        <v>0.019231</v>
      </c>
      <c r="AF66" s="9" t="s">
        <v>85</v>
      </c>
      <c r="AG66" s="9" t="s">
        <v>85</v>
      </c>
      <c r="AH66" s="9">
        <v>0.033654</v>
      </c>
      <c r="AI66" s="9" t="s">
        <v>85</v>
      </c>
      <c r="AJ66" s="9" t="s">
        <v>85</v>
      </c>
      <c r="AK66" s="9">
        <v>0.019231</v>
      </c>
      <c r="AL66" s="9" t="s">
        <v>85</v>
      </c>
      <c r="AM66" s="9" t="s">
        <v>85</v>
      </c>
      <c r="AN66" s="9">
        <v>0.019231</v>
      </c>
      <c r="AO66" s="9" t="s">
        <v>85</v>
      </c>
      <c r="AP66" s="9" t="s">
        <v>85</v>
      </c>
      <c r="AQ66" s="30">
        <v>0.024038</v>
      </c>
      <c r="AR66" s="9" t="s">
        <v>85</v>
      </c>
      <c r="AS66" s="9" t="s">
        <v>85</v>
      </c>
      <c r="AT66" s="9">
        <v>0.019231</v>
      </c>
      <c r="AU66" s="9" t="s">
        <v>85</v>
      </c>
      <c r="AV66" s="9" t="s">
        <v>85</v>
      </c>
      <c r="AW66" s="9">
        <v>0.019231</v>
      </c>
      <c r="AX66" s="9" t="s">
        <v>85</v>
      </c>
      <c r="AY66" s="9" t="s">
        <v>85</v>
      </c>
      <c r="AZ66" s="9">
        <v>0.019231</v>
      </c>
      <c r="BA66" s="9" t="s">
        <v>85</v>
      </c>
      <c r="BB66" s="9" t="s">
        <v>85</v>
      </c>
      <c r="BC66" s="30">
        <v>0.019231</v>
      </c>
      <c r="BD66" s="9" t="s">
        <v>85</v>
      </c>
      <c r="BE66" s="9" t="s">
        <v>85</v>
      </c>
      <c r="BF66" s="9">
        <v>0.019231</v>
      </c>
      <c r="BG66" s="9" t="s">
        <v>85</v>
      </c>
      <c r="BH66" s="6"/>
      <c r="BI66" s="6" t="str">
        <f t="shared" si="1"/>
        <v>5V_Fold_Median</v>
      </c>
      <c r="BJ66" s="6" t="str">
        <f t="shared" si="2"/>
        <v>5V_Fold_Median</v>
      </c>
      <c r="BK66" s="6" t="str">
        <f t="shared" si="3"/>
        <v>5VB_Fold_Median</v>
      </c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</row>
    <row r="67" ht="15.75" customHeight="1">
      <c r="A67" s="1" t="s">
        <v>161</v>
      </c>
      <c r="B67" s="17">
        <v>2000.0</v>
      </c>
      <c r="C67" s="9" t="s">
        <v>85</v>
      </c>
      <c r="D67" s="9">
        <v>0.019231</v>
      </c>
      <c r="E67" s="9" t="s">
        <v>85</v>
      </c>
      <c r="F67" s="9" t="s">
        <v>85</v>
      </c>
      <c r="G67" s="30">
        <v>0.01923077</v>
      </c>
      <c r="H67" s="9" t="s">
        <v>85</v>
      </c>
      <c r="I67" s="9" t="s">
        <v>85</v>
      </c>
      <c r="J67" s="9">
        <v>0.019231</v>
      </c>
      <c r="K67" s="9" t="s">
        <v>85</v>
      </c>
      <c r="L67" s="9" t="s">
        <v>85</v>
      </c>
      <c r="M67" s="9">
        <v>0.019231</v>
      </c>
      <c r="N67" s="9" t="s">
        <v>85</v>
      </c>
      <c r="O67" s="9" t="s">
        <v>85</v>
      </c>
      <c r="P67" s="9">
        <v>0.024038</v>
      </c>
      <c r="Q67" s="9" t="s">
        <v>85</v>
      </c>
      <c r="R67" s="9" t="s">
        <v>85</v>
      </c>
      <c r="S67" s="9">
        <v>0.028846</v>
      </c>
      <c r="T67" s="9" t="s">
        <v>85</v>
      </c>
      <c r="U67" s="9" t="s">
        <v>85</v>
      </c>
      <c r="V67" s="9">
        <v>0.028846</v>
      </c>
      <c r="W67" s="9" t="s">
        <v>85</v>
      </c>
      <c r="X67" s="9" t="s">
        <v>85</v>
      </c>
      <c r="Y67" s="9">
        <v>0.024038</v>
      </c>
      <c r="Z67" s="9" t="s">
        <v>85</v>
      </c>
      <c r="AA67" s="9" t="s">
        <v>85</v>
      </c>
      <c r="AB67" s="30">
        <v>0.019231</v>
      </c>
      <c r="AC67" s="9" t="s">
        <v>85</v>
      </c>
      <c r="AD67" s="9" t="s">
        <v>85</v>
      </c>
      <c r="AE67" s="30">
        <v>0.024038</v>
      </c>
      <c r="AF67" s="9" t="s">
        <v>85</v>
      </c>
      <c r="AG67" s="9" t="s">
        <v>85</v>
      </c>
      <c r="AH67" s="9">
        <v>0.019231</v>
      </c>
      <c r="AI67" s="9" t="s">
        <v>85</v>
      </c>
      <c r="AJ67" s="9" t="s">
        <v>85</v>
      </c>
      <c r="AK67" s="9">
        <v>0.028846</v>
      </c>
      <c r="AL67" s="9" t="s">
        <v>85</v>
      </c>
      <c r="AM67" s="9" t="s">
        <v>85</v>
      </c>
      <c r="AN67" s="9">
        <v>0.024038</v>
      </c>
      <c r="AO67" s="9" t="s">
        <v>85</v>
      </c>
      <c r="AP67" s="9" t="s">
        <v>85</v>
      </c>
      <c r="AQ67" s="30">
        <v>0.019231</v>
      </c>
      <c r="AR67" s="9" t="s">
        <v>85</v>
      </c>
      <c r="AS67" s="9" t="s">
        <v>85</v>
      </c>
      <c r="AT67" s="9">
        <v>0.024038</v>
      </c>
      <c r="AU67" s="9" t="s">
        <v>85</v>
      </c>
      <c r="AV67" s="9" t="s">
        <v>85</v>
      </c>
      <c r="AW67" s="9">
        <v>0.019231</v>
      </c>
      <c r="AX67" s="9" t="s">
        <v>85</v>
      </c>
      <c r="AY67" s="9" t="s">
        <v>85</v>
      </c>
      <c r="AZ67" s="9">
        <v>0.019231</v>
      </c>
      <c r="BA67" s="9" t="s">
        <v>85</v>
      </c>
      <c r="BB67" s="9" t="s">
        <v>85</v>
      </c>
      <c r="BC67" s="30">
        <v>0.019231</v>
      </c>
      <c r="BD67" s="9" t="s">
        <v>85</v>
      </c>
      <c r="BE67" s="9" t="s">
        <v>85</v>
      </c>
      <c r="BF67" s="9">
        <v>0.019231</v>
      </c>
      <c r="BG67" s="9" t="s">
        <v>85</v>
      </c>
      <c r="BH67" s="6"/>
      <c r="BI67" s="6" t="str">
        <f t="shared" si="1"/>
        <v>8BN_Fold_Median</v>
      </c>
      <c r="BJ67" s="6" t="str">
        <f t="shared" si="2"/>
        <v>8BN_Fold_Median</v>
      </c>
      <c r="BK67" s="6" t="str">
        <f t="shared" si="3"/>
        <v>8BN_Fold_Median</v>
      </c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</row>
    <row r="68" ht="15.75" customHeight="1">
      <c r="A68" s="1" t="s">
        <v>162</v>
      </c>
      <c r="B68" s="17">
        <v>144.0</v>
      </c>
      <c r="C68" s="9" t="s">
        <v>85</v>
      </c>
      <c r="D68" s="9">
        <v>0.942857</v>
      </c>
      <c r="E68" s="9" t="s">
        <v>85</v>
      </c>
      <c r="F68" s="9" t="s">
        <v>85</v>
      </c>
      <c r="G68" s="30">
        <v>0.942857146</v>
      </c>
      <c r="H68" s="9" t="s">
        <v>85</v>
      </c>
      <c r="I68" s="9" t="s">
        <v>85</v>
      </c>
      <c r="J68" s="9">
        <v>0.990476</v>
      </c>
      <c r="K68" s="9" t="s">
        <v>85</v>
      </c>
      <c r="L68" s="9" t="s">
        <v>85</v>
      </c>
      <c r="M68" s="9">
        <v>0.990476</v>
      </c>
      <c r="N68" s="9" t="s">
        <v>85</v>
      </c>
      <c r="O68" s="9" t="s">
        <v>85</v>
      </c>
      <c r="P68" s="9">
        <v>0.990476</v>
      </c>
      <c r="Q68" s="9" t="s">
        <v>85</v>
      </c>
      <c r="R68" s="9" t="s">
        <v>85</v>
      </c>
      <c r="S68" s="9">
        <v>1.0</v>
      </c>
      <c r="T68" s="9" t="s">
        <v>85</v>
      </c>
      <c r="U68" s="9" t="s">
        <v>85</v>
      </c>
      <c r="V68" s="9">
        <v>0.971429</v>
      </c>
      <c r="W68" s="9" t="s">
        <v>85</v>
      </c>
      <c r="X68" s="9" t="s">
        <v>85</v>
      </c>
      <c r="Y68" s="9">
        <v>0.980952</v>
      </c>
      <c r="Z68" s="9" t="s">
        <v>85</v>
      </c>
      <c r="AA68" s="9" t="s">
        <v>85</v>
      </c>
      <c r="AB68" s="30">
        <v>0.990476</v>
      </c>
      <c r="AC68" s="9" t="s">
        <v>85</v>
      </c>
      <c r="AD68" s="9" t="s">
        <v>85</v>
      </c>
      <c r="AE68" s="30">
        <v>0.990476</v>
      </c>
      <c r="AF68" s="9" t="s">
        <v>85</v>
      </c>
      <c r="AG68" s="9" t="s">
        <v>85</v>
      </c>
      <c r="AH68" s="9">
        <v>0.990476</v>
      </c>
      <c r="AI68" s="9" t="s">
        <v>85</v>
      </c>
      <c r="AJ68" s="9" t="s">
        <v>85</v>
      </c>
      <c r="AK68" s="9">
        <v>0.961905</v>
      </c>
      <c r="AL68" s="9" t="s">
        <v>85</v>
      </c>
      <c r="AM68" s="9" t="s">
        <v>85</v>
      </c>
      <c r="AN68" s="9">
        <v>1.0</v>
      </c>
      <c r="AO68" s="9" t="s">
        <v>85</v>
      </c>
      <c r="AP68" s="9" t="s">
        <v>85</v>
      </c>
      <c r="AQ68" s="30">
        <v>1.0</v>
      </c>
      <c r="AR68" s="9" t="s">
        <v>85</v>
      </c>
      <c r="AS68" s="9" t="s">
        <v>85</v>
      </c>
      <c r="AT68" s="9">
        <v>0.980952</v>
      </c>
      <c r="AU68" s="9" t="s">
        <v>85</v>
      </c>
      <c r="AV68" s="9" t="s">
        <v>85</v>
      </c>
      <c r="AW68" s="9">
        <v>0.980952</v>
      </c>
      <c r="AX68" s="9" t="s">
        <v>85</v>
      </c>
      <c r="AY68" s="9" t="s">
        <v>85</v>
      </c>
      <c r="AZ68" s="9">
        <v>1.0</v>
      </c>
      <c r="BA68" s="9" t="s">
        <v>85</v>
      </c>
      <c r="BB68" s="9" t="s">
        <v>85</v>
      </c>
      <c r="BC68" s="30">
        <v>0.980952</v>
      </c>
      <c r="BD68" s="9" t="s">
        <v>85</v>
      </c>
      <c r="BE68" s="9" t="s">
        <v>85</v>
      </c>
      <c r="BF68" s="9">
        <v>0.971429</v>
      </c>
      <c r="BG68" s="9" t="s">
        <v>85</v>
      </c>
      <c r="BH68" s="6"/>
      <c r="BI68" s="6" t="str">
        <f t="shared" si="1"/>
        <v>8BN_Fold_Median</v>
      </c>
      <c r="BJ68" s="6" t="str">
        <f t="shared" si="2"/>
        <v>8BN_Fold_Median</v>
      </c>
      <c r="BK68" s="6" t="str">
        <f t="shared" si="3"/>
        <v>8BN_Fold_Median</v>
      </c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</row>
    <row r="69" ht="15.75" customHeight="1">
      <c r="A69" s="1" t="s">
        <v>163</v>
      </c>
      <c r="B69" s="17">
        <v>80.0</v>
      </c>
      <c r="C69" s="9" t="s">
        <v>85</v>
      </c>
      <c r="D69" s="9">
        <v>0.848781</v>
      </c>
      <c r="E69" s="9" t="s">
        <v>85</v>
      </c>
      <c r="F69" s="9" t="s">
        <v>85</v>
      </c>
      <c r="G69" s="30">
        <v>0.829268277</v>
      </c>
      <c r="H69" s="9" t="s">
        <v>85</v>
      </c>
      <c r="I69" s="9" t="s">
        <v>85</v>
      </c>
      <c r="J69" s="9">
        <v>0.848781</v>
      </c>
      <c r="K69" s="9" t="s">
        <v>85</v>
      </c>
      <c r="L69" s="9" t="s">
        <v>85</v>
      </c>
      <c r="M69" s="9">
        <v>0.848781</v>
      </c>
      <c r="N69" s="9" t="s">
        <v>85</v>
      </c>
      <c r="O69" s="9" t="s">
        <v>85</v>
      </c>
      <c r="P69" s="9">
        <v>0.843902</v>
      </c>
      <c r="Q69" s="9" t="s">
        <v>85</v>
      </c>
      <c r="R69" s="9" t="s">
        <v>85</v>
      </c>
      <c r="S69" s="9">
        <v>0.848781</v>
      </c>
      <c r="T69" s="9" t="s">
        <v>85</v>
      </c>
      <c r="U69" s="9" t="s">
        <v>85</v>
      </c>
      <c r="V69" s="9">
        <v>0.829268</v>
      </c>
      <c r="W69" s="9" t="s">
        <v>85</v>
      </c>
      <c r="X69" s="9" t="s">
        <v>85</v>
      </c>
      <c r="Y69" s="9">
        <v>0.848781</v>
      </c>
      <c r="Z69" s="9" t="s">
        <v>85</v>
      </c>
      <c r="AA69" s="9" t="s">
        <v>85</v>
      </c>
      <c r="AB69" s="30">
        <v>0.834146</v>
      </c>
      <c r="AC69" s="9" t="s">
        <v>85</v>
      </c>
      <c r="AD69" s="9" t="s">
        <v>85</v>
      </c>
      <c r="AE69" s="30">
        <v>0.843902</v>
      </c>
      <c r="AF69" s="9" t="s">
        <v>85</v>
      </c>
      <c r="AG69" s="9" t="s">
        <v>85</v>
      </c>
      <c r="AH69" s="9">
        <v>0.839024</v>
      </c>
      <c r="AI69" s="9" t="s">
        <v>85</v>
      </c>
      <c r="AJ69" s="9" t="s">
        <v>85</v>
      </c>
      <c r="AK69" s="9">
        <v>0.848781</v>
      </c>
      <c r="AL69" s="9" t="s">
        <v>85</v>
      </c>
      <c r="AM69" s="9" t="s">
        <v>85</v>
      </c>
      <c r="AN69" s="9">
        <v>0.829268</v>
      </c>
      <c r="AO69" s="9" t="s">
        <v>85</v>
      </c>
      <c r="AP69" s="9" t="s">
        <v>85</v>
      </c>
      <c r="AQ69" s="30">
        <v>0.848781</v>
      </c>
      <c r="AR69" s="9" t="s">
        <v>85</v>
      </c>
      <c r="AS69" s="9" t="s">
        <v>85</v>
      </c>
      <c r="AT69" s="9">
        <v>0.863415</v>
      </c>
      <c r="AU69" s="9" t="s">
        <v>85</v>
      </c>
      <c r="AV69" s="9" t="s">
        <v>85</v>
      </c>
      <c r="AW69" s="9">
        <v>0.848781</v>
      </c>
      <c r="AX69" s="9" t="s">
        <v>85</v>
      </c>
      <c r="AY69" s="9" t="s">
        <v>85</v>
      </c>
      <c r="AZ69" s="9">
        <v>0.843902</v>
      </c>
      <c r="BA69" s="9" t="s">
        <v>85</v>
      </c>
      <c r="BB69" s="9" t="s">
        <v>85</v>
      </c>
      <c r="BC69" s="30">
        <v>0.848781</v>
      </c>
      <c r="BD69" s="9" t="s">
        <v>85</v>
      </c>
      <c r="BE69" s="9" t="s">
        <v>85</v>
      </c>
      <c r="BF69" s="9">
        <v>0.843902</v>
      </c>
      <c r="BG69" s="9" t="s">
        <v>85</v>
      </c>
      <c r="BH69" s="6"/>
      <c r="BI69" s="6" t="str">
        <f t="shared" si="1"/>
        <v>12V_Fold_Median</v>
      </c>
      <c r="BJ69" s="6" t="str">
        <f t="shared" si="2"/>
        <v>5B_Fold_Median</v>
      </c>
      <c r="BK69" s="6" t="str">
        <f t="shared" si="3"/>
        <v>5B_Fold_Median</v>
      </c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</row>
    <row r="70" ht="15.75" customHeight="1">
      <c r="A70" s="1" t="s">
        <v>164</v>
      </c>
      <c r="B70" s="17">
        <v>80.0</v>
      </c>
      <c r="C70" s="9" t="s">
        <v>85</v>
      </c>
      <c r="D70" s="9">
        <v>0.800687</v>
      </c>
      <c r="E70" s="9" t="s">
        <v>85</v>
      </c>
      <c r="F70" s="9" t="s">
        <v>85</v>
      </c>
      <c r="G70" s="30">
        <v>0.786941588</v>
      </c>
      <c r="H70" s="9" t="s">
        <v>85</v>
      </c>
      <c r="I70" s="9" t="s">
        <v>85</v>
      </c>
      <c r="J70" s="9">
        <v>0.814433</v>
      </c>
      <c r="K70" s="9" t="s">
        <v>85</v>
      </c>
      <c r="L70" s="9" t="s">
        <v>85</v>
      </c>
      <c r="M70" s="9">
        <v>0.831615</v>
      </c>
      <c r="N70" s="9" t="s">
        <v>85</v>
      </c>
      <c r="O70" s="9" t="s">
        <v>85</v>
      </c>
      <c r="P70" s="9">
        <v>0.800687</v>
      </c>
      <c r="Q70" s="9" t="s">
        <v>85</v>
      </c>
      <c r="R70" s="9" t="s">
        <v>85</v>
      </c>
      <c r="S70" s="9">
        <v>0.800687</v>
      </c>
      <c r="T70" s="9" t="s">
        <v>85</v>
      </c>
      <c r="U70" s="9" t="s">
        <v>85</v>
      </c>
      <c r="V70" s="9">
        <v>0.828179</v>
      </c>
      <c r="W70" s="9" t="s">
        <v>85</v>
      </c>
      <c r="X70" s="9" t="s">
        <v>85</v>
      </c>
      <c r="Y70" s="9">
        <v>0.821306</v>
      </c>
      <c r="Z70" s="9" t="s">
        <v>85</v>
      </c>
      <c r="AA70" s="9" t="s">
        <v>85</v>
      </c>
      <c r="AB70" s="30">
        <v>0.817869</v>
      </c>
      <c r="AC70" s="9" t="s">
        <v>85</v>
      </c>
      <c r="AD70" s="9" t="s">
        <v>85</v>
      </c>
      <c r="AE70" s="30">
        <v>0.810997</v>
      </c>
      <c r="AF70" s="9" t="s">
        <v>85</v>
      </c>
      <c r="AG70" s="9" t="s">
        <v>85</v>
      </c>
      <c r="AH70" s="9">
        <v>0.835052</v>
      </c>
      <c r="AI70" s="9" t="s">
        <v>85</v>
      </c>
      <c r="AJ70" s="9" t="s">
        <v>85</v>
      </c>
      <c r="AK70" s="9">
        <v>0.838488</v>
      </c>
      <c r="AL70" s="9" t="s">
        <v>85</v>
      </c>
      <c r="AM70" s="9" t="s">
        <v>85</v>
      </c>
      <c r="AN70" s="9">
        <v>0.817869</v>
      </c>
      <c r="AO70" s="9" t="s">
        <v>85</v>
      </c>
      <c r="AP70" s="9" t="s">
        <v>85</v>
      </c>
      <c r="AQ70" s="30">
        <v>0.797251</v>
      </c>
      <c r="AR70" s="9" t="s">
        <v>85</v>
      </c>
      <c r="AS70" s="9" t="s">
        <v>85</v>
      </c>
      <c r="AT70" s="9">
        <v>0.852234</v>
      </c>
      <c r="AU70" s="9" t="s">
        <v>85</v>
      </c>
      <c r="AV70" s="9" t="s">
        <v>85</v>
      </c>
      <c r="AW70" s="9">
        <v>0.852234</v>
      </c>
      <c r="AX70" s="9" t="s">
        <v>85</v>
      </c>
      <c r="AY70" s="9" t="s">
        <v>85</v>
      </c>
      <c r="AZ70" s="9">
        <v>0.797251</v>
      </c>
      <c r="BA70" s="9" t="s">
        <v>85</v>
      </c>
      <c r="BB70" s="9" t="s">
        <v>85</v>
      </c>
      <c r="BC70" s="30">
        <v>0.821306</v>
      </c>
      <c r="BD70" s="9" t="s">
        <v>85</v>
      </c>
      <c r="BE70" s="9" t="s">
        <v>85</v>
      </c>
      <c r="BF70" s="9">
        <v>0.683849</v>
      </c>
      <c r="BG70" s="9" t="s">
        <v>85</v>
      </c>
      <c r="BH70" s="6"/>
      <c r="BI70" s="6" t="str">
        <f t="shared" si="1"/>
        <v>12V_Fold_Median</v>
      </c>
      <c r="BJ70" s="6" t="str">
        <f t="shared" si="2"/>
        <v>12V_Fold_Median</v>
      </c>
      <c r="BK70" s="6" t="str">
        <f t="shared" si="3"/>
        <v>10VB_Fold_Median</v>
      </c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</row>
    <row r="71" ht="15.75" customHeight="1">
      <c r="A71" s="1" t="s">
        <v>165</v>
      </c>
      <c r="B71" s="17">
        <v>80.0</v>
      </c>
      <c r="C71" s="9" t="s">
        <v>85</v>
      </c>
      <c r="D71" s="9">
        <v>0.765854</v>
      </c>
      <c r="E71" s="9" t="s">
        <v>85</v>
      </c>
      <c r="F71" s="9" t="s">
        <v>85</v>
      </c>
      <c r="G71" s="30">
        <v>0.67804879</v>
      </c>
      <c r="H71" s="9" t="s">
        <v>85</v>
      </c>
      <c r="I71" s="9" t="s">
        <v>85</v>
      </c>
      <c r="J71" s="9">
        <v>0.77561</v>
      </c>
      <c r="K71" s="9" t="s">
        <v>85</v>
      </c>
      <c r="L71" s="9" t="s">
        <v>85</v>
      </c>
      <c r="M71" s="9">
        <v>0.795122</v>
      </c>
      <c r="N71" s="9" t="s">
        <v>85</v>
      </c>
      <c r="O71" s="9" t="s">
        <v>85</v>
      </c>
      <c r="P71" s="9">
        <v>0.756098</v>
      </c>
      <c r="Q71" s="9" t="s">
        <v>85</v>
      </c>
      <c r="R71" s="9" t="s">
        <v>85</v>
      </c>
      <c r="S71" s="9">
        <v>0.77561</v>
      </c>
      <c r="T71" s="9" t="s">
        <v>85</v>
      </c>
      <c r="U71" s="9" t="s">
        <v>85</v>
      </c>
      <c r="V71" s="9">
        <v>0.804878</v>
      </c>
      <c r="W71" s="9" t="s">
        <v>85</v>
      </c>
      <c r="X71" s="9" t="s">
        <v>85</v>
      </c>
      <c r="Y71" s="9">
        <v>0.678049</v>
      </c>
      <c r="Z71" s="9" t="s">
        <v>85</v>
      </c>
      <c r="AA71" s="9" t="s">
        <v>85</v>
      </c>
      <c r="AB71" s="30">
        <v>0.770732</v>
      </c>
      <c r="AC71" s="9" t="s">
        <v>85</v>
      </c>
      <c r="AD71" s="9" t="s">
        <v>85</v>
      </c>
      <c r="AE71" s="30">
        <v>0.678049</v>
      </c>
      <c r="AF71" s="9" t="s">
        <v>85</v>
      </c>
      <c r="AG71" s="9" t="s">
        <v>85</v>
      </c>
      <c r="AH71" s="9">
        <v>0.765854</v>
      </c>
      <c r="AI71" s="9" t="s">
        <v>85</v>
      </c>
      <c r="AJ71" s="9" t="s">
        <v>85</v>
      </c>
      <c r="AK71" s="9">
        <v>0.780488</v>
      </c>
      <c r="AL71" s="9" t="s">
        <v>85</v>
      </c>
      <c r="AM71" s="9" t="s">
        <v>85</v>
      </c>
      <c r="AN71" s="9">
        <v>0.765854</v>
      </c>
      <c r="AO71" s="9" t="s">
        <v>85</v>
      </c>
      <c r="AP71" s="9" t="s">
        <v>85</v>
      </c>
      <c r="AQ71" s="30">
        <v>0.780488</v>
      </c>
      <c r="AR71" s="9" t="s">
        <v>85</v>
      </c>
      <c r="AS71" s="9" t="s">
        <v>85</v>
      </c>
      <c r="AT71" s="9">
        <v>0.760976</v>
      </c>
      <c r="AU71" s="9" t="s">
        <v>85</v>
      </c>
      <c r="AV71" s="9" t="s">
        <v>85</v>
      </c>
      <c r="AW71" s="9">
        <v>0.785366</v>
      </c>
      <c r="AX71" s="9" t="s">
        <v>85</v>
      </c>
      <c r="AY71" s="9" t="s">
        <v>85</v>
      </c>
      <c r="AZ71" s="9">
        <v>0.756098</v>
      </c>
      <c r="BA71" s="9" t="s">
        <v>85</v>
      </c>
      <c r="BB71" s="9" t="s">
        <v>85</v>
      </c>
      <c r="BC71" s="30">
        <v>0.790244</v>
      </c>
      <c r="BD71" s="9" t="s">
        <v>85</v>
      </c>
      <c r="BE71" s="9" t="s">
        <v>85</v>
      </c>
      <c r="BF71" s="9">
        <v>0.795122</v>
      </c>
      <c r="BG71" s="9" t="s">
        <v>85</v>
      </c>
      <c r="BH71" s="6"/>
      <c r="BI71" s="6" t="str">
        <f t="shared" si="1"/>
        <v>8V_Fold_Median</v>
      </c>
      <c r="BJ71" s="6" t="str">
        <f t="shared" si="2"/>
        <v>5VB_Fold_Median</v>
      </c>
      <c r="BK71" s="6" t="str">
        <f t="shared" si="3"/>
        <v>5VB_Fold_Median</v>
      </c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</row>
    <row r="72" ht="15.75" customHeight="1">
      <c r="A72" s="1" t="s">
        <v>166</v>
      </c>
      <c r="B72" s="17">
        <v>2844.0</v>
      </c>
      <c r="C72" s="9" t="s">
        <v>85</v>
      </c>
      <c r="D72" s="9">
        <v>0.48</v>
      </c>
      <c r="E72" s="9" t="s">
        <v>85</v>
      </c>
      <c r="F72" s="9" t="s">
        <v>85</v>
      </c>
      <c r="G72" s="30">
        <v>0.519999981</v>
      </c>
      <c r="H72" s="9" t="s">
        <v>85</v>
      </c>
      <c r="I72" s="9" t="s">
        <v>85</v>
      </c>
      <c r="J72" s="9">
        <v>0.5</v>
      </c>
      <c r="K72" s="9" t="s">
        <v>85</v>
      </c>
      <c r="L72" s="9" t="s">
        <v>85</v>
      </c>
      <c r="M72" s="9">
        <v>0.58</v>
      </c>
      <c r="N72" s="9" t="s">
        <v>85</v>
      </c>
      <c r="O72" s="9" t="s">
        <v>85</v>
      </c>
      <c r="P72" s="9">
        <v>0.48</v>
      </c>
      <c r="Q72" s="9" t="s">
        <v>85</v>
      </c>
      <c r="R72" s="9" t="s">
        <v>85</v>
      </c>
      <c r="S72" s="9">
        <v>0.54</v>
      </c>
      <c r="T72" s="9" t="s">
        <v>85</v>
      </c>
      <c r="U72" s="9" t="s">
        <v>85</v>
      </c>
      <c r="V72" s="9">
        <v>0.54</v>
      </c>
      <c r="W72" s="9" t="s">
        <v>85</v>
      </c>
      <c r="X72" s="9" t="s">
        <v>85</v>
      </c>
      <c r="Y72" s="9">
        <v>0.58</v>
      </c>
      <c r="Z72" s="9" t="s">
        <v>85</v>
      </c>
      <c r="AA72" s="9" t="s">
        <v>85</v>
      </c>
      <c r="AB72" s="30">
        <v>0.62</v>
      </c>
      <c r="AC72" s="9" t="s">
        <v>85</v>
      </c>
      <c r="AD72" s="9" t="s">
        <v>85</v>
      </c>
      <c r="AE72" s="30">
        <v>0.54</v>
      </c>
      <c r="AF72" s="9" t="s">
        <v>85</v>
      </c>
      <c r="AG72" s="9" t="s">
        <v>85</v>
      </c>
      <c r="AH72" s="9">
        <v>0.6</v>
      </c>
      <c r="AI72" s="9" t="s">
        <v>85</v>
      </c>
      <c r="AJ72" s="9" t="s">
        <v>85</v>
      </c>
      <c r="AK72" s="9">
        <v>0.7</v>
      </c>
      <c r="AL72" s="9" t="s">
        <v>85</v>
      </c>
      <c r="AM72" s="9" t="s">
        <v>85</v>
      </c>
      <c r="AN72" s="9">
        <v>0.54</v>
      </c>
      <c r="AO72" s="9" t="s">
        <v>85</v>
      </c>
      <c r="AP72" s="9" t="s">
        <v>85</v>
      </c>
      <c r="AQ72" s="30">
        <v>0.54</v>
      </c>
      <c r="AR72" s="9" t="s">
        <v>85</v>
      </c>
      <c r="AS72" s="9" t="s">
        <v>85</v>
      </c>
      <c r="AT72" s="9">
        <v>0.6</v>
      </c>
      <c r="AU72" s="9" t="s">
        <v>85</v>
      </c>
      <c r="AV72" s="9" t="s">
        <v>85</v>
      </c>
      <c r="AW72" s="9">
        <v>0.52</v>
      </c>
      <c r="AX72" s="9" t="s">
        <v>85</v>
      </c>
      <c r="AY72" s="9" t="s">
        <v>85</v>
      </c>
      <c r="AZ72" s="9">
        <v>0.6</v>
      </c>
      <c r="BA72" s="9" t="s">
        <v>85</v>
      </c>
      <c r="BB72" s="9" t="s">
        <v>85</v>
      </c>
      <c r="BC72" s="30">
        <v>0.64</v>
      </c>
      <c r="BD72" s="9" t="s">
        <v>85</v>
      </c>
      <c r="BE72" s="9" t="s">
        <v>85</v>
      </c>
      <c r="BF72" s="9">
        <v>0.18</v>
      </c>
      <c r="BG72" s="9" t="s">
        <v>85</v>
      </c>
      <c r="BH72" s="6"/>
      <c r="BI72" s="6" t="str">
        <f t="shared" si="1"/>
        <v>10VB_Fold_Median</v>
      </c>
      <c r="BJ72" s="6" t="str">
        <f t="shared" si="2"/>
        <v>20V_Fold_Median</v>
      </c>
      <c r="BK72" s="6" t="str">
        <f t="shared" si="3"/>
        <v>10B_Fold_Median</v>
      </c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</row>
    <row r="73" ht="15.75" customHeight="1">
      <c r="A73" s="1" t="s">
        <v>167</v>
      </c>
      <c r="B73" s="17">
        <v>720.0</v>
      </c>
      <c r="C73" s="9" t="s">
        <v>85</v>
      </c>
      <c r="D73" s="9">
        <v>0.554667</v>
      </c>
      <c r="E73" s="9" t="s">
        <v>85</v>
      </c>
      <c r="F73" s="9" t="s">
        <v>85</v>
      </c>
      <c r="G73" s="30">
        <v>0.527999997</v>
      </c>
      <c r="H73" s="9" t="s">
        <v>85</v>
      </c>
      <c r="I73" s="9" t="s">
        <v>85</v>
      </c>
      <c r="J73" s="9">
        <v>0.450667</v>
      </c>
      <c r="K73" s="9" t="s">
        <v>85</v>
      </c>
      <c r="L73" s="9" t="s">
        <v>85</v>
      </c>
      <c r="M73" s="9">
        <v>0.434667</v>
      </c>
      <c r="N73" s="9" t="s">
        <v>85</v>
      </c>
      <c r="O73" s="9" t="s">
        <v>85</v>
      </c>
      <c r="P73" s="9">
        <v>0.570667</v>
      </c>
      <c r="Q73" s="9" t="s">
        <v>85</v>
      </c>
      <c r="R73" s="9" t="s">
        <v>85</v>
      </c>
      <c r="S73" s="1" t="s">
        <v>85</v>
      </c>
      <c r="T73" s="9" t="s">
        <v>85</v>
      </c>
      <c r="U73" s="9" t="s">
        <v>85</v>
      </c>
      <c r="V73" s="9">
        <v>0.416</v>
      </c>
      <c r="W73" s="9" t="s">
        <v>85</v>
      </c>
      <c r="X73" s="9" t="s">
        <v>85</v>
      </c>
      <c r="Y73" s="9">
        <v>0.426667</v>
      </c>
      <c r="Z73" s="9" t="s">
        <v>85</v>
      </c>
      <c r="AA73" s="9" t="s">
        <v>85</v>
      </c>
      <c r="AB73" s="30">
        <v>0.573333</v>
      </c>
      <c r="AC73" s="9" t="s">
        <v>85</v>
      </c>
      <c r="AD73" s="9" t="s">
        <v>85</v>
      </c>
      <c r="AE73" s="30">
        <v>0.589333</v>
      </c>
      <c r="AF73" s="9" t="s">
        <v>85</v>
      </c>
      <c r="AG73" s="9" t="s">
        <v>85</v>
      </c>
      <c r="AH73" s="9">
        <v>0.421333</v>
      </c>
      <c r="AI73" s="9" t="s">
        <v>85</v>
      </c>
      <c r="AJ73" s="9" t="s">
        <v>85</v>
      </c>
      <c r="AK73" s="9">
        <v>0.461333</v>
      </c>
      <c r="AL73" s="9" t="s">
        <v>85</v>
      </c>
      <c r="AM73" s="9" t="s">
        <v>85</v>
      </c>
      <c r="AN73" s="9">
        <v>0.56</v>
      </c>
      <c r="AO73" s="9" t="s">
        <v>85</v>
      </c>
      <c r="AP73" s="9" t="s">
        <v>85</v>
      </c>
      <c r="AQ73" s="30">
        <v>0.538667</v>
      </c>
      <c r="AR73" s="9" t="s">
        <v>85</v>
      </c>
      <c r="AS73" s="9" t="s">
        <v>85</v>
      </c>
      <c r="AT73" s="9">
        <v>0.445333</v>
      </c>
      <c r="AU73" s="9" t="s">
        <v>85</v>
      </c>
      <c r="AV73" s="9" t="s">
        <v>85</v>
      </c>
      <c r="AW73" s="9">
        <v>0.48</v>
      </c>
      <c r="AX73" s="9" t="s">
        <v>85</v>
      </c>
      <c r="AY73" s="9" t="s">
        <v>85</v>
      </c>
      <c r="AZ73" s="9">
        <v>0.525333</v>
      </c>
      <c r="BA73" s="9" t="s">
        <v>85</v>
      </c>
      <c r="BB73" s="9" t="s">
        <v>85</v>
      </c>
      <c r="BC73" s="30">
        <v>0.469333</v>
      </c>
      <c r="BD73" s="9" t="s">
        <v>85</v>
      </c>
      <c r="BE73" s="9" t="s">
        <v>85</v>
      </c>
      <c r="BF73" s="9">
        <v>0.413333</v>
      </c>
      <c r="BG73" s="9" t="s">
        <v>85</v>
      </c>
      <c r="BH73" s="6"/>
      <c r="BI73" s="6" t="str">
        <f t="shared" si="1"/>
        <v>10BN_Fold_Median</v>
      </c>
      <c r="BJ73" s="6" t="str">
        <f t="shared" si="2"/>
        <v>10B_Fold_Median</v>
      </c>
      <c r="BK73" s="6" t="str">
        <f t="shared" si="3"/>
        <v>8B_Fold_Median</v>
      </c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</row>
    <row r="74" ht="15.75" customHeight="1">
      <c r="A74" s="1" t="s">
        <v>168</v>
      </c>
      <c r="B74" s="17">
        <v>1500.0</v>
      </c>
      <c r="C74" s="9" t="s">
        <v>85</v>
      </c>
      <c r="D74" s="9">
        <v>0.8</v>
      </c>
      <c r="E74" s="9" t="s">
        <v>85</v>
      </c>
      <c r="F74" s="9" t="s">
        <v>85</v>
      </c>
      <c r="G74" s="30">
        <v>0.711666644</v>
      </c>
      <c r="H74" s="9" t="s">
        <v>85</v>
      </c>
      <c r="I74" s="9" t="s">
        <v>85</v>
      </c>
      <c r="J74" s="9">
        <v>0.873333</v>
      </c>
      <c r="K74" s="9" t="s">
        <v>85</v>
      </c>
      <c r="L74" s="9" t="s">
        <v>85</v>
      </c>
      <c r="M74" s="9">
        <v>0.878333</v>
      </c>
      <c r="N74" s="9" t="s">
        <v>85</v>
      </c>
      <c r="O74" s="9" t="s">
        <v>85</v>
      </c>
      <c r="P74" s="9">
        <v>0.85</v>
      </c>
      <c r="Q74" s="9" t="s">
        <v>85</v>
      </c>
      <c r="R74" s="9" t="s">
        <v>85</v>
      </c>
      <c r="S74" s="9">
        <v>0.845</v>
      </c>
      <c r="T74" s="9" t="s">
        <v>85</v>
      </c>
      <c r="U74" s="9" t="s">
        <v>85</v>
      </c>
      <c r="V74" s="9">
        <v>0.913333</v>
      </c>
      <c r="W74" s="9" t="s">
        <v>85</v>
      </c>
      <c r="X74" s="9" t="s">
        <v>85</v>
      </c>
      <c r="Y74" s="9">
        <v>0.901667</v>
      </c>
      <c r="Z74" s="9" t="s">
        <v>85</v>
      </c>
      <c r="AA74" s="9" t="s">
        <v>85</v>
      </c>
      <c r="AB74" s="30">
        <v>0.843333</v>
      </c>
      <c r="AC74" s="9" t="s">
        <v>85</v>
      </c>
      <c r="AD74" s="9" t="s">
        <v>85</v>
      </c>
      <c r="AE74" s="30">
        <v>0.84</v>
      </c>
      <c r="AF74" s="9" t="s">
        <v>85</v>
      </c>
      <c r="AG74" s="9" t="s">
        <v>85</v>
      </c>
      <c r="AH74" s="9">
        <v>0.896667</v>
      </c>
      <c r="AI74" s="9" t="s">
        <v>85</v>
      </c>
      <c r="AJ74" s="9" t="s">
        <v>85</v>
      </c>
      <c r="AK74" s="9">
        <v>0.903333</v>
      </c>
      <c r="AL74" s="9" t="s">
        <v>85</v>
      </c>
      <c r="AM74" s="9" t="s">
        <v>85</v>
      </c>
      <c r="AN74" s="9">
        <v>0.843333</v>
      </c>
      <c r="AO74" s="9" t="s">
        <v>85</v>
      </c>
      <c r="AP74" s="9" t="s">
        <v>85</v>
      </c>
      <c r="AQ74" s="30">
        <v>0.85</v>
      </c>
      <c r="AR74" s="9" t="s">
        <v>85</v>
      </c>
      <c r="AS74" s="9" t="s">
        <v>85</v>
      </c>
      <c r="AT74" s="9">
        <v>0.906667</v>
      </c>
      <c r="AU74" s="9" t="s">
        <v>85</v>
      </c>
      <c r="AV74" s="9" t="s">
        <v>85</v>
      </c>
      <c r="AW74" s="9">
        <v>0.911667</v>
      </c>
      <c r="AX74" s="9" t="s">
        <v>85</v>
      </c>
      <c r="AY74" s="9" t="s">
        <v>85</v>
      </c>
      <c r="AZ74" s="9">
        <v>0.85</v>
      </c>
      <c r="BA74" s="9" t="s">
        <v>85</v>
      </c>
      <c r="BB74" s="9" t="s">
        <v>85</v>
      </c>
      <c r="BC74" s="30">
        <v>0.916667</v>
      </c>
      <c r="BD74" s="9" t="s">
        <v>85</v>
      </c>
      <c r="BE74" s="9" t="s">
        <v>85</v>
      </c>
      <c r="BF74" s="9">
        <v>0.841667</v>
      </c>
      <c r="BG74" s="9" t="s">
        <v>85</v>
      </c>
      <c r="BH74" s="6"/>
      <c r="BI74" s="6" t="str">
        <f t="shared" si="1"/>
        <v>20V_Fold_Median</v>
      </c>
      <c r="BJ74" s="6" t="str">
        <f t="shared" si="2"/>
        <v>8V_Fold_Median</v>
      </c>
      <c r="BK74" s="6" t="str">
        <f t="shared" si="3"/>
        <v>12VB_Fold_Median</v>
      </c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</row>
    <row r="75" ht="15.75" customHeight="1">
      <c r="A75" s="1" t="s">
        <v>169</v>
      </c>
      <c r="B75" s="17">
        <v>1500.0</v>
      </c>
      <c r="C75" s="9" t="s">
        <v>85</v>
      </c>
      <c r="D75" s="9">
        <v>0.382222</v>
      </c>
      <c r="E75" s="9" t="s">
        <v>85</v>
      </c>
      <c r="F75" s="9" t="s">
        <v>85</v>
      </c>
      <c r="G75" s="30">
        <v>0.395555556</v>
      </c>
      <c r="H75" s="9" t="s">
        <v>85</v>
      </c>
      <c r="I75" s="9" t="s">
        <v>85</v>
      </c>
      <c r="J75" s="9">
        <v>0.602222</v>
      </c>
      <c r="K75" s="9" t="s">
        <v>85</v>
      </c>
      <c r="L75" s="9" t="s">
        <v>85</v>
      </c>
      <c r="M75" s="9">
        <v>0.582222</v>
      </c>
      <c r="N75" s="9" t="s">
        <v>85</v>
      </c>
      <c r="O75" s="9" t="s">
        <v>85</v>
      </c>
      <c r="P75" s="9">
        <v>0.431111</v>
      </c>
      <c r="Q75" s="9" t="s">
        <v>85</v>
      </c>
      <c r="R75" s="9" t="s">
        <v>85</v>
      </c>
      <c r="S75" s="9">
        <v>0.377778</v>
      </c>
      <c r="T75" s="9" t="s">
        <v>85</v>
      </c>
      <c r="U75" s="9" t="s">
        <v>85</v>
      </c>
      <c r="V75" s="9">
        <v>0.46</v>
      </c>
      <c r="W75" s="9" t="s">
        <v>85</v>
      </c>
      <c r="X75" s="9" t="s">
        <v>85</v>
      </c>
      <c r="Y75" s="9">
        <v>0.455556</v>
      </c>
      <c r="Z75" s="9" t="s">
        <v>85</v>
      </c>
      <c r="AA75" s="9" t="s">
        <v>85</v>
      </c>
      <c r="AB75" s="30">
        <v>0.44</v>
      </c>
      <c r="AC75" s="9" t="s">
        <v>85</v>
      </c>
      <c r="AD75" s="9" t="s">
        <v>85</v>
      </c>
      <c r="AE75" s="30">
        <v>0.44</v>
      </c>
      <c r="AF75" s="9" t="s">
        <v>85</v>
      </c>
      <c r="AG75" s="9" t="s">
        <v>85</v>
      </c>
      <c r="AH75" s="9">
        <v>0.455556</v>
      </c>
      <c r="AI75" s="9" t="s">
        <v>85</v>
      </c>
      <c r="AJ75" s="9" t="s">
        <v>85</v>
      </c>
      <c r="AK75" s="9">
        <v>0.424444</v>
      </c>
      <c r="AL75" s="9" t="s">
        <v>85</v>
      </c>
      <c r="AM75" s="9" t="s">
        <v>85</v>
      </c>
      <c r="AN75" s="9">
        <v>0.4</v>
      </c>
      <c r="AO75" s="9" t="s">
        <v>85</v>
      </c>
      <c r="AP75" s="9" t="s">
        <v>85</v>
      </c>
      <c r="AQ75" s="30">
        <v>0.391111</v>
      </c>
      <c r="AR75" s="9" t="s">
        <v>85</v>
      </c>
      <c r="AS75" s="9" t="s">
        <v>85</v>
      </c>
      <c r="AT75" s="9">
        <v>0.357778</v>
      </c>
      <c r="AU75" s="9" t="s">
        <v>85</v>
      </c>
      <c r="AV75" s="9" t="s">
        <v>85</v>
      </c>
      <c r="AW75" s="9">
        <v>0.462222</v>
      </c>
      <c r="AX75" s="9" t="s">
        <v>85</v>
      </c>
      <c r="AY75" s="9" t="s">
        <v>85</v>
      </c>
      <c r="AZ75" s="9">
        <v>0.388889</v>
      </c>
      <c r="BA75" s="9" t="s">
        <v>85</v>
      </c>
      <c r="BB75" s="9" t="s">
        <v>85</v>
      </c>
      <c r="BC75" s="30">
        <v>0.322222</v>
      </c>
      <c r="BD75" s="9" t="s">
        <v>85</v>
      </c>
      <c r="BE75" s="9" t="s">
        <v>85</v>
      </c>
      <c r="BF75" s="9">
        <v>0.451111</v>
      </c>
      <c r="BG75" s="9" t="s">
        <v>85</v>
      </c>
      <c r="BH75" s="6"/>
      <c r="BI75" s="6" t="str">
        <f t="shared" si="1"/>
        <v>5V_Fold_Median</v>
      </c>
      <c r="BJ75" s="6" t="str">
        <f t="shared" si="2"/>
        <v>5VB_Fold_Median</v>
      </c>
      <c r="BK75" s="6" t="str">
        <f t="shared" si="3"/>
        <v>12VB_Fold_Median</v>
      </c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</row>
    <row r="76" ht="15.75" customHeight="1">
      <c r="A76" s="1" t="s">
        <v>170</v>
      </c>
      <c r="B76" s="17">
        <v>1500.0</v>
      </c>
      <c r="C76" s="9" t="s">
        <v>85</v>
      </c>
      <c r="D76" s="9">
        <v>0.704444</v>
      </c>
      <c r="E76" s="9" t="s">
        <v>85</v>
      </c>
      <c r="F76" s="9" t="s">
        <v>85</v>
      </c>
      <c r="G76" s="30">
        <v>0.680000007</v>
      </c>
      <c r="H76" s="9" t="s">
        <v>85</v>
      </c>
      <c r="I76" s="9" t="s">
        <v>85</v>
      </c>
      <c r="J76" s="9">
        <v>0.833333</v>
      </c>
      <c r="K76" s="9" t="s">
        <v>85</v>
      </c>
      <c r="L76" s="9" t="s">
        <v>85</v>
      </c>
      <c r="M76" s="9">
        <v>0.817778</v>
      </c>
      <c r="N76" s="9" t="s">
        <v>85</v>
      </c>
      <c r="O76" s="9" t="s">
        <v>85</v>
      </c>
      <c r="P76" s="9">
        <v>0.753333</v>
      </c>
      <c r="Q76" s="9" t="s">
        <v>85</v>
      </c>
      <c r="R76" s="9" t="s">
        <v>85</v>
      </c>
      <c r="S76" s="9">
        <v>0.757778</v>
      </c>
      <c r="T76" s="9" t="s">
        <v>85</v>
      </c>
      <c r="U76" s="9" t="s">
        <v>85</v>
      </c>
      <c r="V76" s="9">
        <v>0.82</v>
      </c>
      <c r="W76" s="9" t="s">
        <v>85</v>
      </c>
      <c r="X76" s="9" t="s">
        <v>85</v>
      </c>
      <c r="Y76" s="9">
        <v>0.831111</v>
      </c>
      <c r="Z76" s="9" t="s">
        <v>85</v>
      </c>
      <c r="AA76" s="9" t="s">
        <v>85</v>
      </c>
      <c r="AB76" s="30">
        <v>0.762222</v>
      </c>
      <c r="AC76" s="9" t="s">
        <v>85</v>
      </c>
      <c r="AD76" s="9" t="s">
        <v>85</v>
      </c>
      <c r="AE76" s="30">
        <v>0.74</v>
      </c>
      <c r="AF76" s="9" t="s">
        <v>85</v>
      </c>
      <c r="AG76" s="9" t="s">
        <v>85</v>
      </c>
      <c r="AH76" s="9">
        <v>0.824444</v>
      </c>
      <c r="AI76" s="9" t="s">
        <v>85</v>
      </c>
      <c r="AJ76" s="9" t="s">
        <v>85</v>
      </c>
      <c r="AK76" s="9">
        <v>0.824444</v>
      </c>
      <c r="AL76" s="9" t="s">
        <v>85</v>
      </c>
      <c r="AM76" s="9" t="s">
        <v>85</v>
      </c>
      <c r="AN76" s="9">
        <v>0.74</v>
      </c>
      <c r="AO76" s="9" t="s">
        <v>85</v>
      </c>
      <c r="AP76" s="9" t="s">
        <v>85</v>
      </c>
      <c r="AQ76" s="30">
        <v>0.76</v>
      </c>
      <c r="AR76" s="9" t="s">
        <v>85</v>
      </c>
      <c r="AS76" s="9" t="s">
        <v>85</v>
      </c>
      <c r="AT76" s="9">
        <v>0.813333</v>
      </c>
      <c r="AU76" s="9" t="s">
        <v>85</v>
      </c>
      <c r="AV76" s="9" t="s">
        <v>85</v>
      </c>
      <c r="AW76" s="9">
        <v>0.844444</v>
      </c>
      <c r="AX76" s="9" t="s">
        <v>85</v>
      </c>
      <c r="AY76" s="9" t="s">
        <v>85</v>
      </c>
      <c r="AZ76" s="9">
        <v>0.724444</v>
      </c>
      <c r="BA76" s="9" t="s">
        <v>85</v>
      </c>
      <c r="BB76" s="9" t="s">
        <v>85</v>
      </c>
      <c r="BC76" s="30">
        <v>0.831111</v>
      </c>
      <c r="BD76" s="9" t="s">
        <v>85</v>
      </c>
      <c r="BE76" s="9" t="s">
        <v>85</v>
      </c>
      <c r="BF76" s="9">
        <v>0.784444</v>
      </c>
      <c r="BG76" s="9" t="s">
        <v>85</v>
      </c>
      <c r="BH76" s="6"/>
      <c r="BI76" s="6" t="str">
        <f t="shared" si="1"/>
        <v>12VB_Fold_Median</v>
      </c>
      <c r="BJ76" s="6" t="str">
        <f t="shared" si="2"/>
        <v>5V_Fold_Median</v>
      </c>
      <c r="BK76" s="6" t="str">
        <f t="shared" si="3"/>
        <v>8VB_Fold_Median</v>
      </c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</row>
    <row r="77" ht="15.75" customHeight="1">
      <c r="A77" s="1" t="s">
        <v>171</v>
      </c>
      <c r="B77" s="17">
        <v>500.0</v>
      </c>
      <c r="C77" s="9" t="s">
        <v>85</v>
      </c>
      <c r="D77" s="9">
        <v>0.5</v>
      </c>
      <c r="E77" s="9" t="s">
        <v>85</v>
      </c>
      <c r="F77" s="9" t="s">
        <v>85</v>
      </c>
      <c r="G77" s="30">
        <v>0.5</v>
      </c>
      <c r="H77" s="9" t="s">
        <v>85</v>
      </c>
      <c r="I77" s="9" t="s">
        <v>85</v>
      </c>
      <c r="J77" s="9">
        <v>0.5</v>
      </c>
      <c r="K77" s="9" t="s">
        <v>85</v>
      </c>
      <c r="L77" s="9" t="s">
        <v>85</v>
      </c>
      <c r="M77" s="9">
        <v>0.5</v>
      </c>
      <c r="N77" s="9" t="s">
        <v>85</v>
      </c>
      <c r="O77" s="9" t="s">
        <v>85</v>
      </c>
      <c r="P77" s="9">
        <v>0.5</v>
      </c>
      <c r="Q77" s="9" t="s">
        <v>85</v>
      </c>
      <c r="R77" s="9" t="s">
        <v>85</v>
      </c>
      <c r="S77" s="9">
        <v>0.538889</v>
      </c>
      <c r="T77" s="9" t="s">
        <v>85</v>
      </c>
      <c r="U77" s="9" t="s">
        <v>85</v>
      </c>
      <c r="V77" s="9">
        <v>0.505556</v>
      </c>
      <c r="W77" s="9" t="s">
        <v>85</v>
      </c>
      <c r="X77" s="9" t="s">
        <v>85</v>
      </c>
      <c r="Y77" s="9">
        <v>0.5</v>
      </c>
      <c r="Z77" s="9" t="s">
        <v>85</v>
      </c>
      <c r="AA77" s="9" t="s">
        <v>85</v>
      </c>
      <c r="AB77" s="30">
        <v>0.5</v>
      </c>
      <c r="AC77" s="9" t="s">
        <v>85</v>
      </c>
      <c r="AD77" s="9" t="s">
        <v>85</v>
      </c>
      <c r="AE77" s="30">
        <v>0.5</v>
      </c>
      <c r="AF77" s="9" t="s">
        <v>85</v>
      </c>
      <c r="AG77" s="9" t="s">
        <v>85</v>
      </c>
      <c r="AH77" s="9">
        <v>0.5</v>
      </c>
      <c r="AI77" s="9" t="s">
        <v>85</v>
      </c>
      <c r="AJ77" s="9" t="s">
        <v>85</v>
      </c>
      <c r="AK77" s="9">
        <v>0.5</v>
      </c>
      <c r="AL77" s="9" t="s">
        <v>85</v>
      </c>
      <c r="AM77" s="9" t="s">
        <v>85</v>
      </c>
      <c r="AN77" s="9">
        <v>0.5</v>
      </c>
      <c r="AO77" s="9" t="s">
        <v>85</v>
      </c>
      <c r="AP77" s="9" t="s">
        <v>85</v>
      </c>
      <c r="AQ77" s="30">
        <v>0.5</v>
      </c>
      <c r="AR77" s="9" t="s">
        <v>85</v>
      </c>
      <c r="AS77" s="9" t="s">
        <v>85</v>
      </c>
      <c r="AT77" s="9">
        <v>0.483333</v>
      </c>
      <c r="AU77" s="9" t="s">
        <v>85</v>
      </c>
      <c r="AV77" s="9" t="s">
        <v>85</v>
      </c>
      <c r="AW77" s="9">
        <v>0.5</v>
      </c>
      <c r="AX77" s="9" t="s">
        <v>85</v>
      </c>
      <c r="AY77" s="9" t="s">
        <v>85</v>
      </c>
      <c r="AZ77" s="9">
        <v>0.5</v>
      </c>
      <c r="BA77" s="9" t="s">
        <v>85</v>
      </c>
      <c r="BB77" s="9" t="s">
        <v>85</v>
      </c>
      <c r="BC77" s="30">
        <v>0.516667</v>
      </c>
      <c r="BD77" s="9" t="s">
        <v>85</v>
      </c>
      <c r="BE77" s="9" t="s">
        <v>85</v>
      </c>
      <c r="BF77" s="9">
        <v>0.5</v>
      </c>
      <c r="BG77" s="9" t="s">
        <v>85</v>
      </c>
      <c r="BH77" s="6"/>
      <c r="BI77" s="6" t="str">
        <f t="shared" si="1"/>
        <v>8BN_Fold_Median</v>
      </c>
      <c r="BJ77" s="6" t="str">
        <f t="shared" si="2"/>
        <v>20V_Fold_Median</v>
      </c>
      <c r="BK77" s="6" t="str">
        <f t="shared" si="3"/>
        <v>8V_Fold_Median</v>
      </c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</row>
    <row r="78" ht="15.75" customHeight="1">
      <c r="A78" s="1" t="s">
        <v>172</v>
      </c>
      <c r="B78" s="17">
        <v>512.0</v>
      </c>
      <c r="C78" s="9" t="s">
        <v>85</v>
      </c>
      <c r="D78" s="9">
        <v>0.37</v>
      </c>
      <c r="E78" s="9" t="s">
        <v>85</v>
      </c>
      <c r="F78" s="9" t="s">
        <v>85</v>
      </c>
      <c r="G78" s="30">
        <v>0.280000001</v>
      </c>
      <c r="H78" s="9" t="s">
        <v>85</v>
      </c>
      <c r="I78" s="9" t="s">
        <v>85</v>
      </c>
      <c r="J78" s="9">
        <v>0.468333</v>
      </c>
      <c r="K78" s="9" t="s">
        <v>85</v>
      </c>
      <c r="L78" s="9" t="s">
        <v>85</v>
      </c>
      <c r="M78" s="9">
        <v>0.308333</v>
      </c>
      <c r="N78" s="9" t="s">
        <v>85</v>
      </c>
      <c r="O78" s="9" t="s">
        <v>85</v>
      </c>
      <c r="P78" s="9">
        <v>0.455</v>
      </c>
      <c r="Q78" s="9" t="s">
        <v>85</v>
      </c>
      <c r="R78" s="9" t="s">
        <v>85</v>
      </c>
      <c r="S78" s="9">
        <v>0.416667</v>
      </c>
      <c r="T78" s="9" t="s">
        <v>85</v>
      </c>
      <c r="U78" s="9" t="s">
        <v>85</v>
      </c>
      <c r="V78" s="9">
        <v>0.35</v>
      </c>
      <c r="W78" s="9" t="s">
        <v>85</v>
      </c>
      <c r="X78" s="9" t="s">
        <v>85</v>
      </c>
      <c r="Y78" s="9">
        <v>0.273333</v>
      </c>
      <c r="Z78" s="9" t="s">
        <v>85</v>
      </c>
      <c r="AA78" s="9" t="s">
        <v>85</v>
      </c>
      <c r="AB78" s="30">
        <v>0.38</v>
      </c>
      <c r="AC78" s="9" t="s">
        <v>85</v>
      </c>
      <c r="AD78" s="9" t="s">
        <v>85</v>
      </c>
      <c r="AE78" s="30">
        <v>0.371667</v>
      </c>
      <c r="AF78" s="9" t="s">
        <v>85</v>
      </c>
      <c r="AG78" s="9" t="s">
        <v>85</v>
      </c>
      <c r="AH78" s="9">
        <v>0.346667</v>
      </c>
      <c r="AI78" s="9" t="s">
        <v>85</v>
      </c>
      <c r="AJ78" s="9" t="s">
        <v>85</v>
      </c>
      <c r="AK78" s="9">
        <v>0.328333</v>
      </c>
      <c r="AL78" s="9" t="s">
        <v>85</v>
      </c>
      <c r="AM78" s="9" t="s">
        <v>85</v>
      </c>
      <c r="AN78" s="9">
        <v>0.336667</v>
      </c>
      <c r="AO78" s="9" t="s">
        <v>85</v>
      </c>
      <c r="AP78" s="9" t="s">
        <v>85</v>
      </c>
      <c r="AQ78" s="30">
        <v>0.456667</v>
      </c>
      <c r="AR78" s="9" t="s">
        <v>85</v>
      </c>
      <c r="AS78" s="9" t="s">
        <v>85</v>
      </c>
      <c r="AT78" s="9">
        <v>0.356667</v>
      </c>
      <c r="AU78" s="9" t="s">
        <v>85</v>
      </c>
      <c r="AV78" s="9" t="s">
        <v>85</v>
      </c>
      <c r="AW78" s="9">
        <v>0.416667</v>
      </c>
      <c r="AX78" s="9" t="s">
        <v>85</v>
      </c>
      <c r="AY78" s="9" t="s">
        <v>85</v>
      </c>
      <c r="AZ78" s="9">
        <v>0.466667</v>
      </c>
      <c r="BA78" s="9" t="s">
        <v>85</v>
      </c>
      <c r="BB78" s="9" t="s">
        <v>85</v>
      </c>
      <c r="BC78" s="30">
        <v>0.46</v>
      </c>
      <c r="BD78" s="9" t="s">
        <v>85</v>
      </c>
      <c r="BE78" s="9" t="s">
        <v>85</v>
      </c>
      <c r="BF78" s="9">
        <v>0.285</v>
      </c>
      <c r="BG78" s="9" t="s">
        <v>85</v>
      </c>
      <c r="BH78" s="6"/>
      <c r="BI78" s="6" t="str">
        <f t="shared" si="1"/>
        <v>5V_Fold_Median</v>
      </c>
      <c r="BJ78" s="6" t="str">
        <f t="shared" si="2"/>
        <v>20B_Fold_Median</v>
      </c>
      <c r="BK78" s="6" t="str">
        <f t="shared" si="3"/>
        <v>20V_Fold_Median</v>
      </c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</row>
    <row r="79" ht="15.75" customHeight="1">
      <c r="A79" s="1" t="s">
        <v>173</v>
      </c>
      <c r="B79" s="17">
        <v>720.0</v>
      </c>
      <c r="C79" s="9" t="s">
        <v>85</v>
      </c>
      <c r="D79" s="9">
        <v>0.602667</v>
      </c>
      <c r="E79" s="9" t="s">
        <v>85</v>
      </c>
      <c r="F79" s="9" t="s">
        <v>85</v>
      </c>
      <c r="G79" s="30">
        <v>0.437333345</v>
      </c>
      <c r="H79" s="9" t="s">
        <v>85</v>
      </c>
      <c r="I79" s="9" t="s">
        <v>85</v>
      </c>
      <c r="J79" s="9">
        <v>0.786667</v>
      </c>
      <c r="K79" s="9" t="s">
        <v>85</v>
      </c>
      <c r="L79" s="9" t="s">
        <v>85</v>
      </c>
      <c r="M79" s="9">
        <v>0.773333</v>
      </c>
      <c r="N79" s="9" t="s">
        <v>85</v>
      </c>
      <c r="O79" s="9" t="s">
        <v>85</v>
      </c>
      <c r="P79" s="9">
        <v>0.653333</v>
      </c>
      <c r="Q79" s="9" t="s">
        <v>85</v>
      </c>
      <c r="R79" s="9" t="s">
        <v>85</v>
      </c>
      <c r="S79" s="9">
        <v>0.565333</v>
      </c>
      <c r="T79" s="9" t="s">
        <v>85</v>
      </c>
      <c r="U79" s="9" t="s">
        <v>85</v>
      </c>
      <c r="V79" s="9">
        <v>0.818667</v>
      </c>
      <c r="W79" s="9" t="s">
        <v>85</v>
      </c>
      <c r="X79" s="9" t="s">
        <v>85</v>
      </c>
      <c r="Y79" s="9">
        <v>0.792</v>
      </c>
      <c r="Z79" s="9" t="s">
        <v>85</v>
      </c>
      <c r="AA79" s="9" t="s">
        <v>85</v>
      </c>
      <c r="AB79" s="30">
        <v>0.634667</v>
      </c>
      <c r="AC79" s="9" t="s">
        <v>85</v>
      </c>
      <c r="AD79" s="9" t="s">
        <v>85</v>
      </c>
      <c r="AE79" s="30">
        <v>0.645333</v>
      </c>
      <c r="AF79" s="9" t="s">
        <v>85</v>
      </c>
      <c r="AG79" s="9" t="s">
        <v>85</v>
      </c>
      <c r="AH79" s="9">
        <v>0.805333</v>
      </c>
      <c r="AI79" s="9" t="s">
        <v>85</v>
      </c>
      <c r="AJ79" s="9" t="s">
        <v>85</v>
      </c>
      <c r="AK79" s="9">
        <v>0.802667</v>
      </c>
      <c r="AL79" s="9" t="s">
        <v>85</v>
      </c>
      <c r="AM79" s="9" t="s">
        <v>85</v>
      </c>
      <c r="AN79" s="9">
        <v>0.602667</v>
      </c>
      <c r="AO79" s="9" t="s">
        <v>85</v>
      </c>
      <c r="AP79" s="9" t="s">
        <v>85</v>
      </c>
      <c r="AQ79" s="30">
        <v>0.618667</v>
      </c>
      <c r="AR79" s="9" t="s">
        <v>85</v>
      </c>
      <c r="AS79" s="9" t="s">
        <v>85</v>
      </c>
      <c r="AT79" s="9">
        <v>0.792</v>
      </c>
      <c r="AU79" s="9" t="s">
        <v>85</v>
      </c>
      <c r="AV79" s="9" t="s">
        <v>85</v>
      </c>
      <c r="AW79" s="9">
        <v>0.784</v>
      </c>
      <c r="AX79" s="9" t="s">
        <v>85</v>
      </c>
      <c r="AY79" s="9" t="s">
        <v>85</v>
      </c>
      <c r="AZ79" s="9">
        <v>0.413333</v>
      </c>
      <c r="BA79" s="9" t="s">
        <v>85</v>
      </c>
      <c r="BB79" s="9" t="s">
        <v>85</v>
      </c>
      <c r="BC79" s="30">
        <v>0.773333</v>
      </c>
      <c r="BD79" s="9" t="s">
        <v>85</v>
      </c>
      <c r="BE79" s="9" t="s">
        <v>85</v>
      </c>
      <c r="BF79" s="9">
        <v>0.528</v>
      </c>
      <c r="BG79" s="9" t="s">
        <v>85</v>
      </c>
      <c r="BH79" s="6"/>
      <c r="BI79" s="6" t="str">
        <f t="shared" si="1"/>
        <v>8V_Fold_Median</v>
      </c>
      <c r="BJ79" s="6" t="str">
        <f t="shared" si="2"/>
        <v>10V_Fold_Median</v>
      </c>
      <c r="BK79" s="6" t="str">
        <f t="shared" si="3"/>
        <v>10VB_Fold_Median</v>
      </c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</row>
    <row r="80" ht="15.75" customHeight="1">
      <c r="A80" s="1" t="s">
        <v>174</v>
      </c>
      <c r="B80" s="17">
        <v>15.0</v>
      </c>
      <c r="C80" s="9" t="s">
        <v>85</v>
      </c>
      <c r="D80" s="9">
        <v>0.953333</v>
      </c>
      <c r="E80" s="9" t="s">
        <v>85</v>
      </c>
      <c r="F80" s="9" t="s">
        <v>85</v>
      </c>
      <c r="G80" s="30">
        <v>0.959999979</v>
      </c>
      <c r="H80" s="9" t="s">
        <v>85</v>
      </c>
      <c r="I80" s="9" t="s">
        <v>85</v>
      </c>
      <c r="J80" s="9">
        <v>0.906667</v>
      </c>
      <c r="K80" s="9" t="s">
        <v>85</v>
      </c>
      <c r="L80" s="9" t="s">
        <v>85</v>
      </c>
      <c r="M80" s="9">
        <v>0.933333</v>
      </c>
      <c r="N80" s="9" t="s">
        <v>85</v>
      </c>
      <c r="O80" s="9" t="s">
        <v>85</v>
      </c>
      <c r="P80" s="9">
        <v>0.926667</v>
      </c>
      <c r="Q80" s="9" t="s">
        <v>85</v>
      </c>
      <c r="R80" s="9" t="s">
        <v>85</v>
      </c>
      <c r="S80" s="9">
        <v>0.94</v>
      </c>
      <c r="T80" s="9" t="s">
        <v>85</v>
      </c>
      <c r="U80" s="9" t="s">
        <v>85</v>
      </c>
      <c r="V80" s="9">
        <v>0.333333</v>
      </c>
      <c r="W80" s="9" t="s">
        <v>85</v>
      </c>
      <c r="X80" s="9" t="s">
        <v>85</v>
      </c>
      <c r="Y80" s="9">
        <v>0.92</v>
      </c>
      <c r="Z80" s="9" t="s">
        <v>85</v>
      </c>
      <c r="AA80" s="9" t="s">
        <v>85</v>
      </c>
      <c r="AB80" s="30">
        <v>0.92</v>
      </c>
      <c r="AC80" s="9" t="s">
        <v>85</v>
      </c>
      <c r="AD80" s="9" t="s">
        <v>85</v>
      </c>
      <c r="AE80" s="30">
        <v>0.913333</v>
      </c>
      <c r="AF80" s="9" t="s">
        <v>85</v>
      </c>
      <c r="AG80" s="9" t="s">
        <v>85</v>
      </c>
      <c r="AH80" s="9">
        <v>0.333333</v>
      </c>
      <c r="AI80" s="9" t="s">
        <v>85</v>
      </c>
      <c r="AJ80" s="9" t="s">
        <v>85</v>
      </c>
      <c r="AK80" s="9">
        <v>0.92</v>
      </c>
      <c r="AL80" s="9" t="s">
        <v>85</v>
      </c>
      <c r="AM80" s="9" t="s">
        <v>85</v>
      </c>
      <c r="AN80" s="9">
        <v>0.926667</v>
      </c>
      <c r="AO80" s="9" t="s">
        <v>85</v>
      </c>
      <c r="AP80" s="9" t="s">
        <v>85</v>
      </c>
      <c r="AQ80" s="30">
        <v>0.92</v>
      </c>
      <c r="AR80" s="9" t="s">
        <v>85</v>
      </c>
      <c r="AS80" s="9" t="s">
        <v>85</v>
      </c>
      <c r="AT80" s="9">
        <v>0.333333</v>
      </c>
      <c r="AU80" s="9" t="s">
        <v>85</v>
      </c>
      <c r="AV80" s="9" t="s">
        <v>85</v>
      </c>
      <c r="AW80" s="9">
        <v>0.94</v>
      </c>
      <c r="AX80" s="9" t="s">
        <v>85</v>
      </c>
      <c r="AY80" s="9" t="s">
        <v>85</v>
      </c>
      <c r="AZ80" s="9">
        <v>0.726667</v>
      </c>
      <c r="BA80" s="9" t="s">
        <v>85</v>
      </c>
      <c r="BB80" s="9" t="s">
        <v>85</v>
      </c>
      <c r="BC80" s="30">
        <v>0.813333</v>
      </c>
      <c r="BD80" s="9" t="s">
        <v>85</v>
      </c>
      <c r="BE80" s="9" t="s">
        <v>85</v>
      </c>
      <c r="BF80" s="9">
        <v>0.9</v>
      </c>
      <c r="BG80" s="9" t="s">
        <v>85</v>
      </c>
      <c r="BH80" s="6"/>
      <c r="BI80" s="6" t="str">
        <f t="shared" si="1"/>
        <v>5BN_Fold_Median</v>
      </c>
      <c r="BJ80" s="6" t="str">
        <f t="shared" si="2"/>
        <v>5B_Fold_Median</v>
      </c>
      <c r="BK80" s="6" t="str">
        <f t="shared" si="3"/>
        <v>8BN_Fold_Median</v>
      </c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</row>
    <row r="81" ht="15.75" customHeight="1">
      <c r="A81" s="1" t="s">
        <v>175</v>
      </c>
      <c r="B81" s="17">
        <v>70.0</v>
      </c>
      <c r="C81" s="9" t="s">
        <v>85</v>
      </c>
      <c r="D81" s="9">
        <v>0.494176</v>
      </c>
      <c r="E81" s="9" t="s">
        <v>85</v>
      </c>
      <c r="F81" s="9" t="s">
        <v>85</v>
      </c>
      <c r="G81" s="30">
        <v>0.555740416</v>
      </c>
      <c r="H81" s="9" t="s">
        <v>85</v>
      </c>
      <c r="I81" s="9" t="s">
        <v>85</v>
      </c>
      <c r="J81" s="9">
        <v>0.429285</v>
      </c>
      <c r="K81" s="9" t="s">
        <v>85</v>
      </c>
      <c r="L81" s="9" t="s">
        <v>85</v>
      </c>
      <c r="M81" s="9">
        <v>0.429285</v>
      </c>
      <c r="N81" s="9" t="s">
        <v>85</v>
      </c>
      <c r="O81" s="9" t="s">
        <v>85</v>
      </c>
      <c r="P81" s="9">
        <v>0.464226</v>
      </c>
      <c r="Q81" s="9" t="s">
        <v>85</v>
      </c>
      <c r="R81" s="9" t="s">
        <v>85</v>
      </c>
      <c r="S81" s="9">
        <v>0.570715</v>
      </c>
      <c r="T81" s="9" t="s">
        <v>85</v>
      </c>
      <c r="U81" s="9" t="s">
        <v>85</v>
      </c>
      <c r="V81" s="9">
        <v>0.429285</v>
      </c>
      <c r="W81" s="9" t="s">
        <v>85</v>
      </c>
      <c r="X81" s="9" t="s">
        <v>85</v>
      </c>
      <c r="Y81" s="9">
        <v>0.487521</v>
      </c>
      <c r="Z81" s="9" t="s">
        <v>85</v>
      </c>
      <c r="AA81" s="9" t="s">
        <v>85</v>
      </c>
      <c r="AB81" s="30">
        <v>0.454243</v>
      </c>
      <c r="AC81" s="9" t="s">
        <v>85</v>
      </c>
      <c r="AD81" s="9" t="s">
        <v>85</v>
      </c>
      <c r="AE81" s="30">
        <v>0.442596</v>
      </c>
      <c r="AF81" s="9" t="s">
        <v>85</v>
      </c>
      <c r="AG81" s="9" t="s">
        <v>85</v>
      </c>
      <c r="AH81" s="9">
        <v>0.429285</v>
      </c>
      <c r="AI81" s="9" t="s">
        <v>85</v>
      </c>
      <c r="AJ81" s="9" t="s">
        <v>85</v>
      </c>
      <c r="AK81" s="9">
        <v>0.462562</v>
      </c>
      <c r="AL81" s="9" t="s">
        <v>85</v>
      </c>
      <c r="AM81" s="9" t="s">
        <v>85</v>
      </c>
      <c r="AN81" s="9">
        <v>0.487521</v>
      </c>
      <c r="AO81" s="9" t="s">
        <v>85</v>
      </c>
      <c r="AP81" s="9" t="s">
        <v>85</v>
      </c>
      <c r="AQ81" s="30">
        <v>0.459235</v>
      </c>
      <c r="AR81" s="9" t="s">
        <v>85</v>
      </c>
      <c r="AS81" s="9" t="s">
        <v>85</v>
      </c>
      <c r="AT81" s="9">
        <v>0.638935</v>
      </c>
      <c r="AU81" s="9" t="s">
        <v>85</v>
      </c>
      <c r="AV81" s="9" t="s">
        <v>85</v>
      </c>
      <c r="AW81" s="9">
        <v>0.497504</v>
      </c>
      <c r="AX81" s="9" t="s">
        <v>85</v>
      </c>
      <c r="AY81" s="9" t="s">
        <v>85</v>
      </c>
      <c r="AZ81" s="9">
        <v>0.459235</v>
      </c>
      <c r="BA81" s="9" t="s">
        <v>85</v>
      </c>
      <c r="BB81" s="9" t="s">
        <v>85</v>
      </c>
      <c r="BC81" s="30">
        <v>0.434276</v>
      </c>
      <c r="BD81" s="9" t="s">
        <v>85</v>
      </c>
      <c r="BE81" s="9" t="s">
        <v>85</v>
      </c>
      <c r="BF81" s="9">
        <v>0.727121</v>
      </c>
      <c r="BG81" s="9" t="s">
        <v>85</v>
      </c>
      <c r="BH81" s="6"/>
      <c r="BI81" s="6" t="str">
        <f t="shared" si="1"/>
        <v>De_Fold_Median</v>
      </c>
      <c r="BJ81" s="6" t="str">
        <f t="shared" si="2"/>
        <v>12V_Fold_Median</v>
      </c>
      <c r="BK81" s="6" t="str">
        <f t="shared" si="3"/>
        <v>8BN_Fold_Median</v>
      </c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</row>
    <row r="82" ht="15.75" customHeight="1">
      <c r="A82" s="1" t="s">
        <v>176</v>
      </c>
      <c r="B82" s="17">
        <v>65.0</v>
      </c>
      <c r="C82" s="9" t="s">
        <v>85</v>
      </c>
      <c r="D82" s="9">
        <v>0.735572</v>
      </c>
      <c r="E82" s="9" t="s">
        <v>85</v>
      </c>
      <c r="F82" s="9" t="s">
        <v>85</v>
      </c>
      <c r="G82" s="30">
        <v>0.731374621</v>
      </c>
      <c r="H82" s="9" t="s">
        <v>85</v>
      </c>
      <c r="I82" s="9" t="s">
        <v>85</v>
      </c>
      <c r="J82" s="9">
        <v>0.758657</v>
      </c>
      <c r="K82" s="9" t="s">
        <v>85</v>
      </c>
      <c r="L82" s="9" t="s">
        <v>85</v>
      </c>
      <c r="M82" s="9">
        <v>0.759706</v>
      </c>
      <c r="N82" s="9" t="s">
        <v>85</v>
      </c>
      <c r="O82" s="9" t="s">
        <v>85</v>
      </c>
      <c r="P82" s="9">
        <v>0.777545</v>
      </c>
      <c r="Q82" s="9" t="s">
        <v>85</v>
      </c>
      <c r="R82" s="9" t="s">
        <v>85</v>
      </c>
      <c r="S82" s="9">
        <v>0.774397</v>
      </c>
      <c r="T82" s="9" t="s">
        <v>85</v>
      </c>
      <c r="U82" s="9" t="s">
        <v>85</v>
      </c>
      <c r="V82" s="9">
        <v>0.76915</v>
      </c>
      <c r="W82" s="9" t="s">
        <v>85</v>
      </c>
      <c r="X82" s="9" t="s">
        <v>85</v>
      </c>
      <c r="Y82" s="9">
        <v>0.770199</v>
      </c>
      <c r="Z82" s="9" t="s">
        <v>85</v>
      </c>
      <c r="AA82" s="9" t="s">
        <v>85</v>
      </c>
      <c r="AB82" s="30">
        <v>0.764953</v>
      </c>
      <c r="AC82" s="9" t="s">
        <v>85</v>
      </c>
      <c r="AD82" s="9" t="s">
        <v>85</v>
      </c>
      <c r="AE82" s="30">
        <v>0.767051</v>
      </c>
      <c r="AF82" s="9" t="s">
        <v>85</v>
      </c>
      <c r="AG82" s="9" t="s">
        <v>85</v>
      </c>
      <c r="AH82" s="9">
        <v>0.755509</v>
      </c>
      <c r="AI82" s="9" t="s">
        <v>85</v>
      </c>
      <c r="AJ82" s="9" t="s">
        <v>85</v>
      </c>
      <c r="AK82" s="9">
        <v>0.758657</v>
      </c>
      <c r="AL82" s="9" t="s">
        <v>85</v>
      </c>
      <c r="AM82" s="9" t="s">
        <v>85</v>
      </c>
      <c r="AN82" s="9">
        <v>0.786988</v>
      </c>
      <c r="AO82" s="9" t="s">
        <v>85</v>
      </c>
      <c r="AP82" s="9" t="s">
        <v>85</v>
      </c>
      <c r="AQ82" s="30">
        <v>0.781742</v>
      </c>
      <c r="AR82" s="9" t="s">
        <v>85</v>
      </c>
      <c r="AS82" s="9" t="s">
        <v>85</v>
      </c>
      <c r="AT82" s="9">
        <v>0.786988</v>
      </c>
      <c r="AU82" s="9" t="s">
        <v>85</v>
      </c>
      <c r="AV82" s="9" t="s">
        <v>85</v>
      </c>
      <c r="AW82" s="9">
        <v>0.792235</v>
      </c>
      <c r="AX82" s="9" t="s">
        <v>85</v>
      </c>
      <c r="AY82" s="9" t="s">
        <v>85</v>
      </c>
      <c r="AZ82" s="9">
        <v>0.767051</v>
      </c>
      <c r="BA82" s="9" t="s">
        <v>85</v>
      </c>
      <c r="BB82" s="9" t="s">
        <v>85</v>
      </c>
      <c r="BC82" s="30">
        <v>0.780693</v>
      </c>
      <c r="BD82" s="9" t="s">
        <v>85</v>
      </c>
      <c r="BE82" s="9" t="s">
        <v>85</v>
      </c>
      <c r="BF82" s="9">
        <v>0.81532</v>
      </c>
      <c r="BG82" s="9" t="s">
        <v>85</v>
      </c>
      <c r="BH82" s="6"/>
      <c r="BI82" s="6" t="str">
        <f t="shared" si="1"/>
        <v>De_Fold_Median</v>
      </c>
      <c r="BJ82" s="6" t="str">
        <f t="shared" si="2"/>
        <v>12VB_Fold_Median</v>
      </c>
      <c r="BK82" s="6" t="str">
        <f t="shared" si="3"/>
        <v>12B_Fold_Median</v>
      </c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</row>
    <row r="83" ht="15.75" customHeight="1">
      <c r="A83" s="1" t="s">
        <v>177</v>
      </c>
      <c r="B83" s="17">
        <v>1024.0</v>
      </c>
      <c r="C83" s="9" t="s">
        <v>85</v>
      </c>
      <c r="D83" s="9">
        <v>0.918893</v>
      </c>
      <c r="E83" s="9" t="s">
        <v>85</v>
      </c>
      <c r="F83" s="9" t="s">
        <v>85</v>
      </c>
      <c r="G83" s="30">
        <v>0.919014096</v>
      </c>
      <c r="H83" s="9" t="s">
        <v>85</v>
      </c>
      <c r="I83" s="9" t="s">
        <v>85</v>
      </c>
      <c r="J83" s="9">
        <v>0.930063</v>
      </c>
      <c r="K83" s="9" t="s">
        <v>85</v>
      </c>
      <c r="L83" s="9" t="s">
        <v>85</v>
      </c>
      <c r="M83" s="9">
        <v>0.923992</v>
      </c>
      <c r="N83" s="9" t="s">
        <v>85</v>
      </c>
      <c r="O83" s="9" t="s">
        <v>85</v>
      </c>
      <c r="P83" s="9">
        <v>0.929335</v>
      </c>
      <c r="Q83" s="9" t="s">
        <v>85</v>
      </c>
      <c r="R83" s="9" t="s">
        <v>85</v>
      </c>
      <c r="S83" s="9">
        <v>0.927635</v>
      </c>
      <c r="T83" s="9" t="s">
        <v>85</v>
      </c>
      <c r="U83" s="9" t="s">
        <v>85</v>
      </c>
      <c r="V83" s="9">
        <v>0.927635</v>
      </c>
      <c r="W83" s="9" t="s">
        <v>85</v>
      </c>
      <c r="X83" s="9" t="s">
        <v>85</v>
      </c>
      <c r="Y83" s="9">
        <v>0.92812</v>
      </c>
      <c r="Z83" s="9" t="s">
        <v>85</v>
      </c>
      <c r="AA83" s="9" t="s">
        <v>85</v>
      </c>
      <c r="AB83" s="30">
        <v>0.922292</v>
      </c>
      <c r="AC83" s="9" t="s">
        <v>85</v>
      </c>
      <c r="AD83" s="9" t="s">
        <v>85</v>
      </c>
      <c r="AE83" s="30">
        <v>0.924964</v>
      </c>
      <c r="AF83" s="9" t="s">
        <v>85</v>
      </c>
      <c r="AG83" s="9" t="s">
        <v>85</v>
      </c>
      <c r="AH83" s="9">
        <v>0.932734</v>
      </c>
      <c r="AI83" s="9" t="s">
        <v>85</v>
      </c>
      <c r="AJ83" s="9" t="s">
        <v>85</v>
      </c>
      <c r="AK83" s="9">
        <v>0.932491</v>
      </c>
      <c r="AL83" s="9" t="s">
        <v>85</v>
      </c>
      <c r="AM83" s="9" t="s">
        <v>85</v>
      </c>
      <c r="AN83" s="9">
        <v>0.931642</v>
      </c>
      <c r="AO83" s="9" t="s">
        <v>85</v>
      </c>
      <c r="AP83" s="9" t="s">
        <v>85</v>
      </c>
      <c r="AQ83" s="30">
        <v>0.926906</v>
      </c>
      <c r="AR83" s="9" t="s">
        <v>85</v>
      </c>
      <c r="AS83" s="9" t="s">
        <v>85</v>
      </c>
      <c r="AT83" s="9">
        <v>0.936863</v>
      </c>
      <c r="AU83" s="9" t="s">
        <v>85</v>
      </c>
      <c r="AV83" s="9" t="s">
        <v>85</v>
      </c>
      <c r="AW83" s="9">
        <v>0.940748</v>
      </c>
      <c r="AX83" s="9" t="s">
        <v>85</v>
      </c>
      <c r="AY83" s="9" t="s">
        <v>85</v>
      </c>
      <c r="AZ83" s="9">
        <v>0.93407</v>
      </c>
      <c r="BA83" s="9" t="s">
        <v>85</v>
      </c>
      <c r="BB83" s="9" t="s">
        <v>85</v>
      </c>
      <c r="BC83" s="30">
        <v>0.946576</v>
      </c>
      <c r="BD83" s="9" t="s">
        <v>85</v>
      </c>
      <c r="BE83" s="9" t="s">
        <v>85</v>
      </c>
      <c r="BF83" s="9">
        <v>0.894245</v>
      </c>
      <c r="BG83" s="9" t="s">
        <v>85</v>
      </c>
      <c r="BH83" s="6"/>
      <c r="BI83" s="6" t="str">
        <f t="shared" si="1"/>
        <v>20V_Fold_Median</v>
      </c>
      <c r="BJ83" s="6" t="str">
        <f t="shared" si="2"/>
        <v>12VB_Fold_Median</v>
      </c>
      <c r="BK83" s="6" t="str">
        <f t="shared" si="3"/>
        <v>12V_Fold_Median</v>
      </c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</row>
    <row r="84" ht="15.75" customHeight="1">
      <c r="A84" s="1" t="s">
        <v>178</v>
      </c>
      <c r="B84" s="17">
        <v>235.0</v>
      </c>
      <c r="C84" s="9" t="s">
        <v>85</v>
      </c>
      <c r="D84" s="9">
        <v>0.9</v>
      </c>
      <c r="E84" s="9" t="s">
        <v>85</v>
      </c>
      <c r="F84" s="9" t="s">
        <v>85</v>
      </c>
      <c r="G84" s="30">
        <v>0.891891897</v>
      </c>
      <c r="H84" s="9" t="s">
        <v>85</v>
      </c>
      <c r="I84" s="9" t="s">
        <v>85</v>
      </c>
      <c r="J84" s="9">
        <v>0.908108</v>
      </c>
      <c r="K84" s="9" t="s">
        <v>85</v>
      </c>
      <c r="L84" s="9" t="s">
        <v>85</v>
      </c>
      <c r="M84" s="9">
        <v>0.905405</v>
      </c>
      <c r="N84" s="9" t="s">
        <v>85</v>
      </c>
      <c r="O84" s="9" t="s">
        <v>85</v>
      </c>
      <c r="P84" s="9">
        <v>0.894595</v>
      </c>
      <c r="Q84" s="9" t="s">
        <v>85</v>
      </c>
      <c r="R84" s="9" t="s">
        <v>85</v>
      </c>
      <c r="S84" s="9">
        <v>0.897297</v>
      </c>
      <c r="T84" s="9" t="s">
        <v>85</v>
      </c>
      <c r="U84" s="9" t="s">
        <v>85</v>
      </c>
      <c r="V84" s="9">
        <v>0.886486</v>
      </c>
      <c r="W84" s="9" t="s">
        <v>85</v>
      </c>
      <c r="X84" s="9" t="s">
        <v>85</v>
      </c>
      <c r="Y84" s="9">
        <v>0.905405</v>
      </c>
      <c r="Z84" s="9" t="s">
        <v>85</v>
      </c>
      <c r="AA84" s="9" t="s">
        <v>85</v>
      </c>
      <c r="AB84" s="30">
        <v>0.910811</v>
      </c>
      <c r="AC84" s="9" t="s">
        <v>85</v>
      </c>
      <c r="AD84" s="9" t="s">
        <v>85</v>
      </c>
      <c r="AE84" s="30">
        <v>0.908108</v>
      </c>
      <c r="AF84" s="9" t="s">
        <v>85</v>
      </c>
      <c r="AG84" s="9" t="s">
        <v>85</v>
      </c>
      <c r="AH84" s="9">
        <v>0.910811</v>
      </c>
      <c r="AI84" s="9" t="s">
        <v>85</v>
      </c>
      <c r="AJ84" s="9" t="s">
        <v>85</v>
      </c>
      <c r="AK84" s="9">
        <v>0.918919</v>
      </c>
      <c r="AL84" s="9" t="s">
        <v>85</v>
      </c>
      <c r="AM84" s="9" t="s">
        <v>85</v>
      </c>
      <c r="AN84" s="9">
        <v>0.913514</v>
      </c>
      <c r="AO84" s="9" t="s">
        <v>85</v>
      </c>
      <c r="AP84" s="9" t="s">
        <v>85</v>
      </c>
      <c r="AQ84" s="30">
        <v>0.910811</v>
      </c>
      <c r="AR84" s="9" t="s">
        <v>85</v>
      </c>
      <c r="AS84" s="9" t="s">
        <v>85</v>
      </c>
      <c r="AT84" s="9">
        <v>0.92973</v>
      </c>
      <c r="AU84" s="9" t="s">
        <v>85</v>
      </c>
      <c r="AV84" s="9" t="s">
        <v>85</v>
      </c>
      <c r="AW84" s="9">
        <v>0.932432</v>
      </c>
      <c r="AX84" s="9" t="s">
        <v>85</v>
      </c>
      <c r="AY84" s="9" t="s">
        <v>85</v>
      </c>
      <c r="AZ84" s="9">
        <v>0.921622</v>
      </c>
      <c r="BA84" s="9" t="s">
        <v>85</v>
      </c>
      <c r="BB84" s="9" t="s">
        <v>85</v>
      </c>
      <c r="BC84" s="30">
        <v>0.924324</v>
      </c>
      <c r="BD84" s="9" t="s">
        <v>85</v>
      </c>
      <c r="BE84" s="9" t="s">
        <v>85</v>
      </c>
      <c r="BF84" s="9">
        <v>0.945946</v>
      </c>
      <c r="BG84" s="9" t="s">
        <v>85</v>
      </c>
      <c r="BH84" s="6"/>
      <c r="BI84" s="6" t="str">
        <f t="shared" si="1"/>
        <v>De_Fold_Median</v>
      </c>
      <c r="BJ84" s="6" t="str">
        <f t="shared" si="2"/>
        <v>12VB_Fold_Median</v>
      </c>
      <c r="BK84" s="6" t="str">
        <f t="shared" si="3"/>
        <v>12V_Fold_Median</v>
      </c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</row>
    <row r="85" ht="15.75" customHeight="1">
      <c r="A85" s="1" t="s">
        <v>179</v>
      </c>
      <c r="B85" s="17">
        <v>128.0</v>
      </c>
      <c r="C85" s="9" t="s">
        <v>85</v>
      </c>
      <c r="D85" s="9">
        <v>0.6848</v>
      </c>
      <c r="E85" s="9" t="s">
        <v>85</v>
      </c>
      <c r="F85" s="9" t="s">
        <v>85</v>
      </c>
      <c r="G85" s="30">
        <v>0.673600018</v>
      </c>
      <c r="H85" s="9" t="s">
        <v>85</v>
      </c>
      <c r="I85" s="9" t="s">
        <v>85</v>
      </c>
      <c r="J85" s="9">
        <v>0.696</v>
      </c>
      <c r="K85" s="9" t="s">
        <v>85</v>
      </c>
      <c r="L85" s="9" t="s">
        <v>85</v>
      </c>
      <c r="M85" s="9">
        <v>0.6208</v>
      </c>
      <c r="N85" s="9" t="s">
        <v>85</v>
      </c>
      <c r="O85" s="9" t="s">
        <v>85</v>
      </c>
      <c r="P85" s="9">
        <v>0.7824</v>
      </c>
      <c r="Q85" s="9" t="s">
        <v>85</v>
      </c>
      <c r="R85" s="9" t="s">
        <v>85</v>
      </c>
      <c r="S85" s="9">
        <v>0.7488</v>
      </c>
      <c r="T85" s="9" t="s">
        <v>85</v>
      </c>
      <c r="U85" s="9" t="s">
        <v>85</v>
      </c>
      <c r="V85" s="9">
        <v>0.768</v>
      </c>
      <c r="W85" s="9" t="s">
        <v>85</v>
      </c>
      <c r="X85" s="9" t="s">
        <v>85</v>
      </c>
      <c r="Y85" s="9">
        <v>0.6256</v>
      </c>
      <c r="Z85" s="9" t="s">
        <v>85</v>
      </c>
      <c r="AA85" s="9" t="s">
        <v>85</v>
      </c>
      <c r="AB85" s="30">
        <v>0.808</v>
      </c>
      <c r="AC85" s="9" t="s">
        <v>85</v>
      </c>
      <c r="AD85" s="9" t="s">
        <v>85</v>
      </c>
      <c r="AE85" s="30">
        <v>0.7728</v>
      </c>
      <c r="AF85" s="9" t="s">
        <v>85</v>
      </c>
      <c r="AG85" s="9" t="s">
        <v>85</v>
      </c>
      <c r="AH85" s="9">
        <v>0.7488</v>
      </c>
      <c r="AI85" s="9" t="s">
        <v>85</v>
      </c>
      <c r="AJ85" s="9" t="s">
        <v>85</v>
      </c>
      <c r="AK85" s="9">
        <v>0.68</v>
      </c>
      <c r="AL85" s="9" t="s">
        <v>85</v>
      </c>
      <c r="AM85" s="9" t="s">
        <v>85</v>
      </c>
      <c r="AN85" s="9">
        <v>0.7648</v>
      </c>
      <c r="AO85" s="9" t="s">
        <v>85</v>
      </c>
      <c r="AP85" s="9" t="s">
        <v>85</v>
      </c>
      <c r="AQ85" s="30">
        <v>0.7904</v>
      </c>
      <c r="AR85" s="9" t="s">
        <v>85</v>
      </c>
      <c r="AS85" s="9" t="s">
        <v>85</v>
      </c>
      <c r="AT85" s="9">
        <v>0.704</v>
      </c>
      <c r="AU85" s="9" t="s">
        <v>85</v>
      </c>
      <c r="AV85" s="9" t="s">
        <v>85</v>
      </c>
      <c r="AW85" s="9">
        <v>0.7776</v>
      </c>
      <c r="AX85" s="9" t="s">
        <v>85</v>
      </c>
      <c r="AY85" s="9" t="s">
        <v>85</v>
      </c>
      <c r="AZ85" s="9">
        <v>0.7536</v>
      </c>
      <c r="BA85" s="9" t="s">
        <v>85</v>
      </c>
      <c r="BB85" s="9" t="s">
        <v>85</v>
      </c>
      <c r="BC85" s="30">
        <v>0.6752</v>
      </c>
      <c r="BD85" s="9" t="s">
        <v>85</v>
      </c>
      <c r="BE85" s="9" t="s">
        <v>85</v>
      </c>
      <c r="BF85" s="9">
        <v>0.6064</v>
      </c>
      <c r="BG85" s="9" t="s">
        <v>85</v>
      </c>
      <c r="BH85" s="6"/>
      <c r="BI85" s="6" t="str">
        <f t="shared" si="1"/>
        <v>10B_Fold_Median</v>
      </c>
      <c r="BJ85" s="6" t="str">
        <f t="shared" si="2"/>
        <v>12BN_Fold_Median</v>
      </c>
      <c r="BK85" s="6" t="str">
        <f t="shared" si="3"/>
        <v>8B_Fold_Median</v>
      </c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</row>
    <row r="86" ht="15.75" customHeight="1">
      <c r="A86" s="1" t="s">
        <v>180</v>
      </c>
      <c r="B86" s="17">
        <v>398.0</v>
      </c>
      <c r="C86" s="9" t="s">
        <v>85</v>
      </c>
      <c r="D86" s="9">
        <v>0.744724</v>
      </c>
      <c r="E86" s="9" t="s">
        <v>85</v>
      </c>
      <c r="F86" s="9" t="s">
        <v>85</v>
      </c>
      <c r="G86" s="30">
        <v>0.703517616</v>
      </c>
      <c r="H86" s="9" t="s">
        <v>85</v>
      </c>
      <c r="I86" s="9" t="s">
        <v>85</v>
      </c>
      <c r="J86" s="9">
        <v>0.767839</v>
      </c>
      <c r="K86" s="9" t="s">
        <v>85</v>
      </c>
      <c r="L86" s="9" t="s">
        <v>85</v>
      </c>
      <c r="M86" s="9">
        <v>0.78794</v>
      </c>
      <c r="N86" s="9" t="s">
        <v>85</v>
      </c>
      <c r="O86" s="9" t="s">
        <v>85</v>
      </c>
      <c r="P86" s="9">
        <v>0.745729</v>
      </c>
      <c r="Q86" s="9" t="s">
        <v>85</v>
      </c>
      <c r="R86" s="9" t="s">
        <v>85</v>
      </c>
      <c r="S86" s="9">
        <v>0.742714</v>
      </c>
      <c r="T86" s="9" t="s">
        <v>85</v>
      </c>
      <c r="U86" s="9" t="s">
        <v>85</v>
      </c>
      <c r="V86" s="9">
        <v>0.78191</v>
      </c>
      <c r="W86" s="9" t="s">
        <v>85</v>
      </c>
      <c r="X86" s="9" t="s">
        <v>85</v>
      </c>
      <c r="Y86" s="9">
        <v>0.722613</v>
      </c>
      <c r="Z86" s="9" t="s">
        <v>85</v>
      </c>
      <c r="AA86" s="9" t="s">
        <v>85</v>
      </c>
      <c r="AB86" s="30">
        <v>0.747739</v>
      </c>
      <c r="AC86" s="9" t="s">
        <v>85</v>
      </c>
      <c r="AD86" s="9" t="s">
        <v>85</v>
      </c>
      <c r="AE86" s="30">
        <v>0.728643</v>
      </c>
      <c r="AF86" s="9" t="s">
        <v>85</v>
      </c>
      <c r="AG86" s="9" t="s">
        <v>85</v>
      </c>
      <c r="AH86" s="9">
        <v>0.736683</v>
      </c>
      <c r="AI86" s="9" t="s">
        <v>85</v>
      </c>
      <c r="AJ86" s="9" t="s">
        <v>85</v>
      </c>
      <c r="AK86" s="9">
        <v>0.777889</v>
      </c>
      <c r="AL86" s="9" t="s">
        <v>85</v>
      </c>
      <c r="AM86" s="9" t="s">
        <v>85</v>
      </c>
      <c r="AN86" s="9">
        <v>0.686432</v>
      </c>
      <c r="AO86" s="9" t="s">
        <v>85</v>
      </c>
      <c r="AP86" s="9" t="s">
        <v>85</v>
      </c>
      <c r="AQ86" s="30">
        <v>0.712563</v>
      </c>
      <c r="AR86" s="9" t="s">
        <v>85</v>
      </c>
      <c r="AS86" s="9" t="s">
        <v>85</v>
      </c>
      <c r="AT86" s="9">
        <v>0.750754</v>
      </c>
      <c r="AU86" s="9" t="s">
        <v>85</v>
      </c>
      <c r="AV86" s="9" t="s">
        <v>85</v>
      </c>
      <c r="AW86" s="9">
        <v>0.722613</v>
      </c>
      <c r="AX86" s="9" t="s">
        <v>85</v>
      </c>
      <c r="AY86" s="9" t="s">
        <v>85</v>
      </c>
      <c r="AZ86" s="9">
        <v>0.619096</v>
      </c>
      <c r="BA86" s="9" t="s">
        <v>85</v>
      </c>
      <c r="BB86" s="9" t="s">
        <v>85</v>
      </c>
      <c r="BC86" s="30">
        <v>0.695477</v>
      </c>
      <c r="BD86" s="9" t="s">
        <v>85</v>
      </c>
      <c r="BE86" s="9" t="s">
        <v>85</v>
      </c>
      <c r="BF86" s="9">
        <v>0.662312</v>
      </c>
      <c r="BG86" s="9" t="s">
        <v>85</v>
      </c>
      <c r="BH86" s="6"/>
      <c r="BI86" s="6" t="str">
        <f t="shared" si="1"/>
        <v>5VB_Fold_Median</v>
      </c>
      <c r="BJ86" s="6" t="str">
        <f t="shared" si="2"/>
        <v>8V_Fold_Median</v>
      </c>
      <c r="BK86" s="6" t="str">
        <f t="shared" si="3"/>
        <v>10VB_Fold_Median</v>
      </c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</row>
    <row r="87" ht="15.75" customHeight="1">
      <c r="A87" s="1" t="s">
        <v>181</v>
      </c>
      <c r="B87" s="17">
        <v>60.0</v>
      </c>
      <c r="C87" s="9" t="s">
        <v>85</v>
      </c>
      <c r="D87" s="9">
        <v>0.963333</v>
      </c>
      <c r="E87" s="9" t="s">
        <v>85</v>
      </c>
      <c r="F87" s="9" t="s">
        <v>85</v>
      </c>
      <c r="G87" s="30">
        <v>0.956666648</v>
      </c>
      <c r="H87" s="9" t="s">
        <v>85</v>
      </c>
      <c r="I87" s="9" t="s">
        <v>85</v>
      </c>
      <c r="J87" s="9">
        <v>0.94</v>
      </c>
      <c r="K87" s="9" t="s">
        <v>85</v>
      </c>
      <c r="L87" s="9" t="s">
        <v>85</v>
      </c>
      <c r="M87" s="9">
        <v>0.933333</v>
      </c>
      <c r="N87" s="9" t="s">
        <v>85</v>
      </c>
      <c r="O87" s="9" t="s">
        <v>85</v>
      </c>
      <c r="P87" s="9">
        <v>0.956667</v>
      </c>
      <c r="Q87" s="9" t="s">
        <v>85</v>
      </c>
      <c r="R87" s="9" t="s">
        <v>85</v>
      </c>
      <c r="S87" s="9">
        <v>0.953333</v>
      </c>
      <c r="T87" s="9" t="s">
        <v>85</v>
      </c>
      <c r="U87" s="9" t="s">
        <v>85</v>
      </c>
      <c r="V87" s="9">
        <v>0.923333</v>
      </c>
      <c r="W87" s="9" t="s">
        <v>85</v>
      </c>
      <c r="X87" s="9" t="s">
        <v>85</v>
      </c>
      <c r="Y87" s="9">
        <v>0.923333</v>
      </c>
      <c r="Z87" s="9" t="s">
        <v>85</v>
      </c>
      <c r="AA87" s="9" t="s">
        <v>85</v>
      </c>
      <c r="AB87" s="30">
        <v>0.953333</v>
      </c>
      <c r="AC87" s="9" t="s">
        <v>85</v>
      </c>
      <c r="AD87" s="9" t="s">
        <v>85</v>
      </c>
      <c r="AE87" s="30">
        <v>0.953333</v>
      </c>
      <c r="AF87" s="9" t="s">
        <v>85</v>
      </c>
      <c r="AG87" s="9" t="s">
        <v>85</v>
      </c>
      <c r="AH87" s="9">
        <v>0.95</v>
      </c>
      <c r="AI87" s="9" t="s">
        <v>85</v>
      </c>
      <c r="AJ87" s="9" t="s">
        <v>85</v>
      </c>
      <c r="AK87" s="9">
        <v>0.95</v>
      </c>
      <c r="AL87" s="9" t="s">
        <v>85</v>
      </c>
      <c r="AM87" s="9" t="s">
        <v>85</v>
      </c>
      <c r="AN87" s="9">
        <v>0.976667</v>
      </c>
      <c r="AO87" s="9" t="s">
        <v>85</v>
      </c>
      <c r="AP87" s="9" t="s">
        <v>85</v>
      </c>
      <c r="AQ87" s="30">
        <v>0.976667</v>
      </c>
      <c r="AR87" s="9" t="s">
        <v>85</v>
      </c>
      <c r="AS87" s="9" t="s">
        <v>85</v>
      </c>
      <c r="AT87" s="9">
        <v>0.95</v>
      </c>
      <c r="AU87" s="9" t="s">
        <v>85</v>
      </c>
      <c r="AV87" s="9" t="s">
        <v>85</v>
      </c>
      <c r="AW87" s="9">
        <v>0.95</v>
      </c>
      <c r="AX87" s="9" t="s">
        <v>85</v>
      </c>
      <c r="AY87" s="9" t="s">
        <v>85</v>
      </c>
      <c r="AZ87" s="9">
        <v>0.99</v>
      </c>
      <c r="BA87" s="9" t="s">
        <v>85</v>
      </c>
      <c r="BB87" s="9" t="s">
        <v>85</v>
      </c>
      <c r="BC87" s="30">
        <v>0.953333</v>
      </c>
      <c r="BD87" s="9" t="s">
        <v>85</v>
      </c>
      <c r="BE87" s="9" t="s">
        <v>85</v>
      </c>
      <c r="BF87" s="9">
        <v>0.85</v>
      </c>
      <c r="BG87" s="9" t="s">
        <v>85</v>
      </c>
      <c r="BH87" s="6"/>
      <c r="BI87" s="6" t="str">
        <f t="shared" si="1"/>
        <v>20B_Fold_Median</v>
      </c>
      <c r="BJ87" s="6" t="str">
        <f t="shared" si="2"/>
        <v>12B_Fold_Median</v>
      </c>
      <c r="BK87" s="6" t="str">
        <f t="shared" si="3"/>
        <v>12B_Fold_Median</v>
      </c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</row>
    <row r="88" ht="15.75" customHeight="1">
      <c r="A88" s="1" t="s">
        <v>182</v>
      </c>
      <c r="B88" s="17">
        <v>277.0</v>
      </c>
      <c r="C88" s="9" t="s">
        <v>85</v>
      </c>
      <c r="D88" s="9">
        <v>0.526316</v>
      </c>
      <c r="E88" s="9" t="s">
        <v>85</v>
      </c>
      <c r="F88" s="9" t="s">
        <v>85</v>
      </c>
      <c r="G88" s="30">
        <v>0.649122834</v>
      </c>
      <c r="H88" s="9" t="s">
        <v>85</v>
      </c>
      <c r="I88" s="9" t="s">
        <v>85</v>
      </c>
      <c r="J88" s="9">
        <v>0.644737</v>
      </c>
      <c r="K88" s="9" t="s">
        <v>85</v>
      </c>
      <c r="L88" s="9" t="s">
        <v>85</v>
      </c>
      <c r="M88" s="9">
        <v>0.723684</v>
      </c>
      <c r="N88" s="9" t="s">
        <v>85</v>
      </c>
      <c r="O88" s="9" t="s">
        <v>85</v>
      </c>
      <c r="P88" s="9">
        <v>0.596491</v>
      </c>
      <c r="Q88" s="9" t="s">
        <v>85</v>
      </c>
      <c r="R88" s="9" t="s">
        <v>85</v>
      </c>
      <c r="S88" s="9">
        <v>0.54386</v>
      </c>
      <c r="T88" s="9" t="s">
        <v>85</v>
      </c>
      <c r="U88" s="9" t="s">
        <v>85</v>
      </c>
      <c r="V88" s="9">
        <v>0.732456</v>
      </c>
      <c r="W88" s="9" t="s">
        <v>85</v>
      </c>
      <c r="X88" s="9" t="s">
        <v>85</v>
      </c>
      <c r="Y88" s="9">
        <v>0.697368</v>
      </c>
      <c r="Z88" s="9" t="s">
        <v>85</v>
      </c>
      <c r="AA88" s="9" t="s">
        <v>85</v>
      </c>
      <c r="AB88" s="30">
        <v>0.526316</v>
      </c>
      <c r="AC88" s="9" t="s">
        <v>85</v>
      </c>
      <c r="AD88" s="9" t="s">
        <v>85</v>
      </c>
      <c r="AE88" s="30">
        <v>0.640351</v>
      </c>
      <c r="AF88" s="9" t="s">
        <v>85</v>
      </c>
      <c r="AG88" s="9" t="s">
        <v>85</v>
      </c>
      <c r="AH88" s="9">
        <v>0.723684</v>
      </c>
      <c r="AI88" s="9" t="s">
        <v>85</v>
      </c>
      <c r="AJ88" s="9" t="s">
        <v>85</v>
      </c>
      <c r="AK88" s="9">
        <v>0.745614</v>
      </c>
      <c r="AL88" s="9" t="s">
        <v>85</v>
      </c>
      <c r="AM88" s="9" t="s">
        <v>85</v>
      </c>
      <c r="AN88" s="9">
        <v>0.548246</v>
      </c>
      <c r="AO88" s="9" t="s">
        <v>85</v>
      </c>
      <c r="AP88" s="9" t="s">
        <v>85</v>
      </c>
      <c r="AQ88" s="30">
        <v>0.618421</v>
      </c>
      <c r="AR88" s="9" t="s">
        <v>85</v>
      </c>
      <c r="AS88" s="9" t="s">
        <v>85</v>
      </c>
      <c r="AT88" s="9">
        <v>0.72807</v>
      </c>
      <c r="AU88" s="9" t="s">
        <v>85</v>
      </c>
      <c r="AV88" s="9" t="s">
        <v>85</v>
      </c>
      <c r="AW88" s="9">
        <v>0.649123</v>
      </c>
      <c r="AX88" s="9" t="s">
        <v>85</v>
      </c>
      <c r="AY88" s="9" t="s">
        <v>85</v>
      </c>
      <c r="AZ88" s="9">
        <v>0.565789</v>
      </c>
      <c r="BA88" s="9" t="s">
        <v>85</v>
      </c>
      <c r="BB88" s="9" t="s">
        <v>85</v>
      </c>
      <c r="BC88" s="30">
        <v>0.548246</v>
      </c>
      <c r="BD88" s="9" t="s">
        <v>85</v>
      </c>
      <c r="BE88" s="9" t="s">
        <v>85</v>
      </c>
      <c r="BF88" s="9">
        <v>0.469298</v>
      </c>
      <c r="BG88" s="9" t="s">
        <v>85</v>
      </c>
      <c r="BH88" s="6"/>
      <c r="BI88" s="6" t="str">
        <f t="shared" si="1"/>
        <v>10VB_Fold_Median</v>
      </c>
      <c r="BJ88" s="6" t="str">
        <f t="shared" si="2"/>
        <v>8V_Fold_Median</v>
      </c>
      <c r="BK88" s="6" t="str">
        <f t="shared" si="3"/>
        <v>12V_Fold_Median</v>
      </c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</row>
    <row r="89" ht="15.75" customHeight="1">
      <c r="A89" s="1" t="s">
        <v>183</v>
      </c>
      <c r="B89" s="17">
        <v>343.0</v>
      </c>
      <c r="C89" s="9" t="s">
        <v>85</v>
      </c>
      <c r="D89" s="9">
        <v>0.830769</v>
      </c>
      <c r="E89" s="9" t="s">
        <v>85</v>
      </c>
      <c r="F89" s="9" t="s">
        <v>85</v>
      </c>
      <c r="G89" s="30">
        <v>0.784615397</v>
      </c>
      <c r="H89" s="9" t="s">
        <v>85</v>
      </c>
      <c r="I89" s="9" t="s">
        <v>85</v>
      </c>
      <c r="J89" s="9">
        <v>0.730769</v>
      </c>
      <c r="K89" s="9" t="s">
        <v>85</v>
      </c>
      <c r="L89" s="9" t="s">
        <v>85</v>
      </c>
      <c r="M89" s="9">
        <v>0.846154</v>
      </c>
      <c r="N89" s="9" t="s">
        <v>85</v>
      </c>
      <c r="O89" s="9" t="s">
        <v>85</v>
      </c>
      <c r="P89" s="9">
        <v>0.8</v>
      </c>
      <c r="Q89" s="9" t="s">
        <v>85</v>
      </c>
      <c r="R89" s="9" t="s">
        <v>85</v>
      </c>
      <c r="S89" s="9">
        <v>0.730769</v>
      </c>
      <c r="T89" s="9" t="s">
        <v>85</v>
      </c>
      <c r="U89" s="9" t="s">
        <v>85</v>
      </c>
      <c r="V89" s="9">
        <v>0.8</v>
      </c>
      <c r="W89" s="9" t="s">
        <v>85</v>
      </c>
      <c r="X89" s="9" t="s">
        <v>85</v>
      </c>
      <c r="Y89" s="9">
        <v>0.723077</v>
      </c>
      <c r="Z89" s="9" t="s">
        <v>85</v>
      </c>
      <c r="AA89" s="9" t="s">
        <v>85</v>
      </c>
      <c r="AB89" s="30">
        <v>0.769231</v>
      </c>
      <c r="AC89" s="9" t="s">
        <v>85</v>
      </c>
      <c r="AD89" s="9" t="s">
        <v>85</v>
      </c>
      <c r="AE89" s="30">
        <v>0.8</v>
      </c>
      <c r="AF89" s="9" t="s">
        <v>85</v>
      </c>
      <c r="AG89" s="9" t="s">
        <v>85</v>
      </c>
      <c r="AH89" s="9">
        <v>0.823077</v>
      </c>
      <c r="AI89" s="9" t="s">
        <v>85</v>
      </c>
      <c r="AJ89" s="9" t="s">
        <v>85</v>
      </c>
      <c r="AK89" s="9">
        <v>0.784615</v>
      </c>
      <c r="AL89" s="9" t="s">
        <v>85</v>
      </c>
      <c r="AM89" s="9" t="s">
        <v>85</v>
      </c>
      <c r="AN89" s="9">
        <v>0.815385</v>
      </c>
      <c r="AO89" s="9" t="s">
        <v>85</v>
      </c>
      <c r="AP89" s="9" t="s">
        <v>85</v>
      </c>
      <c r="AQ89" s="30">
        <v>0.776923</v>
      </c>
      <c r="AR89" s="9" t="s">
        <v>85</v>
      </c>
      <c r="AS89" s="9" t="s">
        <v>85</v>
      </c>
      <c r="AT89" s="9">
        <v>0.730769</v>
      </c>
      <c r="AU89" s="9" t="s">
        <v>85</v>
      </c>
      <c r="AV89" s="9" t="s">
        <v>85</v>
      </c>
      <c r="AW89" s="9">
        <v>0.707692</v>
      </c>
      <c r="AX89" s="9" t="s">
        <v>85</v>
      </c>
      <c r="AY89" s="9" t="s">
        <v>85</v>
      </c>
      <c r="AZ89" s="9">
        <v>0.769231</v>
      </c>
      <c r="BA89" s="9" t="s">
        <v>85</v>
      </c>
      <c r="BB89" s="9" t="s">
        <v>85</v>
      </c>
      <c r="BC89" s="30">
        <v>0.761538</v>
      </c>
      <c r="BD89" s="9" t="s">
        <v>85</v>
      </c>
      <c r="BE89" s="9" t="s">
        <v>85</v>
      </c>
      <c r="BF89" s="9">
        <v>0.507692</v>
      </c>
      <c r="BG89" s="9" t="s">
        <v>85</v>
      </c>
      <c r="BH89" s="6"/>
      <c r="BI89" s="6" t="str">
        <f t="shared" si="1"/>
        <v>5VB_Fold_Median</v>
      </c>
      <c r="BJ89" s="6" t="str">
        <f t="shared" si="2"/>
        <v>5B_Fold_Median</v>
      </c>
      <c r="BK89" s="6" t="str">
        <f t="shared" si="3"/>
        <v>10V_Fold_Median</v>
      </c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</row>
    <row r="90" ht="15.75" customHeight="1">
      <c r="A90" s="1" t="s">
        <v>184</v>
      </c>
      <c r="B90" s="17">
        <v>275.0</v>
      </c>
      <c r="C90" s="9" t="s">
        <v>85</v>
      </c>
      <c r="D90" s="9">
        <v>1.0</v>
      </c>
      <c r="E90" s="9" t="s">
        <v>85</v>
      </c>
      <c r="F90" s="9" t="s">
        <v>85</v>
      </c>
      <c r="G90" s="30">
        <v>0.819999993</v>
      </c>
      <c r="H90" s="9" t="s">
        <v>85</v>
      </c>
      <c r="I90" s="9" t="s">
        <v>85</v>
      </c>
      <c r="J90" s="9">
        <v>0.99</v>
      </c>
      <c r="K90" s="9" t="s">
        <v>85</v>
      </c>
      <c r="L90" s="9" t="s">
        <v>85</v>
      </c>
      <c r="M90" s="9">
        <v>0.98</v>
      </c>
      <c r="N90" s="9" t="s">
        <v>85</v>
      </c>
      <c r="O90" s="9" t="s">
        <v>85</v>
      </c>
      <c r="P90" s="9">
        <v>1.0</v>
      </c>
      <c r="Q90" s="9" t="s">
        <v>85</v>
      </c>
      <c r="R90" s="9" t="s">
        <v>85</v>
      </c>
      <c r="S90" s="9">
        <v>1.0</v>
      </c>
      <c r="T90" s="9" t="s">
        <v>85</v>
      </c>
      <c r="U90" s="9" t="s">
        <v>85</v>
      </c>
      <c r="V90" s="9">
        <v>0.97</v>
      </c>
      <c r="W90" s="9" t="s">
        <v>85</v>
      </c>
      <c r="X90" s="9" t="s">
        <v>85</v>
      </c>
      <c r="Y90" s="9">
        <v>0.96</v>
      </c>
      <c r="Z90" s="9" t="s">
        <v>85</v>
      </c>
      <c r="AA90" s="9" t="s">
        <v>85</v>
      </c>
      <c r="AB90" s="30">
        <v>1.0</v>
      </c>
      <c r="AC90" s="9" t="s">
        <v>85</v>
      </c>
      <c r="AD90" s="9" t="s">
        <v>85</v>
      </c>
      <c r="AE90" s="30">
        <v>1.0</v>
      </c>
      <c r="AF90" s="9" t="s">
        <v>85</v>
      </c>
      <c r="AG90" s="9" t="s">
        <v>85</v>
      </c>
      <c r="AH90" s="9">
        <v>0.99</v>
      </c>
      <c r="AI90" s="9" t="s">
        <v>85</v>
      </c>
      <c r="AJ90" s="9" t="s">
        <v>85</v>
      </c>
      <c r="AK90" s="9">
        <v>0.99</v>
      </c>
      <c r="AL90" s="9" t="s">
        <v>85</v>
      </c>
      <c r="AM90" s="9" t="s">
        <v>85</v>
      </c>
      <c r="AN90" s="9">
        <v>1.0</v>
      </c>
      <c r="AO90" s="9" t="s">
        <v>85</v>
      </c>
      <c r="AP90" s="9" t="s">
        <v>85</v>
      </c>
      <c r="AQ90" s="30">
        <v>1.0</v>
      </c>
      <c r="AR90" s="9" t="s">
        <v>85</v>
      </c>
      <c r="AS90" s="9" t="s">
        <v>85</v>
      </c>
      <c r="AT90" s="9">
        <v>0.99</v>
      </c>
      <c r="AU90" s="9" t="s">
        <v>85</v>
      </c>
      <c r="AV90" s="9" t="s">
        <v>85</v>
      </c>
      <c r="AW90" s="9">
        <v>0.99</v>
      </c>
      <c r="AX90" s="9" t="s">
        <v>85</v>
      </c>
      <c r="AY90" s="9" t="s">
        <v>85</v>
      </c>
      <c r="AZ90" s="9">
        <v>1.0</v>
      </c>
      <c r="BA90" s="9" t="s">
        <v>85</v>
      </c>
      <c r="BB90" s="9" t="s">
        <v>85</v>
      </c>
      <c r="BC90" s="30">
        <v>1.0</v>
      </c>
      <c r="BD90" s="9" t="s">
        <v>85</v>
      </c>
      <c r="BE90" s="9" t="s">
        <v>85</v>
      </c>
      <c r="BF90" s="9">
        <v>0.54</v>
      </c>
      <c r="BG90" s="9" t="s">
        <v>85</v>
      </c>
      <c r="BH90" s="6"/>
      <c r="BI90" s="6" t="str">
        <f t="shared" si="1"/>
        <v>5B_Fold_Median</v>
      </c>
      <c r="BJ90" s="6" t="str">
        <f t="shared" si="2"/>
        <v>5B_Fold_Median</v>
      </c>
      <c r="BK90" s="6" t="str">
        <f t="shared" si="3"/>
        <v>5B_Fold_Median</v>
      </c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</row>
    <row r="91" ht="15.75" customHeight="1">
      <c r="A91" s="1" t="s">
        <v>185</v>
      </c>
      <c r="B91" s="17">
        <v>82.0</v>
      </c>
      <c r="C91" s="9" t="s">
        <v>85</v>
      </c>
      <c r="D91" s="9">
        <v>0.693591</v>
      </c>
      <c r="E91" s="9" t="s">
        <v>85</v>
      </c>
      <c r="F91" s="9" t="s">
        <v>85</v>
      </c>
      <c r="G91" s="30">
        <v>0.755926251</v>
      </c>
      <c r="H91" s="9" t="s">
        <v>85</v>
      </c>
      <c r="I91" s="9" t="s">
        <v>85</v>
      </c>
      <c r="J91" s="9">
        <v>0.849868</v>
      </c>
      <c r="K91" s="9" t="s">
        <v>85</v>
      </c>
      <c r="L91" s="9" t="s">
        <v>85</v>
      </c>
      <c r="M91" s="9">
        <v>0.838455</v>
      </c>
      <c r="N91" s="9" t="s">
        <v>85</v>
      </c>
      <c r="O91" s="9" t="s">
        <v>85</v>
      </c>
      <c r="P91" s="9">
        <v>0.673398</v>
      </c>
      <c r="Q91" s="9" t="s">
        <v>85</v>
      </c>
      <c r="R91" s="9" t="s">
        <v>85</v>
      </c>
      <c r="S91" s="9">
        <v>0.652327</v>
      </c>
      <c r="T91" s="9" t="s">
        <v>85</v>
      </c>
      <c r="U91" s="9" t="s">
        <v>85</v>
      </c>
      <c r="V91" s="9">
        <v>0.806848</v>
      </c>
      <c r="W91" s="9" t="s">
        <v>85</v>
      </c>
      <c r="X91" s="9" t="s">
        <v>85</v>
      </c>
      <c r="Y91" s="9">
        <v>0.824407</v>
      </c>
      <c r="Z91" s="9" t="s">
        <v>85</v>
      </c>
      <c r="AA91" s="9" t="s">
        <v>85</v>
      </c>
      <c r="AB91" s="30">
        <v>0.727831</v>
      </c>
      <c r="AC91" s="9" t="s">
        <v>85</v>
      </c>
      <c r="AD91" s="9" t="s">
        <v>85</v>
      </c>
      <c r="AE91" s="30">
        <v>0.713784</v>
      </c>
      <c r="AF91" s="9" t="s">
        <v>85</v>
      </c>
      <c r="AG91" s="9" t="s">
        <v>85</v>
      </c>
      <c r="AH91" s="9">
        <v>0.877085</v>
      </c>
      <c r="AI91" s="9" t="s">
        <v>85</v>
      </c>
      <c r="AJ91" s="9" t="s">
        <v>85</v>
      </c>
      <c r="AK91" s="9">
        <v>0.85777</v>
      </c>
      <c r="AL91" s="9" t="s">
        <v>85</v>
      </c>
      <c r="AM91" s="9" t="s">
        <v>85</v>
      </c>
      <c r="AN91" s="9">
        <v>0.727831</v>
      </c>
      <c r="AO91" s="9" t="s">
        <v>85</v>
      </c>
      <c r="AP91" s="9" t="s">
        <v>85</v>
      </c>
      <c r="AQ91" s="30">
        <v>0.690957</v>
      </c>
      <c r="AR91" s="9" t="s">
        <v>85</v>
      </c>
      <c r="AS91" s="9" t="s">
        <v>85</v>
      </c>
      <c r="AT91" s="9">
        <v>0.777875</v>
      </c>
      <c r="AU91" s="9" t="s">
        <v>85</v>
      </c>
      <c r="AV91" s="9" t="s">
        <v>85</v>
      </c>
      <c r="AW91" s="9">
        <v>0.768218</v>
      </c>
      <c r="AX91" s="9" t="s">
        <v>85</v>
      </c>
      <c r="AY91" s="9" t="s">
        <v>85</v>
      </c>
      <c r="AZ91" s="9">
        <v>0.732221</v>
      </c>
      <c r="BA91" s="9" t="s">
        <v>85</v>
      </c>
      <c r="BB91" s="9" t="s">
        <v>85</v>
      </c>
      <c r="BC91" s="30">
        <v>0.753292</v>
      </c>
      <c r="BD91" s="9" t="s">
        <v>85</v>
      </c>
      <c r="BE91" s="9" t="s">
        <v>85</v>
      </c>
      <c r="BF91" s="9">
        <v>0.556629</v>
      </c>
      <c r="BG91" s="9" t="s">
        <v>85</v>
      </c>
      <c r="BH91" s="6"/>
      <c r="BI91" s="6" t="str">
        <f t="shared" si="1"/>
        <v>10V_Fold_Median</v>
      </c>
      <c r="BJ91" s="6" t="str">
        <f t="shared" si="2"/>
        <v>10VB_Fold_Median</v>
      </c>
      <c r="BK91" s="6" t="str">
        <f t="shared" si="3"/>
        <v>5V_Fold_Median</v>
      </c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</row>
    <row r="92" ht="15.75" customHeight="1">
      <c r="A92" s="1" t="s">
        <v>186</v>
      </c>
      <c r="B92" s="17">
        <v>128.0</v>
      </c>
      <c r="C92" s="9" t="s">
        <v>85</v>
      </c>
      <c r="D92" s="9">
        <v>0.5255</v>
      </c>
      <c r="E92" s="9" t="s">
        <v>85</v>
      </c>
      <c r="F92" s="9" t="s">
        <v>85</v>
      </c>
      <c r="G92" s="30">
        <v>0.472250015</v>
      </c>
      <c r="H92" s="9" t="s">
        <v>85</v>
      </c>
      <c r="I92" s="9" t="s">
        <v>85</v>
      </c>
      <c r="J92" s="9">
        <v>0.55275</v>
      </c>
      <c r="K92" s="9" t="s">
        <v>85</v>
      </c>
      <c r="L92" s="9" t="s">
        <v>85</v>
      </c>
      <c r="M92" s="9">
        <v>0.528</v>
      </c>
      <c r="N92" s="9" t="s">
        <v>85</v>
      </c>
      <c r="O92" s="9" t="s">
        <v>85</v>
      </c>
      <c r="P92" s="9">
        <v>0.46825</v>
      </c>
      <c r="Q92" s="9" t="s">
        <v>85</v>
      </c>
      <c r="R92" s="9" t="s">
        <v>85</v>
      </c>
      <c r="S92" s="9">
        <v>0.46875</v>
      </c>
      <c r="T92" s="9" t="s">
        <v>85</v>
      </c>
      <c r="U92" s="9" t="s">
        <v>85</v>
      </c>
      <c r="V92" s="9">
        <v>0.60325</v>
      </c>
      <c r="W92" s="9" t="s">
        <v>85</v>
      </c>
      <c r="X92" s="9" t="s">
        <v>85</v>
      </c>
      <c r="Y92" s="9">
        <v>0.446</v>
      </c>
      <c r="Z92" s="9" t="s">
        <v>85</v>
      </c>
      <c r="AA92" s="9" t="s">
        <v>85</v>
      </c>
      <c r="AB92" s="30">
        <v>0.4815</v>
      </c>
      <c r="AC92" s="9" t="s">
        <v>85</v>
      </c>
      <c r="AD92" s="9" t="s">
        <v>85</v>
      </c>
      <c r="AE92" s="30">
        <v>0.49775</v>
      </c>
      <c r="AF92" s="9" t="s">
        <v>85</v>
      </c>
      <c r="AG92" s="9" t="s">
        <v>85</v>
      </c>
      <c r="AH92" s="9">
        <v>0.2855</v>
      </c>
      <c r="AI92" s="9" t="s">
        <v>85</v>
      </c>
      <c r="AJ92" s="9" t="s">
        <v>85</v>
      </c>
      <c r="AK92" s="9">
        <v>0.269</v>
      </c>
      <c r="AL92" s="9" t="s">
        <v>85</v>
      </c>
      <c r="AM92" s="9" t="s">
        <v>85</v>
      </c>
      <c r="AN92" s="9">
        <v>0.39425</v>
      </c>
      <c r="AO92" s="9" t="s">
        <v>85</v>
      </c>
      <c r="AP92" s="9" t="s">
        <v>85</v>
      </c>
      <c r="AQ92" s="30">
        <v>0.4975</v>
      </c>
      <c r="AR92" s="9" t="s">
        <v>85</v>
      </c>
      <c r="AS92" s="9" t="s">
        <v>85</v>
      </c>
      <c r="AT92" s="9">
        <v>0.4195</v>
      </c>
      <c r="AU92" s="9" t="s">
        <v>85</v>
      </c>
      <c r="AV92" s="9" t="s">
        <v>85</v>
      </c>
      <c r="AW92" s="9">
        <v>0.27725</v>
      </c>
      <c r="AX92" s="9" t="s">
        <v>85</v>
      </c>
      <c r="AY92" s="9" t="s">
        <v>85</v>
      </c>
      <c r="AZ92" s="9">
        <v>0.4315</v>
      </c>
      <c r="BA92" s="9" t="s">
        <v>85</v>
      </c>
      <c r="BB92" s="9" t="s">
        <v>85</v>
      </c>
      <c r="BC92" s="30">
        <v>0.263</v>
      </c>
      <c r="BD92" s="9" t="s">
        <v>85</v>
      </c>
      <c r="BE92" s="9" t="s">
        <v>85</v>
      </c>
      <c r="BF92" s="9">
        <v>0.78675</v>
      </c>
      <c r="BG92" s="9" t="s">
        <v>85</v>
      </c>
      <c r="BH92" s="6"/>
      <c r="BI92" s="6" t="str">
        <f t="shared" si="1"/>
        <v>De_Fold_Median</v>
      </c>
      <c r="BJ92" s="6" t="str">
        <f t="shared" si="2"/>
        <v>8V_Fold_Median</v>
      </c>
      <c r="BK92" s="6" t="str">
        <f t="shared" si="3"/>
        <v>5V_Fold_Median</v>
      </c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</row>
    <row r="93" ht="15.75" customHeight="1">
      <c r="A93" s="1" t="s">
        <v>187</v>
      </c>
      <c r="B93" s="17">
        <v>150.0</v>
      </c>
      <c r="C93" s="9" t="s">
        <v>85</v>
      </c>
      <c r="D93" s="9">
        <v>0.854167</v>
      </c>
      <c r="E93" s="9" t="s">
        <v>85</v>
      </c>
      <c r="F93" s="9" t="s">
        <v>85</v>
      </c>
      <c r="G93" s="30">
        <v>0.819444418</v>
      </c>
      <c r="H93" s="9" t="s">
        <v>85</v>
      </c>
      <c r="I93" s="9" t="s">
        <v>85</v>
      </c>
      <c r="J93" s="9">
        <v>0.777778</v>
      </c>
      <c r="K93" s="9" t="s">
        <v>85</v>
      </c>
      <c r="L93" s="9" t="s">
        <v>85</v>
      </c>
      <c r="M93" s="9">
        <v>0.791667</v>
      </c>
      <c r="N93" s="9" t="s">
        <v>85</v>
      </c>
      <c r="O93" s="9" t="s">
        <v>85</v>
      </c>
      <c r="P93" s="9">
        <v>0.881944</v>
      </c>
      <c r="Q93" s="9" t="s">
        <v>85</v>
      </c>
      <c r="R93" s="9" t="s">
        <v>85</v>
      </c>
      <c r="S93" s="9">
        <v>0.861111</v>
      </c>
      <c r="T93" s="9" t="s">
        <v>85</v>
      </c>
      <c r="U93" s="9" t="s">
        <v>85</v>
      </c>
      <c r="V93" s="9">
        <v>0.902778</v>
      </c>
      <c r="W93" s="9" t="s">
        <v>85</v>
      </c>
      <c r="X93" s="9" t="s">
        <v>85</v>
      </c>
      <c r="Y93" s="9">
        <v>0.9375</v>
      </c>
      <c r="Z93" s="9" t="s">
        <v>85</v>
      </c>
      <c r="AA93" s="9" t="s">
        <v>85</v>
      </c>
      <c r="AB93" s="30">
        <v>0.881944</v>
      </c>
      <c r="AC93" s="9" t="s">
        <v>85</v>
      </c>
      <c r="AD93" s="9" t="s">
        <v>85</v>
      </c>
      <c r="AE93" s="30">
        <v>0.854167</v>
      </c>
      <c r="AF93" s="9" t="s">
        <v>85</v>
      </c>
      <c r="AG93" s="9" t="s">
        <v>85</v>
      </c>
      <c r="AH93" s="9">
        <v>0.868056</v>
      </c>
      <c r="AI93" s="9" t="s">
        <v>85</v>
      </c>
      <c r="AJ93" s="9" t="s">
        <v>85</v>
      </c>
      <c r="AK93" s="9">
        <v>0.881944</v>
      </c>
      <c r="AL93" s="9" t="s">
        <v>85</v>
      </c>
      <c r="AM93" s="9" t="s">
        <v>85</v>
      </c>
      <c r="AN93" s="9">
        <v>0.854167</v>
      </c>
      <c r="AO93" s="9" t="s">
        <v>85</v>
      </c>
      <c r="AP93" s="9" t="s">
        <v>85</v>
      </c>
      <c r="AQ93" s="30">
        <v>0.833333</v>
      </c>
      <c r="AR93" s="9" t="s">
        <v>85</v>
      </c>
      <c r="AS93" s="9" t="s">
        <v>85</v>
      </c>
      <c r="AT93" s="9">
        <v>0.861111</v>
      </c>
      <c r="AU93" s="9" t="s">
        <v>85</v>
      </c>
      <c r="AV93" s="9" t="s">
        <v>85</v>
      </c>
      <c r="AW93" s="9">
        <v>0.861111</v>
      </c>
      <c r="AX93" s="9" t="s">
        <v>85</v>
      </c>
      <c r="AY93" s="9" t="s">
        <v>85</v>
      </c>
      <c r="AZ93" s="9">
        <v>0.888889</v>
      </c>
      <c r="BA93" s="9" t="s">
        <v>85</v>
      </c>
      <c r="BB93" s="9" t="s">
        <v>85</v>
      </c>
      <c r="BC93" s="30">
        <v>0.868056</v>
      </c>
      <c r="BD93" s="9" t="s">
        <v>85</v>
      </c>
      <c r="BE93" s="9" t="s">
        <v>85</v>
      </c>
      <c r="BF93" s="9">
        <v>0.631944</v>
      </c>
      <c r="BG93" s="9" t="s">
        <v>85</v>
      </c>
      <c r="BH93" s="6"/>
      <c r="BI93" s="6" t="str">
        <f t="shared" si="1"/>
        <v>8VB_Fold_Median</v>
      </c>
      <c r="BJ93" s="6" t="str">
        <f t="shared" si="2"/>
        <v>8V_Fold_Median</v>
      </c>
      <c r="BK93" s="6" t="str">
        <f t="shared" si="3"/>
        <v>20B_Fold_Median</v>
      </c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</row>
    <row r="94" ht="15.75" customHeight="1">
      <c r="A94" s="1" t="s">
        <v>188</v>
      </c>
      <c r="B94" s="17">
        <v>945.0</v>
      </c>
      <c r="C94" s="9" t="s">
        <v>85</v>
      </c>
      <c r="D94" s="9">
        <v>0.765773</v>
      </c>
      <c r="E94" s="9" t="s">
        <v>85</v>
      </c>
      <c r="F94" s="9" t="s">
        <v>85</v>
      </c>
      <c r="G94" s="30">
        <v>0.746231139</v>
      </c>
      <c r="H94" s="9" t="s">
        <v>85</v>
      </c>
      <c r="I94" s="9" t="s">
        <v>85</v>
      </c>
      <c r="J94" s="9">
        <v>0.660804</v>
      </c>
      <c r="K94" s="9" t="s">
        <v>85</v>
      </c>
      <c r="L94" s="9" t="s">
        <v>85</v>
      </c>
      <c r="M94" s="9">
        <v>0.617253</v>
      </c>
      <c r="N94" s="9" t="s">
        <v>85</v>
      </c>
      <c r="O94" s="9" t="s">
        <v>85</v>
      </c>
      <c r="P94" s="9">
        <v>0.855388</v>
      </c>
      <c r="Q94" s="9" t="s">
        <v>85</v>
      </c>
      <c r="R94" s="9" t="s">
        <v>85</v>
      </c>
      <c r="S94" s="9">
        <v>0.840592</v>
      </c>
      <c r="T94" s="9" t="s">
        <v>85</v>
      </c>
      <c r="U94" s="9" t="s">
        <v>85</v>
      </c>
      <c r="V94" s="9">
        <v>0.824958</v>
      </c>
      <c r="W94" s="9" t="s">
        <v>85</v>
      </c>
      <c r="X94" s="9" t="s">
        <v>85</v>
      </c>
      <c r="Y94" s="9">
        <v>0.563652</v>
      </c>
      <c r="Z94" s="9" t="s">
        <v>85</v>
      </c>
      <c r="AA94" s="9" t="s">
        <v>85</v>
      </c>
      <c r="AB94" s="30">
        <v>0.896706</v>
      </c>
      <c r="AC94" s="9" t="s">
        <v>85</v>
      </c>
      <c r="AD94" s="9" t="s">
        <v>85</v>
      </c>
      <c r="AE94" s="30">
        <v>0.890564</v>
      </c>
      <c r="AF94" s="9" t="s">
        <v>85</v>
      </c>
      <c r="AG94" s="9" t="s">
        <v>85</v>
      </c>
      <c r="AH94" s="9">
        <v>0.829704</v>
      </c>
      <c r="AI94" s="9" t="s">
        <v>85</v>
      </c>
      <c r="AJ94" s="9" t="s">
        <v>85</v>
      </c>
      <c r="AK94" s="9">
        <v>0.828587</v>
      </c>
      <c r="AL94" s="9" t="s">
        <v>85</v>
      </c>
      <c r="AM94" s="9" t="s">
        <v>85</v>
      </c>
      <c r="AN94" s="9">
        <v>0.887214</v>
      </c>
      <c r="AO94" s="9" t="s">
        <v>85</v>
      </c>
      <c r="AP94" s="9" t="s">
        <v>85</v>
      </c>
      <c r="AQ94" s="30">
        <v>0.886097</v>
      </c>
      <c r="AR94" s="9" t="s">
        <v>85</v>
      </c>
      <c r="AS94" s="9" t="s">
        <v>85</v>
      </c>
      <c r="AT94" s="9">
        <v>0.675042</v>
      </c>
      <c r="AU94" s="9" t="s">
        <v>85</v>
      </c>
      <c r="AV94" s="9" t="s">
        <v>85</v>
      </c>
      <c r="AW94" s="9">
        <v>0.740089</v>
      </c>
      <c r="AX94" s="9" t="s">
        <v>85</v>
      </c>
      <c r="AY94" s="9" t="s">
        <v>85</v>
      </c>
      <c r="AZ94" s="9">
        <v>0.888331</v>
      </c>
      <c r="BA94" s="9" t="s">
        <v>85</v>
      </c>
      <c r="BB94" s="9" t="s">
        <v>85</v>
      </c>
      <c r="BC94" s="30">
        <v>0.879955</v>
      </c>
      <c r="BD94" s="9" t="s">
        <v>85</v>
      </c>
      <c r="BE94" s="9" t="s">
        <v>85</v>
      </c>
      <c r="BF94" s="9">
        <v>0.907594</v>
      </c>
      <c r="BG94" s="9" t="s">
        <v>85</v>
      </c>
      <c r="BH94" s="6"/>
      <c r="BI94" s="6" t="str">
        <f t="shared" si="1"/>
        <v>De_Fold_Median</v>
      </c>
      <c r="BJ94" s="6" t="str">
        <f t="shared" si="2"/>
        <v>10B_Fold_Median</v>
      </c>
      <c r="BK94" s="6" t="str">
        <f t="shared" si="3"/>
        <v>10BN_Fold_Median</v>
      </c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</row>
    <row r="95" ht="15.75" customHeight="1">
      <c r="A95" s="1" t="s">
        <v>189</v>
      </c>
      <c r="B95" s="17">
        <v>152.0</v>
      </c>
      <c r="C95" s="9" t="s">
        <v>85</v>
      </c>
      <c r="D95" s="9">
        <v>0.892116</v>
      </c>
      <c r="E95" s="9" t="s">
        <v>85</v>
      </c>
      <c r="F95" s="9" t="s">
        <v>85</v>
      </c>
      <c r="G95" s="30">
        <v>0.892115533</v>
      </c>
      <c r="H95" s="9" t="s">
        <v>85</v>
      </c>
      <c r="I95" s="9" t="s">
        <v>85</v>
      </c>
      <c r="J95" s="9">
        <v>0.892116</v>
      </c>
      <c r="K95" s="9" t="s">
        <v>85</v>
      </c>
      <c r="L95" s="9" t="s">
        <v>85</v>
      </c>
      <c r="M95" s="9">
        <v>0.892116</v>
      </c>
      <c r="N95" s="9" t="s">
        <v>85</v>
      </c>
      <c r="O95" s="9" t="s">
        <v>85</v>
      </c>
      <c r="P95" s="9">
        <v>0.892116</v>
      </c>
      <c r="Q95" s="9" t="s">
        <v>85</v>
      </c>
      <c r="R95" s="9" t="s">
        <v>85</v>
      </c>
      <c r="S95" s="9">
        <v>0.892116</v>
      </c>
      <c r="T95" s="9" t="s">
        <v>85</v>
      </c>
      <c r="U95" s="9" t="s">
        <v>85</v>
      </c>
      <c r="V95" s="9">
        <v>0.892116</v>
      </c>
      <c r="W95" s="9" t="s">
        <v>85</v>
      </c>
      <c r="X95" s="9" t="s">
        <v>85</v>
      </c>
      <c r="Y95" s="9">
        <v>0.892116</v>
      </c>
      <c r="Z95" s="9" t="s">
        <v>85</v>
      </c>
      <c r="AA95" s="9" t="s">
        <v>85</v>
      </c>
      <c r="AB95" s="30">
        <v>0.892116</v>
      </c>
      <c r="AC95" s="9" t="s">
        <v>85</v>
      </c>
      <c r="AD95" s="9" t="s">
        <v>85</v>
      </c>
      <c r="AE95" s="30">
        <v>0.892116</v>
      </c>
      <c r="AF95" s="9" t="s">
        <v>85</v>
      </c>
      <c r="AG95" s="9" t="s">
        <v>85</v>
      </c>
      <c r="AH95" s="9">
        <v>0.892116</v>
      </c>
      <c r="AI95" s="9" t="s">
        <v>85</v>
      </c>
      <c r="AJ95" s="9" t="s">
        <v>85</v>
      </c>
      <c r="AK95" s="9">
        <v>0.892116</v>
      </c>
      <c r="AL95" s="9" t="s">
        <v>85</v>
      </c>
      <c r="AM95" s="9" t="s">
        <v>85</v>
      </c>
      <c r="AN95" s="9">
        <v>0.892116</v>
      </c>
      <c r="AO95" s="9" t="s">
        <v>85</v>
      </c>
      <c r="AP95" s="9" t="s">
        <v>85</v>
      </c>
      <c r="AQ95" s="30">
        <v>0.892116</v>
      </c>
      <c r="AR95" s="9" t="s">
        <v>85</v>
      </c>
      <c r="AS95" s="9" t="s">
        <v>85</v>
      </c>
      <c r="AT95" s="9">
        <v>0.892116</v>
      </c>
      <c r="AU95" s="9" t="s">
        <v>85</v>
      </c>
      <c r="AV95" s="9" t="s">
        <v>85</v>
      </c>
      <c r="AW95" s="9">
        <v>0.892116</v>
      </c>
      <c r="AX95" s="9" t="s">
        <v>85</v>
      </c>
      <c r="AY95" s="9" t="s">
        <v>85</v>
      </c>
      <c r="AZ95" s="9">
        <v>0.892116</v>
      </c>
      <c r="BA95" s="9" t="s">
        <v>85</v>
      </c>
      <c r="BB95" s="9" t="s">
        <v>85</v>
      </c>
      <c r="BC95" s="30">
        <v>0.892116</v>
      </c>
      <c r="BD95" s="9" t="s">
        <v>85</v>
      </c>
      <c r="BE95" s="9" t="s">
        <v>85</v>
      </c>
      <c r="BF95" s="9">
        <v>0.892116</v>
      </c>
      <c r="BG95" s="9" t="s">
        <v>85</v>
      </c>
      <c r="BH95" s="6"/>
      <c r="BI95" s="6" t="str">
        <f t="shared" si="1"/>
        <v>5B_Fold_Median</v>
      </c>
      <c r="BJ95" s="6" t="str">
        <f t="shared" si="2"/>
        <v>5B_Fold_Median</v>
      </c>
      <c r="BK95" s="6" t="str">
        <f t="shared" si="3"/>
        <v>5B_Fold_Median</v>
      </c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</row>
    <row r="96" ht="15.75" customHeight="1">
      <c r="A96" s="1" t="s">
        <v>190</v>
      </c>
      <c r="B96" s="17">
        <v>234.0</v>
      </c>
      <c r="C96" s="9" t="s">
        <v>85</v>
      </c>
      <c r="D96" s="9">
        <v>0.611111</v>
      </c>
      <c r="E96" s="9" t="s">
        <v>85</v>
      </c>
      <c r="F96" s="9" t="s">
        <v>85</v>
      </c>
      <c r="G96" s="30">
        <v>0.5</v>
      </c>
      <c r="H96" s="9" t="s">
        <v>85</v>
      </c>
      <c r="I96" s="9" t="s">
        <v>85</v>
      </c>
      <c r="J96" s="9">
        <v>0.5</v>
      </c>
      <c r="K96" s="9" t="s">
        <v>85</v>
      </c>
      <c r="L96" s="9" t="s">
        <v>85</v>
      </c>
      <c r="M96" s="9">
        <v>0.5</v>
      </c>
      <c r="N96" s="9" t="s">
        <v>85</v>
      </c>
      <c r="O96" s="9" t="s">
        <v>85</v>
      </c>
      <c r="P96" s="9">
        <v>0.5</v>
      </c>
      <c r="Q96" s="9" t="s">
        <v>85</v>
      </c>
      <c r="R96" s="9" t="s">
        <v>85</v>
      </c>
      <c r="S96" s="9">
        <v>0.5</v>
      </c>
      <c r="T96" s="9" t="s">
        <v>85</v>
      </c>
      <c r="U96" s="9" t="s">
        <v>85</v>
      </c>
      <c r="V96" s="9">
        <v>0.5</v>
      </c>
      <c r="W96" s="9" t="s">
        <v>85</v>
      </c>
      <c r="X96" s="9" t="s">
        <v>85</v>
      </c>
      <c r="Y96" s="9">
        <v>0.5</v>
      </c>
      <c r="Z96" s="9" t="s">
        <v>85</v>
      </c>
      <c r="AA96" s="9" t="s">
        <v>85</v>
      </c>
      <c r="AB96" s="30">
        <v>0.5</v>
      </c>
      <c r="AC96" s="9" t="s">
        <v>85</v>
      </c>
      <c r="AD96" s="9" t="s">
        <v>85</v>
      </c>
      <c r="AE96" s="30">
        <v>0.5</v>
      </c>
      <c r="AF96" s="9" t="s">
        <v>85</v>
      </c>
      <c r="AG96" s="9" t="s">
        <v>85</v>
      </c>
      <c r="AH96" s="9">
        <v>0.5</v>
      </c>
      <c r="AI96" s="9" t="s">
        <v>85</v>
      </c>
      <c r="AJ96" s="9" t="s">
        <v>85</v>
      </c>
      <c r="AK96" s="9">
        <v>0.5</v>
      </c>
      <c r="AL96" s="9" t="s">
        <v>85</v>
      </c>
      <c r="AM96" s="9" t="s">
        <v>85</v>
      </c>
      <c r="AN96" s="9">
        <v>0.5</v>
      </c>
      <c r="AO96" s="9" t="s">
        <v>85</v>
      </c>
      <c r="AP96" s="9" t="s">
        <v>85</v>
      </c>
      <c r="AQ96" s="30">
        <v>0.5</v>
      </c>
      <c r="AR96" s="9" t="s">
        <v>85</v>
      </c>
      <c r="AS96" s="9" t="s">
        <v>85</v>
      </c>
      <c r="AT96" s="9">
        <v>0.5</v>
      </c>
      <c r="AU96" s="9" t="s">
        <v>85</v>
      </c>
      <c r="AV96" s="9" t="s">
        <v>85</v>
      </c>
      <c r="AW96" s="9">
        <v>0.5</v>
      </c>
      <c r="AX96" s="9" t="s">
        <v>85</v>
      </c>
      <c r="AY96" s="9" t="s">
        <v>85</v>
      </c>
      <c r="AZ96" s="9">
        <v>0.5</v>
      </c>
      <c r="BA96" s="9" t="s">
        <v>85</v>
      </c>
      <c r="BB96" s="9" t="s">
        <v>85</v>
      </c>
      <c r="BC96" s="30">
        <v>0.5</v>
      </c>
      <c r="BD96" s="9" t="s">
        <v>85</v>
      </c>
      <c r="BE96" s="9" t="s">
        <v>85</v>
      </c>
      <c r="BF96" s="9">
        <v>0.5</v>
      </c>
      <c r="BG96" s="9" t="s">
        <v>85</v>
      </c>
      <c r="BH96" s="6"/>
      <c r="BI96" s="6" t="str">
        <f t="shared" si="1"/>
        <v>5B_Fold_Median</v>
      </c>
      <c r="BJ96" s="6" t="str">
        <f t="shared" si="2"/>
        <v>5BN_Fold_Median</v>
      </c>
      <c r="BK96" s="6" t="str">
        <f t="shared" si="3"/>
        <v>5BN_Fold_Median</v>
      </c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</row>
    <row r="97" ht="15.75" customHeight="1">
      <c r="A97" s="1" t="s">
        <v>191</v>
      </c>
      <c r="B97" s="17">
        <v>270.0</v>
      </c>
      <c r="C97" s="9" t="s">
        <v>85</v>
      </c>
      <c r="D97" s="9">
        <v>0.399687</v>
      </c>
      <c r="E97" s="9" t="s">
        <v>85</v>
      </c>
      <c r="F97" s="9" t="s">
        <v>85</v>
      </c>
      <c r="G97" s="30">
        <v>0.4106583</v>
      </c>
      <c r="H97" s="9" t="s">
        <v>85</v>
      </c>
      <c r="I97" s="9" t="s">
        <v>85</v>
      </c>
      <c r="J97" s="9">
        <v>0.393417</v>
      </c>
      <c r="K97" s="9" t="s">
        <v>85</v>
      </c>
      <c r="L97" s="9" t="s">
        <v>85</v>
      </c>
      <c r="M97" s="9">
        <v>0.382445</v>
      </c>
      <c r="N97" s="9" t="s">
        <v>85</v>
      </c>
      <c r="O97" s="9" t="s">
        <v>85</v>
      </c>
      <c r="P97" s="9">
        <v>0.420063</v>
      </c>
      <c r="Q97" s="9" t="s">
        <v>85</v>
      </c>
      <c r="R97" s="9" t="s">
        <v>85</v>
      </c>
      <c r="S97" s="9">
        <v>0.4279</v>
      </c>
      <c r="T97" s="9" t="s">
        <v>85</v>
      </c>
      <c r="U97" s="9" t="s">
        <v>85</v>
      </c>
      <c r="V97" s="9">
        <v>0.407524</v>
      </c>
      <c r="W97" s="9" t="s">
        <v>85</v>
      </c>
      <c r="X97" s="9" t="s">
        <v>85</v>
      </c>
      <c r="Y97" s="9">
        <v>0.394984</v>
      </c>
      <c r="Z97" s="9" t="s">
        <v>85</v>
      </c>
      <c r="AA97" s="9" t="s">
        <v>85</v>
      </c>
      <c r="AB97" s="30">
        <v>0.437304</v>
      </c>
      <c r="AC97" s="9" t="s">
        <v>85</v>
      </c>
      <c r="AD97" s="9" t="s">
        <v>85</v>
      </c>
      <c r="AE97" s="30">
        <v>0.437304</v>
      </c>
      <c r="AF97" s="9" t="s">
        <v>85</v>
      </c>
      <c r="AG97" s="9" t="s">
        <v>85</v>
      </c>
      <c r="AH97" s="9">
        <v>0.358934</v>
      </c>
      <c r="AI97" s="9" t="s">
        <v>85</v>
      </c>
      <c r="AJ97" s="9" t="s">
        <v>85</v>
      </c>
      <c r="AK97" s="9">
        <v>0.42163</v>
      </c>
      <c r="AL97" s="9" t="s">
        <v>85</v>
      </c>
      <c r="AM97" s="9" t="s">
        <v>85</v>
      </c>
      <c r="AN97" s="9">
        <v>0.420063</v>
      </c>
      <c r="AO97" s="9" t="s">
        <v>85</v>
      </c>
      <c r="AP97" s="9" t="s">
        <v>85</v>
      </c>
      <c r="AQ97" s="30">
        <v>0.452978</v>
      </c>
      <c r="AR97" s="9" t="s">
        <v>85</v>
      </c>
      <c r="AS97" s="9" t="s">
        <v>85</v>
      </c>
      <c r="AT97" s="9">
        <v>0.380878</v>
      </c>
      <c r="AU97" s="9" t="s">
        <v>85</v>
      </c>
      <c r="AV97" s="9" t="s">
        <v>85</v>
      </c>
      <c r="AW97" s="9">
        <v>0.407524</v>
      </c>
      <c r="AX97" s="9" t="s">
        <v>85</v>
      </c>
      <c r="AY97" s="9" t="s">
        <v>85</v>
      </c>
      <c r="AZ97" s="9">
        <v>0.410658</v>
      </c>
      <c r="BA97" s="9" t="s">
        <v>85</v>
      </c>
      <c r="BB97" s="9" t="s">
        <v>85</v>
      </c>
      <c r="BC97" s="30">
        <v>0.407524</v>
      </c>
      <c r="BD97" s="9" t="s">
        <v>85</v>
      </c>
      <c r="BE97" s="9" t="s">
        <v>85</v>
      </c>
      <c r="BF97" s="9">
        <v>0.396552</v>
      </c>
      <c r="BG97" s="9" t="s">
        <v>85</v>
      </c>
      <c r="BH97" s="6"/>
      <c r="BI97" s="6" t="str">
        <f t="shared" si="1"/>
        <v>12BN_Fold_Median</v>
      </c>
      <c r="BJ97" s="6" t="str">
        <f t="shared" si="2"/>
        <v>10B_Fold_Median</v>
      </c>
      <c r="BK97" s="6" t="str">
        <f t="shared" si="3"/>
        <v>10B_Fold_Median</v>
      </c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</row>
    <row r="98" ht="15.75" customHeight="1">
      <c r="A98" s="1" t="s">
        <v>192</v>
      </c>
      <c r="B98" s="17">
        <v>900.0</v>
      </c>
      <c r="C98" s="9" t="s">
        <v>85</v>
      </c>
      <c r="D98" s="9">
        <v>0.506494</v>
      </c>
      <c r="E98" s="9" t="s">
        <v>85</v>
      </c>
      <c r="F98" s="9" t="s">
        <v>85</v>
      </c>
      <c r="G98" s="30">
        <v>0.467532456</v>
      </c>
      <c r="H98" s="9" t="s">
        <v>85</v>
      </c>
      <c r="I98" s="9" t="s">
        <v>85</v>
      </c>
      <c r="J98" s="9">
        <v>0.480519</v>
      </c>
      <c r="K98" s="9" t="s">
        <v>85</v>
      </c>
      <c r="L98" s="9" t="s">
        <v>85</v>
      </c>
      <c r="M98" s="9">
        <v>0.454545</v>
      </c>
      <c r="N98" s="9" t="s">
        <v>85</v>
      </c>
      <c r="O98" s="9" t="s">
        <v>85</v>
      </c>
      <c r="P98" s="9">
        <v>0.493506</v>
      </c>
      <c r="Q98" s="9" t="s">
        <v>85</v>
      </c>
      <c r="R98" s="9" t="s">
        <v>85</v>
      </c>
      <c r="S98" s="9">
        <v>0.519481</v>
      </c>
      <c r="T98" s="9" t="s">
        <v>85</v>
      </c>
      <c r="U98" s="9" t="s">
        <v>85</v>
      </c>
      <c r="V98" s="9">
        <v>0.519481</v>
      </c>
      <c r="W98" s="9" t="s">
        <v>85</v>
      </c>
      <c r="X98" s="9" t="s">
        <v>85</v>
      </c>
      <c r="Y98" s="9">
        <v>0.454545</v>
      </c>
      <c r="Z98" s="9" t="s">
        <v>85</v>
      </c>
      <c r="AA98" s="9" t="s">
        <v>85</v>
      </c>
      <c r="AB98" s="30">
        <v>0.480519</v>
      </c>
      <c r="AC98" s="9" t="s">
        <v>85</v>
      </c>
      <c r="AD98" s="9" t="s">
        <v>85</v>
      </c>
      <c r="AE98" s="30">
        <v>0.480519</v>
      </c>
      <c r="AF98" s="9" t="s">
        <v>85</v>
      </c>
      <c r="AG98" s="9" t="s">
        <v>85</v>
      </c>
      <c r="AH98" s="9">
        <v>0.493506</v>
      </c>
      <c r="AI98" s="9" t="s">
        <v>85</v>
      </c>
      <c r="AJ98" s="9" t="s">
        <v>85</v>
      </c>
      <c r="AK98" s="9">
        <v>0.454545</v>
      </c>
      <c r="AL98" s="9" t="s">
        <v>85</v>
      </c>
      <c r="AM98" s="9" t="s">
        <v>85</v>
      </c>
      <c r="AN98" s="9">
        <v>0.519481</v>
      </c>
      <c r="AO98" s="9" t="s">
        <v>85</v>
      </c>
      <c r="AP98" s="9" t="s">
        <v>85</v>
      </c>
      <c r="AQ98" s="30">
        <v>0.519481</v>
      </c>
      <c r="AR98" s="9" t="s">
        <v>85</v>
      </c>
      <c r="AS98" s="9" t="s">
        <v>85</v>
      </c>
      <c r="AT98" s="9">
        <v>0.480519</v>
      </c>
      <c r="AU98" s="9" t="s">
        <v>85</v>
      </c>
      <c r="AV98" s="9" t="s">
        <v>85</v>
      </c>
      <c r="AW98" s="9">
        <v>0.467532</v>
      </c>
      <c r="AX98" s="9" t="s">
        <v>85</v>
      </c>
      <c r="AY98" s="9" t="s">
        <v>85</v>
      </c>
      <c r="AZ98" s="9">
        <v>0.493506</v>
      </c>
      <c r="BA98" s="9" t="s">
        <v>85</v>
      </c>
      <c r="BB98" s="9" t="s">
        <v>85</v>
      </c>
      <c r="BC98" s="30">
        <v>0.480519</v>
      </c>
      <c r="BD98" s="9" t="s">
        <v>85</v>
      </c>
      <c r="BE98" s="9" t="s">
        <v>85</v>
      </c>
      <c r="BF98" s="9">
        <v>0.428571</v>
      </c>
      <c r="BG98" s="9" t="s">
        <v>85</v>
      </c>
      <c r="BH98" s="6"/>
      <c r="BI98" s="6" t="str">
        <f t="shared" si="1"/>
        <v>8BN_Fold_Median</v>
      </c>
      <c r="BJ98" s="6" t="str">
        <f t="shared" si="2"/>
        <v>8BN_Fold_Median</v>
      </c>
      <c r="BK98" s="6" t="str">
        <f t="shared" si="3"/>
        <v>8BN_Fold_Median</v>
      </c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</row>
    <row r="99" ht="15.75" customHeight="1">
      <c r="A99" s="1" t="s">
        <v>193</v>
      </c>
      <c r="B99" s="17">
        <v>900.0</v>
      </c>
      <c r="C99" s="9" t="s">
        <v>85</v>
      </c>
      <c r="D99" s="9">
        <v>0.61039</v>
      </c>
      <c r="E99" s="9" t="s">
        <v>85</v>
      </c>
      <c r="F99" s="9" t="s">
        <v>85</v>
      </c>
      <c r="G99" s="30">
        <v>0.61038959</v>
      </c>
      <c r="H99" s="9" t="s">
        <v>85</v>
      </c>
      <c r="I99" s="9" t="s">
        <v>85</v>
      </c>
      <c r="J99" s="9">
        <v>0.571429</v>
      </c>
      <c r="K99" s="9" t="s">
        <v>85</v>
      </c>
      <c r="L99" s="9" t="s">
        <v>85</v>
      </c>
      <c r="M99" s="9">
        <v>0.571429</v>
      </c>
      <c r="N99" s="9" t="s">
        <v>85</v>
      </c>
      <c r="O99" s="9" t="s">
        <v>85</v>
      </c>
      <c r="P99" s="9">
        <v>0.597403</v>
      </c>
      <c r="Q99" s="9" t="s">
        <v>85</v>
      </c>
      <c r="R99" s="9" t="s">
        <v>85</v>
      </c>
      <c r="S99" s="9">
        <v>0.597403</v>
      </c>
      <c r="T99" s="9" t="s">
        <v>85</v>
      </c>
      <c r="U99" s="9" t="s">
        <v>85</v>
      </c>
      <c r="V99" s="9">
        <v>0.558442</v>
      </c>
      <c r="W99" s="9" t="s">
        <v>85</v>
      </c>
      <c r="X99" s="9" t="s">
        <v>85</v>
      </c>
      <c r="Y99" s="9">
        <v>0.558442</v>
      </c>
      <c r="Z99" s="9" t="s">
        <v>85</v>
      </c>
      <c r="AA99" s="9" t="s">
        <v>85</v>
      </c>
      <c r="AB99" s="30">
        <v>0.623377</v>
      </c>
      <c r="AC99" s="9" t="s">
        <v>85</v>
      </c>
      <c r="AD99" s="9" t="s">
        <v>85</v>
      </c>
      <c r="AE99" s="30">
        <v>0.584416</v>
      </c>
      <c r="AF99" s="9" t="s">
        <v>85</v>
      </c>
      <c r="AG99" s="9" t="s">
        <v>85</v>
      </c>
      <c r="AH99" s="9">
        <v>0.558442</v>
      </c>
      <c r="AI99" s="9" t="s">
        <v>85</v>
      </c>
      <c r="AJ99" s="9" t="s">
        <v>85</v>
      </c>
      <c r="AK99" s="9">
        <v>0.545455</v>
      </c>
      <c r="AL99" s="9" t="s">
        <v>85</v>
      </c>
      <c r="AM99" s="9" t="s">
        <v>85</v>
      </c>
      <c r="AN99" s="9">
        <v>0.636364</v>
      </c>
      <c r="AO99" s="9" t="s">
        <v>85</v>
      </c>
      <c r="AP99" s="9" t="s">
        <v>85</v>
      </c>
      <c r="AQ99" s="30">
        <v>0.623377</v>
      </c>
      <c r="AR99" s="9" t="s">
        <v>85</v>
      </c>
      <c r="AS99" s="9" t="s">
        <v>85</v>
      </c>
      <c r="AT99" s="9">
        <v>0.61039</v>
      </c>
      <c r="AU99" s="9" t="s">
        <v>85</v>
      </c>
      <c r="AV99" s="9" t="s">
        <v>85</v>
      </c>
      <c r="AW99" s="9">
        <v>0.597403</v>
      </c>
      <c r="AX99" s="9" t="s">
        <v>85</v>
      </c>
      <c r="AY99" s="9" t="s">
        <v>85</v>
      </c>
      <c r="AZ99" s="9">
        <v>0.597403</v>
      </c>
      <c r="BA99" s="9" t="s">
        <v>85</v>
      </c>
      <c r="BB99" s="9" t="s">
        <v>85</v>
      </c>
      <c r="BC99" s="30">
        <v>0.623377</v>
      </c>
      <c r="BD99" s="9" t="s">
        <v>85</v>
      </c>
      <c r="BE99" s="9" t="s">
        <v>85</v>
      </c>
      <c r="BF99" s="9">
        <v>0.571429</v>
      </c>
      <c r="BG99" s="9" t="s">
        <v>85</v>
      </c>
      <c r="BH99" s="6"/>
      <c r="BI99" s="6" t="str">
        <f t="shared" si="1"/>
        <v>12B_Fold_Median</v>
      </c>
      <c r="BJ99" s="6" t="str">
        <f t="shared" si="2"/>
        <v>10B_Fold_Median</v>
      </c>
      <c r="BK99" s="6" t="str">
        <f t="shared" si="3"/>
        <v>10B_Fold_Median</v>
      </c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</row>
    <row r="100" ht="15.75" customHeight="1">
      <c r="A100" s="1" t="s">
        <v>194</v>
      </c>
      <c r="B100" s="17">
        <v>426.0</v>
      </c>
      <c r="C100" s="9" t="s">
        <v>85</v>
      </c>
      <c r="D100" s="9">
        <v>0.704</v>
      </c>
      <c r="E100" s="9" t="s">
        <v>85</v>
      </c>
      <c r="F100" s="9" t="s">
        <v>85</v>
      </c>
      <c r="G100" s="30">
        <v>0.702000022</v>
      </c>
      <c r="H100" s="9" t="s">
        <v>85</v>
      </c>
      <c r="I100" s="9" t="s">
        <v>85</v>
      </c>
      <c r="J100" s="9">
        <v>0.752</v>
      </c>
      <c r="K100" s="9" t="s">
        <v>85</v>
      </c>
      <c r="L100" s="9" t="s">
        <v>85</v>
      </c>
      <c r="M100" s="9">
        <v>0.753667</v>
      </c>
      <c r="N100" s="9" t="s">
        <v>85</v>
      </c>
      <c r="O100" s="9" t="s">
        <v>85</v>
      </c>
      <c r="P100" s="9">
        <v>0.705667</v>
      </c>
      <c r="Q100" s="9" t="s">
        <v>85</v>
      </c>
      <c r="R100" s="9" t="s">
        <v>85</v>
      </c>
      <c r="S100" s="9">
        <v>0.732</v>
      </c>
      <c r="T100" s="9" t="s">
        <v>85</v>
      </c>
      <c r="U100" s="9" t="s">
        <v>85</v>
      </c>
      <c r="V100" s="9">
        <v>0.748333</v>
      </c>
      <c r="W100" s="9" t="s">
        <v>85</v>
      </c>
      <c r="X100" s="9" t="s">
        <v>85</v>
      </c>
      <c r="Y100" s="9">
        <v>0.753</v>
      </c>
      <c r="Z100" s="9" t="s">
        <v>85</v>
      </c>
      <c r="AA100" s="9" t="s">
        <v>85</v>
      </c>
      <c r="AB100" s="30">
        <v>0.749667</v>
      </c>
      <c r="AC100" s="9" t="s">
        <v>85</v>
      </c>
      <c r="AD100" s="9" t="s">
        <v>85</v>
      </c>
      <c r="AE100" s="30">
        <v>0.745667</v>
      </c>
      <c r="AF100" s="9" t="s">
        <v>85</v>
      </c>
      <c r="AG100" s="9" t="s">
        <v>85</v>
      </c>
      <c r="AH100" s="9">
        <v>0.763333</v>
      </c>
      <c r="AI100" s="9" t="s">
        <v>85</v>
      </c>
      <c r="AJ100" s="9" t="s">
        <v>85</v>
      </c>
      <c r="AK100" s="9">
        <v>0.779</v>
      </c>
      <c r="AL100" s="9" t="s">
        <v>85</v>
      </c>
      <c r="AM100" s="9" t="s">
        <v>85</v>
      </c>
      <c r="AN100" s="9">
        <v>0.756</v>
      </c>
      <c r="AO100" s="9" t="s">
        <v>85</v>
      </c>
      <c r="AP100" s="9" t="s">
        <v>85</v>
      </c>
      <c r="AQ100" s="30">
        <v>0.755</v>
      </c>
      <c r="AR100" s="9" t="s">
        <v>85</v>
      </c>
      <c r="AS100" s="9" t="s">
        <v>85</v>
      </c>
      <c r="AT100" s="9">
        <v>0.762333</v>
      </c>
      <c r="AU100" s="9" t="s">
        <v>85</v>
      </c>
      <c r="AV100" s="9" t="s">
        <v>85</v>
      </c>
      <c r="AW100" s="9">
        <v>0.773667</v>
      </c>
      <c r="AX100" s="9" t="s">
        <v>85</v>
      </c>
      <c r="AY100" s="9" t="s">
        <v>85</v>
      </c>
      <c r="AZ100" s="9">
        <v>0.764</v>
      </c>
      <c r="BA100" s="9" t="s">
        <v>85</v>
      </c>
      <c r="BB100" s="9" t="s">
        <v>85</v>
      </c>
      <c r="BC100" s="30">
        <v>0.780667</v>
      </c>
      <c r="BD100" s="9" t="s">
        <v>85</v>
      </c>
      <c r="BE100" s="9" t="s">
        <v>85</v>
      </c>
      <c r="BF100" s="9">
        <v>0.599</v>
      </c>
      <c r="BG100" s="9" t="s">
        <v>85</v>
      </c>
      <c r="BH100" s="6"/>
      <c r="BI100" s="6" t="str">
        <f t="shared" si="1"/>
        <v>20V_Fold_Median</v>
      </c>
      <c r="BJ100" s="6" t="str">
        <f t="shared" si="2"/>
        <v>10VB_Fold_Median</v>
      </c>
      <c r="BK100" s="6" t="str">
        <f t="shared" si="3"/>
        <v>12VB_Fold_Median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</row>
    <row r="101" ht="15.75" customHeight="1">
      <c r="A101" s="15"/>
      <c r="B101" s="15"/>
      <c r="I101" s="1"/>
      <c r="J101" s="1"/>
      <c r="K101" s="1"/>
      <c r="O101" s="1"/>
      <c r="P101" s="1"/>
      <c r="Q101" s="1"/>
      <c r="R101" s="1"/>
      <c r="S101" s="1"/>
      <c r="T101" s="1"/>
      <c r="W101" s="1"/>
      <c r="AA101" s="1"/>
      <c r="AB101" s="1"/>
      <c r="AC101" s="1"/>
      <c r="AD101" s="1"/>
      <c r="AE101" s="1"/>
      <c r="AG101" s="1"/>
      <c r="AH101" s="1"/>
      <c r="AI101" s="1"/>
      <c r="AM101" s="1"/>
      <c r="AN101" s="1"/>
      <c r="AO101" s="1"/>
      <c r="AP101" s="1"/>
      <c r="AQ101" s="1"/>
      <c r="AR101" s="1"/>
      <c r="AU101" s="1"/>
      <c r="AY101" s="1"/>
      <c r="AZ101" s="1"/>
      <c r="BA101" s="1"/>
      <c r="BB101" s="1"/>
      <c r="BC101" s="1"/>
    </row>
    <row r="102" ht="15.75" customHeight="1">
      <c r="A102" s="15"/>
      <c r="B102" s="15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ht="15.75" customHeight="1">
      <c r="A103" s="15"/>
      <c r="B103" s="15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ht="15.75" customHeight="1">
      <c r="A104" s="15"/>
      <c r="B104" s="1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ht="15.75" customHeight="1">
      <c r="A105" s="15"/>
      <c r="B105" s="1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ht="15.75" customHeight="1">
      <c r="A106" s="15"/>
      <c r="B106" s="1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ht="15.75" customHeight="1"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ht="15.75" customHeight="1"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ht="15.75" customHeight="1"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ht="15.75" customHeight="1"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ht="15.75" customHeight="1"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ht="15.75" customHeight="1"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ht="15.75" customHeight="1"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ht="15.75" customHeight="1"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ht="15.75" customHeight="1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ht="15.75" customHeight="1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ht="15.75" customHeight="1"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ht="15.75" customHeight="1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ht="15.75" customHeight="1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ht="15.75" customHeight="1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ht="15.75" customHeight="1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ht="15.75" customHeight="1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ht="15.75" customHeight="1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ht="15.75" customHeight="1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ht="15.75" customHeight="1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ht="15.75" customHeight="1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ht="15.75" customHeight="1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ht="15.75" customHeight="1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ht="15.75" customHeight="1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ht="15.75" customHeight="1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ht="15.75" customHeight="1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ht="15.75" customHeight="1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ht="15.75" customHeight="1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ht="15.75" customHeight="1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ht="15.75" customHeight="1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ht="15.75" customHeight="1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ht="15.75" customHeight="1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ht="15.75" customHeight="1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ht="15.75" customHeight="1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ht="15.75" customHeight="1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ht="15.75" customHeight="1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ht="15.75" customHeight="1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ht="15.75" customHeight="1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ht="15.75" customHeight="1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ht="15.75" customHeight="1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ht="15.75" customHeight="1"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ht="15.75" customHeight="1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ht="15.75" customHeight="1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ht="15.75" customHeight="1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ht="15.75" customHeight="1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ht="15.75" customHeight="1"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ht="15.75" customHeight="1"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ht="15.75" customHeight="1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ht="15.75" customHeight="1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ht="15.75" customHeight="1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ht="15.75" customHeight="1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ht="15.75" customHeight="1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ht="15.75" customHeight="1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ht="15.75" customHeight="1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ht="15.75" customHeight="1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ht="15.75" customHeight="1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ht="15.75" customHeight="1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ht="15.75" customHeight="1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ht="15.75" customHeight="1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ht="15.75" customHeight="1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ht="15.75" customHeight="1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ht="15.75" customHeight="1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ht="15.75" customHeight="1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ht="15.75" customHeight="1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ht="15.75" customHeight="1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ht="15.75" customHeight="1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ht="15.75" customHeight="1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ht="15.75" customHeight="1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ht="15.75" customHeight="1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ht="15.75" customHeight="1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ht="15.75" customHeight="1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ht="15.75" customHeight="1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ht="15.75" customHeight="1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ht="15.75" customHeight="1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ht="15.75" customHeight="1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ht="15.75" customHeight="1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ht="15.75" customHeight="1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ht="15.75" customHeight="1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ht="15.75" customHeight="1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ht="15.75" customHeight="1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ht="15.75" customHeight="1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ht="15.75" customHeight="1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ht="15.75" customHeight="1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ht="15.75" customHeight="1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ht="15.75" customHeight="1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ht="15.75" customHeight="1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ht="15.75" customHeight="1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ht="15.75" customHeight="1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ht="15.75" customHeight="1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ht="15.75" customHeight="1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ht="15.75" customHeight="1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ht="15.75" customHeight="1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ht="15.75" customHeight="1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ht="15.75" customHeight="1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ht="15.75" customHeight="1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ht="15.75" customHeight="1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ht="15.75" customHeight="1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ht="15.75" customHeight="1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ht="15.75" customHeight="1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ht="15.75" customHeight="1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ht="15.75" customHeight="1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ht="15.75" customHeight="1"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ht="15.75" customHeight="1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ht="15.75" customHeight="1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ht="15.75" customHeight="1"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ht="15.75" customHeight="1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ht="15.75" customHeight="1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ht="15.75" customHeight="1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ht="15.75" customHeight="1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ht="15.75" customHeight="1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ht="15.75" customHeight="1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ht="15.75" customHeight="1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ht="15.75" customHeight="1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ht="15.75" customHeight="1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ht="15.75" customHeight="1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ht="15.75" customHeight="1"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ht="15.75" customHeight="1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ht="15.75" customHeight="1"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ht="15.75" customHeight="1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ht="15.75" customHeight="1"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ht="15.75" customHeight="1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ht="15.75" customHeight="1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ht="15.75" customHeight="1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ht="15.75" customHeight="1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ht="15.75" customHeight="1"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ht="15.75" customHeight="1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ht="15.75" customHeight="1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ht="15.75" customHeight="1"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ht="15.75" customHeight="1"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ht="15.75" customHeight="1"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ht="15.75" customHeight="1"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ht="15.75" customHeight="1"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ht="15.75" customHeight="1"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ht="15.75" customHeight="1"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ht="15.75" customHeight="1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ht="15.75" customHeight="1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ht="15.75" customHeight="1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ht="15.75" customHeight="1"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ht="15.75" customHeight="1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ht="15.75" customHeight="1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ht="15.75" customHeight="1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ht="15.75" customHeight="1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ht="15.75" customHeight="1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ht="15.75" customHeight="1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ht="15.75" customHeight="1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ht="15.75" customHeight="1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ht="15.75" customHeight="1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ht="15.75" customHeight="1"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ht="15.75" customHeight="1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ht="15.75" customHeight="1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ht="15.75" customHeight="1"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ht="15.75" customHeight="1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ht="15.75" customHeight="1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ht="15.75" customHeight="1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ht="15.75" customHeight="1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ht="15.75" customHeight="1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ht="15.75" customHeight="1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ht="15.75" customHeight="1"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ht="15.75" customHeight="1"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ht="15.75" customHeight="1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ht="15.75" customHeight="1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ht="15.75" customHeight="1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ht="15.75" customHeight="1"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ht="15.75" customHeight="1"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ht="15.75" customHeight="1"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ht="15.75" customHeight="1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ht="15.75" customHeight="1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ht="15.75" customHeight="1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ht="15.75" customHeight="1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ht="15.75" customHeight="1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ht="15.75" customHeight="1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ht="15.75" customHeight="1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ht="15.75" customHeight="1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ht="15.75" customHeight="1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ht="15.75" customHeight="1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ht="15.75" customHeight="1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ht="15.75" customHeight="1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ht="15.75" customHeight="1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ht="15.75" customHeight="1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ht="15.75" customHeight="1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ht="15.75" customHeight="1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ht="15.75" customHeight="1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ht="15.75" customHeight="1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ht="15.75" customHeight="1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ht="15.75" customHeight="1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ht="15.75" customHeight="1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ht="15.75" customHeight="1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ht="15.75" customHeight="1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ht="15.75" customHeight="1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ht="15.75" customHeight="1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ht="15.75" customHeight="1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ht="15.75" customHeight="1"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ht="15.75" customHeight="1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ht="15.75" customHeight="1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ht="15.75" customHeight="1"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C1:E1"/>
    <mergeCell ref="F1:H1"/>
    <mergeCell ref="I1:K1"/>
    <mergeCell ref="L1:N1"/>
    <mergeCell ref="O1:Q1"/>
    <mergeCell ref="R1:T1"/>
    <mergeCell ref="U1:W1"/>
    <mergeCell ref="AS1:AU1"/>
    <mergeCell ref="AV1:AX1"/>
    <mergeCell ref="AY1:BA1"/>
    <mergeCell ref="BB1:BD1"/>
    <mergeCell ref="BE1:BG1"/>
    <mergeCell ref="X1:Z1"/>
    <mergeCell ref="AD1:AF1"/>
    <mergeCell ref="AG1:AI1"/>
    <mergeCell ref="AJ1:AL1"/>
    <mergeCell ref="AM1:AO1"/>
    <mergeCell ref="AP1:AR1"/>
    <mergeCell ref="AA1:AC1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27.63"/>
    <col customWidth="1" min="2" max="2" width="14.3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38"/>
    <col customWidth="1" min="13" max="13" width="17.75"/>
    <col customWidth="1" min="16" max="16" width="14.38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38"/>
    <col customWidth="1" min="38" max="38" width="13.88"/>
    <col customWidth="1" min="40" max="40" width="14.38"/>
    <col customWidth="1" min="42" max="42" width="13.38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38"/>
    <col customWidth="1" min="67" max="67" width="22.38"/>
    <col customWidth="1" min="68" max="68" width="17.38"/>
    <col customWidth="1" min="69" max="69" width="22.0"/>
    <col customWidth="1" min="74" max="74" width="11.25"/>
    <col customWidth="1" min="75" max="75" width="9.38"/>
    <col customWidth="1" min="76" max="76" width="11.38"/>
    <col customWidth="1" min="77" max="77" width="11.63"/>
    <col customWidth="1" min="78" max="78" width="9.0"/>
    <col customWidth="1" min="79" max="79" width="11.0"/>
    <col customWidth="1" min="80" max="80" width="11.75"/>
    <col customWidth="1" min="81" max="81" width="9.38"/>
    <col customWidth="1" min="82" max="82" width="11.75"/>
    <col customWidth="1" min="84" max="84" width="10.13"/>
    <col customWidth="1" min="85" max="85" width="11.63"/>
    <col customWidth="1" min="87" max="87" width="9.38"/>
    <col customWidth="1" min="88" max="89" width="11.63"/>
  </cols>
  <sheetData>
    <row r="1" ht="15.75" customHeight="1">
      <c r="A1" s="1" t="s">
        <v>0</v>
      </c>
      <c r="B1" s="15" t="s">
        <v>235</v>
      </c>
      <c r="C1" s="3" t="s">
        <v>2</v>
      </c>
      <c r="F1" s="3" t="s">
        <v>3</v>
      </c>
      <c r="I1" s="3" t="s">
        <v>4</v>
      </c>
      <c r="L1" s="3" t="s">
        <v>5</v>
      </c>
      <c r="O1" s="3" t="s">
        <v>6</v>
      </c>
      <c r="R1" s="3" t="s">
        <v>7</v>
      </c>
      <c r="U1" s="3" t="s">
        <v>8</v>
      </c>
      <c r="X1" s="3" t="s">
        <v>9</v>
      </c>
      <c r="AA1" s="3" t="s">
        <v>10</v>
      </c>
      <c r="AD1" s="3" t="s">
        <v>11</v>
      </c>
      <c r="AG1" s="3" t="s">
        <v>12</v>
      </c>
      <c r="AJ1" s="3" t="s">
        <v>13</v>
      </c>
      <c r="AM1" s="3" t="s">
        <v>14</v>
      </c>
      <c r="AP1" s="3" t="s">
        <v>15</v>
      </c>
      <c r="AS1" s="3" t="s">
        <v>16</v>
      </c>
      <c r="AV1" s="3" t="s">
        <v>17</v>
      </c>
      <c r="AY1" s="3" t="s">
        <v>18</v>
      </c>
      <c r="BB1" s="3" t="s">
        <v>19</v>
      </c>
      <c r="BE1" s="3" t="s">
        <v>20</v>
      </c>
      <c r="BH1" s="1"/>
      <c r="BJ1" s="1"/>
      <c r="BK1" s="1"/>
      <c r="BL1" s="1"/>
      <c r="BM1" s="1"/>
      <c r="BN1" s="1"/>
      <c r="BO1" s="1"/>
      <c r="BR1" s="1"/>
      <c r="BS1" s="1"/>
      <c r="BT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</row>
    <row r="2" ht="15.75" customHeight="1">
      <c r="A2" s="1"/>
      <c r="B2" s="15"/>
      <c r="C2" s="1" t="s">
        <v>21</v>
      </c>
      <c r="D2" s="1" t="s">
        <v>22</v>
      </c>
      <c r="E2" s="4" t="s">
        <v>23</v>
      </c>
      <c r="F2" s="1" t="s">
        <v>24</v>
      </c>
      <c r="G2" s="1" t="s">
        <v>25</v>
      </c>
      <c r="H2" s="4" t="s">
        <v>26</v>
      </c>
      <c r="I2" s="1" t="s">
        <v>27</v>
      </c>
      <c r="J2" s="1" t="s">
        <v>28</v>
      </c>
      <c r="K2" s="5" t="s">
        <v>29</v>
      </c>
      <c r="L2" s="1" t="s">
        <v>30</v>
      </c>
      <c r="M2" s="1" t="s">
        <v>31</v>
      </c>
      <c r="N2" s="5" t="s">
        <v>32</v>
      </c>
      <c r="O2" s="1" t="s">
        <v>33</v>
      </c>
      <c r="P2" s="1" t="s">
        <v>34</v>
      </c>
      <c r="Q2" s="5" t="s">
        <v>35</v>
      </c>
      <c r="R2" s="1" t="s">
        <v>36</v>
      </c>
      <c r="S2" s="1" t="s">
        <v>37</v>
      </c>
      <c r="T2" s="5" t="s">
        <v>38</v>
      </c>
      <c r="U2" s="1" t="s">
        <v>39</v>
      </c>
      <c r="V2" s="1" t="s">
        <v>40</v>
      </c>
      <c r="W2" s="5" t="s">
        <v>41</v>
      </c>
      <c r="X2" s="1" t="s">
        <v>42</v>
      </c>
      <c r="Y2" s="1" t="s">
        <v>43</v>
      </c>
      <c r="Z2" s="5" t="s">
        <v>44</v>
      </c>
      <c r="AA2" s="1" t="s">
        <v>45</v>
      </c>
      <c r="AB2" s="1" t="s">
        <v>46</v>
      </c>
      <c r="AC2" s="5" t="s">
        <v>47</v>
      </c>
      <c r="AD2" s="1" t="s">
        <v>48</v>
      </c>
      <c r="AE2" s="1" t="s">
        <v>49</v>
      </c>
      <c r="AF2" s="5" t="s">
        <v>50</v>
      </c>
      <c r="AG2" s="1" t="s">
        <v>51</v>
      </c>
      <c r="AH2" s="1" t="s">
        <v>52</v>
      </c>
      <c r="AI2" s="5" t="s">
        <v>53</v>
      </c>
      <c r="AJ2" s="1" t="s">
        <v>54</v>
      </c>
      <c r="AK2" s="1" t="s">
        <v>55</v>
      </c>
      <c r="AL2" s="5" t="s">
        <v>56</v>
      </c>
      <c r="AM2" s="1" t="s">
        <v>57</v>
      </c>
      <c r="AN2" s="1" t="s">
        <v>58</v>
      </c>
      <c r="AO2" s="5" t="s">
        <v>59</v>
      </c>
      <c r="AP2" s="1" t="s">
        <v>60</v>
      </c>
      <c r="AQ2" s="1" t="s">
        <v>61</v>
      </c>
      <c r="AR2" s="5" t="s">
        <v>62</v>
      </c>
      <c r="AS2" s="1" t="s">
        <v>63</v>
      </c>
      <c r="AT2" s="1" t="s">
        <v>64</v>
      </c>
      <c r="AU2" s="5" t="s">
        <v>65</v>
      </c>
      <c r="AV2" s="1" t="s">
        <v>66</v>
      </c>
      <c r="AW2" s="1" t="s">
        <v>67</v>
      </c>
      <c r="AX2" s="5" t="s">
        <v>68</v>
      </c>
      <c r="AY2" s="1" t="s">
        <v>69</v>
      </c>
      <c r="AZ2" s="1" t="s">
        <v>70</v>
      </c>
      <c r="BA2" s="5" t="s">
        <v>71</v>
      </c>
      <c r="BB2" s="1" t="s">
        <v>72</v>
      </c>
      <c r="BC2" s="1" t="s">
        <v>73</v>
      </c>
      <c r="BD2" s="5" t="s">
        <v>74</v>
      </c>
      <c r="BE2" s="1" t="s">
        <v>75</v>
      </c>
      <c r="BF2" s="1" t="s">
        <v>76</v>
      </c>
      <c r="BG2" s="5" t="s">
        <v>77</v>
      </c>
      <c r="BH2" s="1"/>
      <c r="BI2" s="1" t="s">
        <v>213</v>
      </c>
      <c r="BJ2" s="1" t="s">
        <v>214</v>
      </c>
      <c r="BK2" s="1" t="s">
        <v>215</v>
      </c>
      <c r="BL2" s="1"/>
      <c r="BM2" s="1" t="s">
        <v>216</v>
      </c>
      <c r="BN2" s="1" t="s">
        <v>217</v>
      </c>
      <c r="BO2" s="1" t="s">
        <v>218</v>
      </c>
      <c r="BP2" s="1" t="s">
        <v>219</v>
      </c>
      <c r="BR2" s="1"/>
      <c r="BS2" s="1"/>
      <c r="BT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</row>
    <row r="3" ht="15.75" customHeight="1">
      <c r="A3" s="1" t="s">
        <v>84</v>
      </c>
      <c r="B3" s="17">
        <v>10.0</v>
      </c>
      <c r="C3" s="9" t="s">
        <v>85</v>
      </c>
      <c r="D3" s="9">
        <v>0.64</v>
      </c>
      <c r="E3" s="9" t="s">
        <v>85</v>
      </c>
      <c r="F3" s="9" t="s">
        <v>85</v>
      </c>
      <c r="G3" s="30">
        <v>0.569999993</v>
      </c>
      <c r="H3" s="9" t="s">
        <v>85</v>
      </c>
      <c r="I3" s="9" t="s">
        <v>85</v>
      </c>
      <c r="J3" s="9">
        <v>0.56</v>
      </c>
      <c r="K3" s="9" t="s">
        <v>85</v>
      </c>
      <c r="L3" s="9" t="s">
        <v>85</v>
      </c>
      <c r="M3" s="9">
        <v>0.6</v>
      </c>
      <c r="N3" s="9" t="s">
        <v>85</v>
      </c>
      <c r="O3" s="9" t="s">
        <v>85</v>
      </c>
      <c r="P3" s="9">
        <v>0.62</v>
      </c>
      <c r="Q3" s="9" t="s">
        <v>85</v>
      </c>
      <c r="R3" s="9" t="s">
        <v>85</v>
      </c>
      <c r="S3" s="9">
        <v>0.62</v>
      </c>
      <c r="T3" s="9" t="s">
        <v>85</v>
      </c>
      <c r="U3" s="9" t="s">
        <v>85</v>
      </c>
      <c r="V3" s="9">
        <v>0.5</v>
      </c>
      <c r="W3" s="9" t="s">
        <v>85</v>
      </c>
      <c r="X3" s="9" t="s">
        <v>85</v>
      </c>
      <c r="Y3" s="9">
        <v>0.42</v>
      </c>
      <c r="Z3" s="9" t="s">
        <v>85</v>
      </c>
      <c r="AA3" s="9" t="s">
        <v>85</v>
      </c>
      <c r="AB3" s="30">
        <v>0.53</v>
      </c>
      <c r="AC3" s="9" t="s">
        <v>85</v>
      </c>
      <c r="AD3" s="9" t="s">
        <v>85</v>
      </c>
      <c r="AE3" s="30">
        <v>0.61</v>
      </c>
      <c r="AF3" s="9" t="s">
        <v>85</v>
      </c>
      <c r="AG3" s="9" t="s">
        <v>85</v>
      </c>
      <c r="AH3" s="9">
        <v>0.48</v>
      </c>
      <c r="AI3" s="9" t="s">
        <v>85</v>
      </c>
      <c r="AJ3" s="9" t="s">
        <v>85</v>
      </c>
      <c r="AK3" s="9">
        <v>0.47</v>
      </c>
      <c r="AL3" s="9" t="s">
        <v>85</v>
      </c>
      <c r="AM3" s="9" t="s">
        <v>85</v>
      </c>
      <c r="AN3" s="9">
        <v>0.65</v>
      </c>
      <c r="AO3" s="9" t="s">
        <v>85</v>
      </c>
      <c r="AP3" s="9" t="s">
        <v>85</v>
      </c>
      <c r="AQ3" s="30">
        <v>0.64</v>
      </c>
      <c r="AR3" s="9" t="s">
        <v>85</v>
      </c>
      <c r="AS3" s="9" t="s">
        <v>85</v>
      </c>
      <c r="AT3" s="9">
        <v>0.43</v>
      </c>
      <c r="AU3" s="9" t="s">
        <v>85</v>
      </c>
      <c r="AV3" s="9" t="s">
        <v>85</v>
      </c>
      <c r="AW3" s="9">
        <v>0.35</v>
      </c>
      <c r="AX3" s="9" t="s">
        <v>85</v>
      </c>
      <c r="AY3" s="9" t="s">
        <v>85</v>
      </c>
      <c r="AZ3" s="9">
        <v>0.65</v>
      </c>
      <c r="BA3" s="9" t="s">
        <v>85</v>
      </c>
      <c r="BB3" s="9" t="s">
        <v>85</v>
      </c>
      <c r="BC3" s="30">
        <v>0.2</v>
      </c>
      <c r="BD3" s="9" t="s">
        <v>85</v>
      </c>
      <c r="BE3" s="9" t="s">
        <v>85</v>
      </c>
      <c r="BF3" s="10" t="s">
        <v>85</v>
      </c>
      <c r="BG3" s="9" t="s">
        <v>85</v>
      </c>
      <c r="BH3" s="6"/>
      <c r="BI3" s="6" t="str">
        <f t="shared" ref="BI3:BI100" si="1">INDEX($C$2:$BG$2,0,MATCH(MAX(C3:BG3),C3:BG3,0))</f>
        <v>12B_Fold_Median</v>
      </c>
      <c r="BJ3" s="6" t="str">
        <f t="shared" ref="BJ3:BJ100" si="2">INDEX($C$2:$BG$2,0,MATCH(LARGE(C3:BG3,2),C3:BG3,0))</f>
        <v>12B_Fold_Median</v>
      </c>
      <c r="BK3" s="6" t="str">
        <f t="shared" ref="BK3:BK100" si="3">INDEX($C$2:$BG$2,0,MATCH(LARGE(C3:BG3,3),C3:BG3,0))</f>
        <v>5B_Fold_Median</v>
      </c>
      <c r="BL3" s="6"/>
      <c r="BM3" s="6">
        <f>COUNTA(BI3:BK100)</f>
        <v>294</v>
      </c>
      <c r="BN3" s="6">
        <f>COUNTIF(BI3:BK100,"*De*")</f>
        <v>17</v>
      </c>
      <c r="BO3" s="6">
        <f>COUNTIF(BI3:BK100,"*V*")</f>
        <v>130</v>
      </c>
      <c r="BP3" s="6">
        <f>MINUS(BM3,SUM(BN3,BO3))</f>
        <v>147</v>
      </c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</row>
    <row r="4" ht="15.75" customHeight="1">
      <c r="A4" s="1" t="s">
        <v>89</v>
      </c>
      <c r="B4" s="17">
        <v>37.0</v>
      </c>
      <c r="C4" s="9" t="s">
        <v>85</v>
      </c>
      <c r="D4" s="9">
        <v>0.29156</v>
      </c>
      <c r="E4" s="9" t="s">
        <v>85</v>
      </c>
      <c r="F4" s="9" t="s">
        <v>85</v>
      </c>
      <c r="G4" s="30">
        <v>0.319693089</v>
      </c>
      <c r="H4" s="9" t="s">
        <v>85</v>
      </c>
      <c r="I4" s="9" t="s">
        <v>85</v>
      </c>
      <c r="J4" s="9">
        <v>0.186701</v>
      </c>
      <c r="K4" s="9" t="s">
        <v>85</v>
      </c>
      <c r="L4" s="9" t="s">
        <v>85</v>
      </c>
      <c r="M4" s="9">
        <v>0.074169</v>
      </c>
      <c r="N4" s="9" t="s">
        <v>85</v>
      </c>
      <c r="O4" s="9" t="s">
        <v>85</v>
      </c>
      <c r="P4" s="9">
        <v>0.232737</v>
      </c>
      <c r="Q4" s="9" t="s">
        <v>85</v>
      </c>
      <c r="R4" s="9" t="s">
        <v>85</v>
      </c>
      <c r="S4" s="9">
        <v>0.248082</v>
      </c>
      <c r="T4" s="9" t="s">
        <v>85</v>
      </c>
      <c r="U4" s="9" t="s">
        <v>85</v>
      </c>
      <c r="V4" s="9">
        <v>0.199488</v>
      </c>
      <c r="W4" s="9" t="s">
        <v>85</v>
      </c>
      <c r="X4" s="9" t="s">
        <v>85</v>
      </c>
      <c r="Y4" s="9">
        <v>0.219949</v>
      </c>
      <c r="Z4" s="9" t="s">
        <v>85</v>
      </c>
      <c r="AA4" s="9" t="s">
        <v>85</v>
      </c>
      <c r="AB4" s="30">
        <v>0.237852</v>
      </c>
      <c r="AC4" s="9" t="s">
        <v>85</v>
      </c>
      <c r="AD4" s="9" t="s">
        <v>85</v>
      </c>
      <c r="AE4" s="30">
        <v>0.237852</v>
      </c>
      <c r="AF4" s="9" t="s">
        <v>85</v>
      </c>
      <c r="AG4" s="9" t="s">
        <v>85</v>
      </c>
      <c r="AH4" s="9">
        <v>0.069054</v>
      </c>
      <c r="AI4" s="9" t="s">
        <v>85</v>
      </c>
      <c r="AJ4" s="9" t="s">
        <v>85</v>
      </c>
      <c r="AK4" s="9">
        <v>0.150895</v>
      </c>
      <c r="AL4" s="9" t="s">
        <v>85</v>
      </c>
      <c r="AM4" s="9" t="s">
        <v>85</v>
      </c>
      <c r="AN4" s="9">
        <v>0.31202</v>
      </c>
      <c r="AO4" s="9" t="s">
        <v>85</v>
      </c>
      <c r="AP4" s="9" t="s">
        <v>85</v>
      </c>
      <c r="AQ4" s="30">
        <v>0.317136</v>
      </c>
      <c r="AR4" s="9" t="s">
        <v>85</v>
      </c>
      <c r="AS4" s="9" t="s">
        <v>85</v>
      </c>
      <c r="AT4" s="9">
        <v>0.063939</v>
      </c>
      <c r="AU4" s="9" t="s">
        <v>85</v>
      </c>
      <c r="AV4" s="9" t="s">
        <v>85</v>
      </c>
      <c r="AW4" s="9">
        <v>0.140665</v>
      </c>
      <c r="AX4" s="9" t="s">
        <v>85</v>
      </c>
      <c r="AY4" s="9" t="s">
        <v>85</v>
      </c>
      <c r="AZ4" s="9">
        <v>0.16624</v>
      </c>
      <c r="BA4" s="9" t="s">
        <v>85</v>
      </c>
      <c r="BB4" s="9" t="s">
        <v>85</v>
      </c>
      <c r="BC4" s="30">
        <v>0.176471</v>
      </c>
      <c r="BD4" s="9" t="s">
        <v>85</v>
      </c>
      <c r="BE4" s="9" t="s">
        <v>85</v>
      </c>
      <c r="BF4" s="10" t="s">
        <v>85</v>
      </c>
      <c r="BG4" s="9" t="s">
        <v>85</v>
      </c>
      <c r="BH4" s="6"/>
      <c r="BI4" s="6" t="str">
        <f t="shared" si="1"/>
        <v>5BN_Fold_Median</v>
      </c>
      <c r="BJ4" s="6" t="str">
        <f t="shared" si="2"/>
        <v>12BN_Fold_Median</v>
      </c>
      <c r="BK4" s="6" t="str">
        <f t="shared" si="3"/>
        <v>12B_Fold_Median</v>
      </c>
      <c r="BL4" s="6"/>
      <c r="BM4" s="6"/>
      <c r="BN4" s="6"/>
      <c r="BO4" s="6"/>
      <c r="BP4" s="6"/>
      <c r="BQ4" s="6"/>
      <c r="BR4" s="6"/>
      <c r="BS4" s="6"/>
      <c r="BT4" s="6" t="s">
        <v>318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</row>
    <row r="5" ht="15.75" customHeight="1">
      <c r="A5" s="1" t="s">
        <v>91</v>
      </c>
      <c r="B5" s="17">
        <v>3.0</v>
      </c>
      <c r="C5" s="9" t="s">
        <v>85</v>
      </c>
      <c r="D5" s="9">
        <v>0.634286</v>
      </c>
      <c r="E5" s="9" t="s">
        <v>85</v>
      </c>
      <c r="F5" s="9" t="s">
        <v>85</v>
      </c>
      <c r="G5" s="30">
        <v>0.617142856</v>
      </c>
      <c r="H5" s="9" t="s">
        <v>85</v>
      </c>
      <c r="I5" s="9" t="s">
        <v>85</v>
      </c>
      <c r="J5" s="9">
        <v>0.668571</v>
      </c>
      <c r="K5" s="9" t="s">
        <v>85</v>
      </c>
      <c r="L5" s="9" t="s">
        <v>85</v>
      </c>
      <c r="M5" s="9">
        <v>0.68</v>
      </c>
      <c r="N5" s="9" t="s">
        <v>85</v>
      </c>
      <c r="O5" s="9" t="s">
        <v>85</v>
      </c>
      <c r="P5" s="9">
        <v>0.645714</v>
      </c>
      <c r="Q5" s="9" t="s">
        <v>85</v>
      </c>
      <c r="R5" s="9" t="s">
        <v>85</v>
      </c>
      <c r="S5" s="9">
        <v>0.64</v>
      </c>
      <c r="T5" s="9" t="s">
        <v>85</v>
      </c>
      <c r="U5" s="9" t="s">
        <v>85</v>
      </c>
      <c r="V5" s="9">
        <v>0.68</v>
      </c>
      <c r="W5" s="9" t="s">
        <v>85</v>
      </c>
      <c r="X5" s="9" t="s">
        <v>85</v>
      </c>
      <c r="Y5" s="9">
        <v>0.697143</v>
      </c>
      <c r="Z5" s="9" t="s">
        <v>85</v>
      </c>
      <c r="AA5" s="9" t="s">
        <v>85</v>
      </c>
      <c r="AB5" s="30">
        <v>0.708571</v>
      </c>
      <c r="AC5" s="9" t="s">
        <v>85</v>
      </c>
      <c r="AD5" s="9" t="s">
        <v>85</v>
      </c>
      <c r="AE5" s="30">
        <v>0.68</v>
      </c>
      <c r="AF5" s="9" t="s">
        <v>85</v>
      </c>
      <c r="AG5" s="9" t="s">
        <v>85</v>
      </c>
      <c r="AH5" s="9">
        <v>0.6</v>
      </c>
      <c r="AI5" s="9" t="s">
        <v>85</v>
      </c>
      <c r="AJ5" s="9" t="s">
        <v>85</v>
      </c>
      <c r="AK5" s="9">
        <v>0.691429</v>
      </c>
      <c r="AL5" s="9" t="s">
        <v>85</v>
      </c>
      <c r="AM5" s="9" t="s">
        <v>85</v>
      </c>
      <c r="AN5" s="9">
        <v>0.708571</v>
      </c>
      <c r="AO5" s="9" t="s">
        <v>85</v>
      </c>
      <c r="AP5" s="9" t="s">
        <v>85</v>
      </c>
      <c r="AQ5" s="30" t="s">
        <v>85</v>
      </c>
      <c r="AR5" s="9" t="s">
        <v>85</v>
      </c>
      <c r="AS5" s="9" t="s">
        <v>85</v>
      </c>
      <c r="AT5" s="9">
        <v>0.714286</v>
      </c>
      <c r="AU5" s="9" t="s">
        <v>85</v>
      </c>
      <c r="AV5" s="9" t="s">
        <v>85</v>
      </c>
      <c r="AW5" s="9">
        <v>0.737143</v>
      </c>
      <c r="AX5" s="9" t="s">
        <v>85</v>
      </c>
      <c r="AY5" s="9" t="s">
        <v>85</v>
      </c>
      <c r="AZ5" s="9">
        <v>0.662857</v>
      </c>
      <c r="BA5" s="9" t="s">
        <v>85</v>
      </c>
      <c r="BB5" s="9" t="s">
        <v>85</v>
      </c>
      <c r="BC5" s="30">
        <v>0.748571</v>
      </c>
      <c r="BD5" s="9" t="s">
        <v>85</v>
      </c>
      <c r="BE5" s="9" t="s">
        <v>85</v>
      </c>
      <c r="BF5" s="9">
        <v>0.634286</v>
      </c>
      <c r="BG5" s="9" t="s">
        <v>85</v>
      </c>
      <c r="BH5" s="6"/>
      <c r="BI5" s="6" t="str">
        <f t="shared" si="1"/>
        <v>20V_Fold_Median</v>
      </c>
      <c r="BJ5" s="6" t="str">
        <f t="shared" si="2"/>
        <v>12VB_Fold_Median</v>
      </c>
      <c r="BK5" s="6" t="str">
        <f t="shared" si="3"/>
        <v>12V_Fold_Median</v>
      </c>
      <c r="BL5" s="6"/>
      <c r="BP5" s="6"/>
      <c r="BQ5" s="6"/>
      <c r="BR5" s="6"/>
      <c r="BS5" s="6"/>
      <c r="BT5" s="6"/>
      <c r="BU5" s="6"/>
      <c r="BV5" s="6"/>
      <c r="BW5" s="6"/>
      <c r="BX5" s="6"/>
      <c r="BY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</row>
    <row r="6" ht="15.75" customHeight="1">
      <c r="A6" s="1" t="s">
        <v>93</v>
      </c>
      <c r="B6" s="17">
        <v>5.0</v>
      </c>
      <c r="C6" s="9" t="s">
        <v>85</v>
      </c>
      <c r="D6" s="9">
        <v>0.433333</v>
      </c>
      <c r="E6" s="9" t="s">
        <v>85</v>
      </c>
      <c r="F6" s="9" t="s">
        <v>85</v>
      </c>
      <c r="G6" s="30">
        <v>0.466666669</v>
      </c>
      <c r="H6" s="9" t="s">
        <v>85</v>
      </c>
      <c r="I6" s="9" t="s">
        <v>85</v>
      </c>
      <c r="J6" s="9">
        <v>0.366667</v>
      </c>
      <c r="K6" s="9" t="s">
        <v>85</v>
      </c>
      <c r="L6" s="9" t="s">
        <v>85</v>
      </c>
      <c r="M6" s="9">
        <v>0.333333</v>
      </c>
      <c r="N6" s="9" t="s">
        <v>85</v>
      </c>
      <c r="O6" s="9" t="s">
        <v>85</v>
      </c>
      <c r="P6" s="9">
        <v>0.5</v>
      </c>
      <c r="Q6" s="9" t="s">
        <v>85</v>
      </c>
      <c r="R6" s="9" t="s">
        <v>85</v>
      </c>
      <c r="S6" s="9">
        <v>0.5</v>
      </c>
      <c r="T6" s="9" t="s">
        <v>85</v>
      </c>
      <c r="U6" s="9" t="s">
        <v>85</v>
      </c>
      <c r="V6" s="9">
        <v>0.4</v>
      </c>
      <c r="W6" s="9" t="s">
        <v>85</v>
      </c>
      <c r="X6" s="9" t="s">
        <v>85</v>
      </c>
      <c r="Y6" s="9">
        <v>0.466667</v>
      </c>
      <c r="Z6" s="9" t="s">
        <v>85</v>
      </c>
      <c r="AA6" s="9" t="s">
        <v>85</v>
      </c>
      <c r="AB6" s="30">
        <v>0.5</v>
      </c>
      <c r="AC6" s="9" t="s">
        <v>85</v>
      </c>
      <c r="AD6" s="9" t="s">
        <v>85</v>
      </c>
      <c r="AE6" s="30">
        <v>0.4</v>
      </c>
      <c r="AF6" s="9" t="s">
        <v>85</v>
      </c>
      <c r="AG6" s="9" t="s">
        <v>85</v>
      </c>
      <c r="AH6" s="9">
        <v>0.466667</v>
      </c>
      <c r="AI6" s="9" t="s">
        <v>85</v>
      </c>
      <c r="AJ6" s="9" t="s">
        <v>85</v>
      </c>
      <c r="AK6" s="9">
        <v>0.433333</v>
      </c>
      <c r="AL6" s="9" t="s">
        <v>85</v>
      </c>
      <c r="AM6" s="9" t="s">
        <v>85</v>
      </c>
      <c r="AN6" s="9">
        <v>0.433333</v>
      </c>
      <c r="AO6" s="9" t="s">
        <v>85</v>
      </c>
      <c r="AP6" s="9" t="s">
        <v>85</v>
      </c>
      <c r="AQ6" s="30">
        <v>0.466667</v>
      </c>
      <c r="AR6" s="9" t="s">
        <v>85</v>
      </c>
      <c r="AS6" s="9" t="s">
        <v>85</v>
      </c>
      <c r="AT6" s="9">
        <v>0.4</v>
      </c>
      <c r="AU6" s="9" t="s">
        <v>85</v>
      </c>
      <c r="AV6" s="9" t="s">
        <v>85</v>
      </c>
      <c r="AW6" s="9">
        <v>0.4</v>
      </c>
      <c r="AX6" s="9" t="s">
        <v>85</v>
      </c>
      <c r="AY6" s="9" t="s">
        <v>85</v>
      </c>
      <c r="AZ6" s="9">
        <v>0.5</v>
      </c>
      <c r="BA6" s="9" t="s">
        <v>85</v>
      </c>
      <c r="BB6" s="9" t="s">
        <v>85</v>
      </c>
      <c r="BC6" s="30">
        <v>0.4</v>
      </c>
      <c r="BD6" s="9" t="s">
        <v>85</v>
      </c>
      <c r="BE6" s="9" t="s">
        <v>85</v>
      </c>
      <c r="BF6" s="9">
        <v>0.466667</v>
      </c>
      <c r="BG6" s="9" t="s">
        <v>85</v>
      </c>
      <c r="BH6" s="6"/>
      <c r="BI6" s="6" t="str">
        <f t="shared" si="1"/>
        <v>8B_Fold_Median</v>
      </c>
      <c r="BJ6" s="6" t="str">
        <f t="shared" si="2"/>
        <v>8B_Fold_Median</v>
      </c>
      <c r="BK6" s="6" t="str">
        <f t="shared" si="3"/>
        <v>8B_Fold_Median</v>
      </c>
      <c r="BL6" s="6"/>
      <c r="BM6" s="1" t="s">
        <v>213</v>
      </c>
      <c r="BN6" s="6" t="s">
        <v>236</v>
      </c>
      <c r="BO6" s="6"/>
      <c r="BP6" s="6"/>
      <c r="BQ6" s="6"/>
      <c r="BR6" s="6"/>
      <c r="BS6" s="6"/>
      <c r="BT6" s="6"/>
      <c r="BV6" s="1" t="s">
        <v>213</v>
      </c>
      <c r="BW6" s="6" t="s">
        <v>236</v>
      </c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</row>
    <row r="7" ht="15.75" customHeight="1">
      <c r="A7" s="1" t="s">
        <v>95</v>
      </c>
      <c r="B7" s="17">
        <v>2.0</v>
      </c>
      <c r="C7" s="9" t="s">
        <v>85</v>
      </c>
      <c r="D7" s="9">
        <v>0.7</v>
      </c>
      <c r="E7" s="9" t="s">
        <v>85</v>
      </c>
      <c r="F7" s="9" t="s">
        <v>85</v>
      </c>
      <c r="G7" s="30">
        <v>0.850000024</v>
      </c>
      <c r="H7" s="9" t="s">
        <v>85</v>
      </c>
      <c r="I7" s="9" t="s">
        <v>85</v>
      </c>
      <c r="J7" s="9">
        <v>0.7</v>
      </c>
      <c r="K7" s="9" t="s">
        <v>85</v>
      </c>
      <c r="L7" s="9" t="s">
        <v>85</v>
      </c>
      <c r="M7" s="9">
        <v>0.75</v>
      </c>
      <c r="N7" s="9" t="s">
        <v>85</v>
      </c>
      <c r="O7" s="9" t="s">
        <v>85</v>
      </c>
      <c r="P7" s="9">
        <v>0.8</v>
      </c>
      <c r="Q7" s="9" t="s">
        <v>85</v>
      </c>
      <c r="R7" s="9" t="s">
        <v>85</v>
      </c>
      <c r="S7" s="9">
        <v>0.8</v>
      </c>
      <c r="T7" s="9" t="s">
        <v>85</v>
      </c>
      <c r="U7" s="9" t="s">
        <v>85</v>
      </c>
      <c r="V7" s="9">
        <v>0.65</v>
      </c>
      <c r="W7" s="9" t="s">
        <v>85</v>
      </c>
      <c r="X7" s="9" t="s">
        <v>85</v>
      </c>
      <c r="Y7" s="9">
        <v>0.65</v>
      </c>
      <c r="Z7" s="9" t="s">
        <v>85</v>
      </c>
      <c r="AA7" s="9" t="s">
        <v>85</v>
      </c>
      <c r="AB7" s="30">
        <v>0.75</v>
      </c>
      <c r="AC7" s="9" t="s">
        <v>85</v>
      </c>
      <c r="AD7" s="9" t="s">
        <v>85</v>
      </c>
      <c r="AE7" s="30">
        <v>0.5</v>
      </c>
      <c r="AF7" s="9" t="s">
        <v>85</v>
      </c>
      <c r="AG7" s="9" t="s">
        <v>85</v>
      </c>
      <c r="AH7" s="9">
        <v>0.65</v>
      </c>
      <c r="AI7" s="9" t="s">
        <v>85</v>
      </c>
      <c r="AJ7" s="9" t="s">
        <v>85</v>
      </c>
      <c r="AK7" s="9">
        <v>0.65</v>
      </c>
      <c r="AL7" s="9" t="s">
        <v>85</v>
      </c>
      <c r="AM7" s="9" t="s">
        <v>85</v>
      </c>
      <c r="AN7" s="9">
        <v>0.55</v>
      </c>
      <c r="AO7" s="9" t="s">
        <v>85</v>
      </c>
      <c r="AP7" s="9" t="s">
        <v>85</v>
      </c>
      <c r="AQ7" s="30">
        <v>0.75</v>
      </c>
      <c r="AR7" s="9" t="s">
        <v>85</v>
      </c>
      <c r="AS7" s="9" t="s">
        <v>85</v>
      </c>
      <c r="AT7" s="9">
        <v>0.8</v>
      </c>
      <c r="AU7" s="9" t="s">
        <v>85</v>
      </c>
      <c r="AV7" s="9" t="s">
        <v>85</v>
      </c>
      <c r="AW7" s="9">
        <v>0.8</v>
      </c>
      <c r="AX7" s="9" t="s">
        <v>85</v>
      </c>
      <c r="AY7" s="9" t="s">
        <v>85</v>
      </c>
      <c r="AZ7" s="9">
        <v>0.85</v>
      </c>
      <c r="BA7" s="9" t="s">
        <v>85</v>
      </c>
      <c r="BB7" s="9" t="s">
        <v>85</v>
      </c>
      <c r="BC7" s="30">
        <v>0.9</v>
      </c>
      <c r="BD7" s="9" t="s">
        <v>85</v>
      </c>
      <c r="BE7" s="9" t="s">
        <v>85</v>
      </c>
      <c r="BF7" s="9">
        <v>0.55</v>
      </c>
      <c r="BG7" s="9" t="s">
        <v>85</v>
      </c>
      <c r="BH7" s="6"/>
      <c r="BI7" s="6" t="str">
        <f t="shared" si="1"/>
        <v>20V_Fold_Median</v>
      </c>
      <c r="BJ7" s="6" t="str">
        <f t="shared" si="2"/>
        <v>5BN_Fold_Median</v>
      </c>
      <c r="BK7" s="6" t="str">
        <f t="shared" si="3"/>
        <v>20B_Fold_Median</v>
      </c>
      <c r="BL7" s="6"/>
      <c r="BN7" s="6">
        <f>COUNTIF(B3:B100,"&lt;=2")</f>
        <v>38</v>
      </c>
      <c r="BO7" s="6">
        <f>COUNTIFS(B3:B100,"&gt;=3",B3:B100,"&lt;=5")</f>
        <v>32</v>
      </c>
      <c r="BP7" s="6">
        <f>COUNTIFS(B3:B100,"&gt;5",B3:B100,"&lt;=10")</f>
        <v>16</v>
      </c>
      <c r="BQ7" s="6">
        <f>COUNTIFS(B3:B100,"&gt;10",B3:B100,"&lt;30")</f>
        <v>5</v>
      </c>
      <c r="BR7" s="6">
        <f>COUNTIF(B3:B100,"&gt;=30")</f>
        <v>7</v>
      </c>
      <c r="BS7" s="6"/>
      <c r="BT7" s="6"/>
      <c r="BW7" s="27" t="s">
        <v>243</v>
      </c>
      <c r="BX7" s="28"/>
      <c r="BY7" s="28"/>
      <c r="BZ7" s="27" t="s">
        <v>244</v>
      </c>
      <c r="CA7" s="28"/>
      <c r="CB7" s="28"/>
      <c r="CC7" s="27" t="s">
        <v>245</v>
      </c>
      <c r="CD7" s="28"/>
      <c r="CE7" s="28"/>
      <c r="CF7" s="6" t="s">
        <v>246</v>
      </c>
      <c r="CG7" s="6"/>
      <c r="CH7" s="6"/>
      <c r="CI7" s="27" t="s">
        <v>247</v>
      </c>
      <c r="CJ7" s="28"/>
      <c r="CK7" s="28"/>
      <c r="CL7" s="6"/>
    </row>
    <row r="8" ht="15.75" customHeight="1">
      <c r="A8" s="1" t="s">
        <v>97</v>
      </c>
      <c r="B8" s="17">
        <v>2.0</v>
      </c>
      <c r="C8" s="9" t="s">
        <v>85</v>
      </c>
      <c r="D8" s="9">
        <v>0.7</v>
      </c>
      <c r="E8" s="9" t="s">
        <v>85</v>
      </c>
      <c r="F8" s="9" t="s">
        <v>85</v>
      </c>
      <c r="G8" s="30">
        <v>0.600000024</v>
      </c>
      <c r="H8" s="9" t="s">
        <v>85</v>
      </c>
      <c r="I8" s="9" t="s">
        <v>85</v>
      </c>
      <c r="J8" s="9">
        <v>0.8</v>
      </c>
      <c r="K8" s="9" t="s">
        <v>85</v>
      </c>
      <c r="L8" s="9" t="s">
        <v>85</v>
      </c>
      <c r="M8" s="9">
        <v>0.7</v>
      </c>
      <c r="N8" s="9" t="s">
        <v>85</v>
      </c>
      <c r="O8" s="9" t="s">
        <v>85</v>
      </c>
      <c r="P8" s="9">
        <v>0.55</v>
      </c>
      <c r="Q8" s="9" t="s">
        <v>85</v>
      </c>
      <c r="R8" s="9" t="s">
        <v>85</v>
      </c>
      <c r="S8" s="9">
        <v>0.55</v>
      </c>
      <c r="T8" s="9" t="s">
        <v>85</v>
      </c>
      <c r="U8" s="9" t="s">
        <v>85</v>
      </c>
      <c r="V8" s="9">
        <v>0.7</v>
      </c>
      <c r="W8" s="9" t="s">
        <v>85</v>
      </c>
      <c r="X8" s="9" t="s">
        <v>85</v>
      </c>
      <c r="Y8" s="9">
        <v>0.7</v>
      </c>
      <c r="Z8" s="9" t="s">
        <v>85</v>
      </c>
      <c r="AA8" s="9" t="s">
        <v>85</v>
      </c>
      <c r="AB8" s="30">
        <v>0.7</v>
      </c>
      <c r="AC8" s="9" t="s">
        <v>85</v>
      </c>
      <c r="AD8" s="9" t="s">
        <v>85</v>
      </c>
      <c r="AE8" s="30">
        <v>0.75</v>
      </c>
      <c r="AF8" s="9" t="s">
        <v>85</v>
      </c>
      <c r="AG8" s="9" t="s">
        <v>85</v>
      </c>
      <c r="AH8" s="9">
        <v>0.85</v>
      </c>
      <c r="AI8" s="9" t="s">
        <v>85</v>
      </c>
      <c r="AJ8" s="9" t="s">
        <v>85</v>
      </c>
      <c r="AK8" s="9">
        <v>0.8</v>
      </c>
      <c r="AL8" s="9" t="s">
        <v>85</v>
      </c>
      <c r="AM8" s="9" t="s">
        <v>85</v>
      </c>
      <c r="AN8" s="9">
        <v>0.6</v>
      </c>
      <c r="AO8" s="9" t="s">
        <v>85</v>
      </c>
      <c r="AP8" s="9" t="s">
        <v>85</v>
      </c>
      <c r="AQ8" s="30">
        <v>0.65</v>
      </c>
      <c r="AR8" s="9" t="s">
        <v>85</v>
      </c>
      <c r="AS8" s="9" t="s">
        <v>85</v>
      </c>
      <c r="AT8" s="9">
        <v>0.7</v>
      </c>
      <c r="AU8" s="9" t="s">
        <v>85</v>
      </c>
      <c r="AV8" s="9" t="s">
        <v>85</v>
      </c>
      <c r="AW8" s="9">
        <v>0.7</v>
      </c>
      <c r="AX8" s="9" t="s">
        <v>85</v>
      </c>
      <c r="AY8" s="9" t="s">
        <v>85</v>
      </c>
      <c r="AZ8" s="9">
        <v>0.65</v>
      </c>
      <c r="BA8" s="9" t="s">
        <v>85</v>
      </c>
      <c r="BB8" s="9" t="s">
        <v>85</v>
      </c>
      <c r="BC8" s="30">
        <v>0.65</v>
      </c>
      <c r="BD8" s="9" t="s">
        <v>85</v>
      </c>
      <c r="BE8" s="9" t="s">
        <v>85</v>
      </c>
      <c r="BF8" s="9">
        <v>0.55</v>
      </c>
      <c r="BG8" s="9" t="s">
        <v>85</v>
      </c>
      <c r="BH8" s="6"/>
      <c r="BI8" s="6" t="str">
        <f t="shared" si="1"/>
        <v>10V_Fold_Median</v>
      </c>
      <c r="BJ8" s="6" t="str">
        <f t="shared" si="2"/>
        <v>5V_Fold_Median</v>
      </c>
      <c r="BK8" s="6" t="str">
        <f t="shared" si="3"/>
        <v>5V_Fold_Median</v>
      </c>
      <c r="BL8" s="6"/>
      <c r="BM8" s="6"/>
      <c r="BN8" s="6" t="s">
        <v>237</v>
      </c>
      <c r="BO8" s="6" t="s">
        <v>238</v>
      </c>
      <c r="BP8" s="6" t="s">
        <v>239</v>
      </c>
      <c r="BQ8" s="6" t="s">
        <v>240</v>
      </c>
      <c r="BR8" s="6" t="s">
        <v>241</v>
      </c>
      <c r="BS8" s="6"/>
      <c r="BT8" s="6"/>
      <c r="BU8" s="6"/>
      <c r="BV8" s="6"/>
      <c r="BW8" s="6" t="s">
        <v>226</v>
      </c>
      <c r="BX8" s="6" t="s">
        <v>227</v>
      </c>
      <c r="BY8" s="6" t="s">
        <v>20</v>
      </c>
      <c r="BZ8" s="6" t="s">
        <v>226</v>
      </c>
      <c r="CA8" s="6" t="s">
        <v>227</v>
      </c>
      <c r="CB8" s="6" t="s">
        <v>20</v>
      </c>
      <c r="CC8" s="6" t="s">
        <v>226</v>
      </c>
      <c r="CD8" s="6" t="s">
        <v>227</v>
      </c>
      <c r="CE8" s="6" t="s">
        <v>20</v>
      </c>
      <c r="CF8" s="6" t="s">
        <v>226</v>
      </c>
      <c r="CG8" s="6" t="s">
        <v>227</v>
      </c>
      <c r="CH8" s="6" t="s">
        <v>20</v>
      </c>
      <c r="CI8" s="6" t="s">
        <v>226</v>
      </c>
      <c r="CJ8" s="6" t="s">
        <v>227</v>
      </c>
      <c r="CK8" s="6" t="s">
        <v>20</v>
      </c>
      <c r="CL8" s="6"/>
    </row>
    <row r="9" ht="15.75" customHeight="1">
      <c r="A9" s="1" t="s">
        <v>98</v>
      </c>
      <c r="B9" s="17">
        <v>3.0</v>
      </c>
      <c r="C9" s="9" t="s">
        <v>85</v>
      </c>
      <c r="D9" s="9">
        <v>0.886667</v>
      </c>
      <c r="E9" s="9" t="s">
        <v>85</v>
      </c>
      <c r="F9" s="9" t="s">
        <v>85</v>
      </c>
      <c r="G9" s="30">
        <v>0.886666656</v>
      </c>
      <c r="H9" s="9" t="s">
        <v>85</v>
      </c>
      <c r="I9" s="9" t="s">
        <v>85</v>
      </c>
      <c r="J9" s="9">
        <v>0.953333</v>
      </c>
      <c r="K9" s="9" t="s">
        <v>85</v>
      </c>
      <c r="L9" s="9" t="s">
        <v>85</v>
      </c>
      <c r="M9" s="9">
        <v>0.96</v>
      </c>
      <c r="N9" s="9" t="s">
        <v>85</v>
      </c>
      <c r="O9" s="9" t="s">
        <v>85</v>
      </c>
      <c r="P9" s="9">
        <v>0.88</v>
      </c>
      <c r="Q9" s="9" t="s">
        <v>85</v>
      </c>
      <c r="R9" s="9" t="s">
        <v>85</v>
      </c>
      <c r="S9" s="9">
        <v>0.9</v>
      </c>
      <c r="T9" s="9" t="s">
        <v>85</v>
      </c>
      <c r="U9" s="9" t="s">
        <v>85</v>
      </c>
      <c r="V9" s="9">
        <v>0.92</v>
      </c>
      <c r="W9" s="9" t="s">
        <v>85</v>
      </c>
      <c r="X9" s="9" t="s">
        <v>85</v>
      </c>
      <c r="Y9" s="9">
        <v>0.953333</v>
      </c>
      <c r="Z9" s="9" t="s">
        <v>85</v>
      </c>
      <c r="AA9" s="9" t="s">
        <v>85</v>
      </c>
      <c r="AB9" s="30">
        <v>0.886667</v>
      </c>
      <c r="AC9" s="9" t="s">
        <v>85</v>
      </c>
      <c r="AD9" s="9" t="s">
        <v>85</v>
      </c>
      <c r="AE9" s="30">
        <v>0.893333</v>
      </c>
      <c r="AF9" s="9" t="s">
        <v>85</v>
      </c>
      <c r="AG9" s="9" t="s">
        <v>85</v>
      </c>
      <c r="AH9" s="9">
        <v>0.933333</v>
      </c>
      <c r="AI9" s="9" t="s">
        <v>85</v>
      </c>
      <c r="AJ9" s="9" t="s">
        <v>85</v>
      </c>
      <c r="AK9" s="9">
        <v>0.92</v>
      </c>
      <c r="AL9" s="9" t="s">
        <v>85</v>
      </c>
      <c r="AM9" s="9" t="s">
        <v>85</v>
      </c>
      <c r="AN9" s="9">
        <v>0.873333</v>
      </c>
      <c r="AO9" s="9" t="s">
        <v>85</v>
      </c>
      <c r="AP9" s="9" t="s">
        <v>85</v>
      </c>
      <c r="AQ9" s="30">
        <v>0.893333</v>
      </c>
      <c r="AR9" s="9" t="s">
        <v>85</v>
      </c>
      <c r="AS9" s="9" t="s">
        <v>85</v>
      </c>
      <c r="AT9" s="9">
        <v>0.866667</v>
      </c>
      <c r="AU9" s="9" t="s">
        <v>85</v>
      </c>
      <c r="AV9" s="9" t="s">
        <v>85</v>
      </c>
      <c r="AW9" s="9">
        <v>0.906667</v>
      </c>
      <c r="AX9" s="9" t="s">
        <v>85</v>
      </c>
      <c r="AY9" s="9" t="s">
        <v>85</v>
      </c>
      <c r="AZ9" s="9">
        <v>0.833333</v>
      </c>
      <c r="BA9" s="9" t="s">
        <v>85</v>
      </c>
      <c r="BB9" s="9" t="s">
        <v>85</v>
      </c>
      <c r="BC9" s="30">
        <v>0.926667</v>
      </c>
      <c r="BD9" s="9" t="s">
        <v>85</v>
      </c>
      <c r="BE9" s="9" t="s">
        <v>85</v>
      </c>
      <c r="BF9" s="9">
        <v>0.986667</v>
      </c>
      <c r="BG9" s="9" t="s">
        <v>85</v>
      </c>
      <c r="BH9" s="6"/>
      <c r="BI9" s="6" t="str">
        <f t="shared" si="1"/>
        <v>De_Fold_Median</v>
      </c>
      <c r="BJ9" s="6" t="str">
        <f t="shared" si="2"/>
        <v>5VB_Fold_Median</v>
      </c>
      <c r="BK9" s="6" t="str">
        <f t="shared" si="3"/>
        <v>5V_Fold_Median</v>
      </c>
      <c r="BL9" s="6"/>
      <c r="BM9" s="6" t="s">
        <v>226</v>
      </c>
      <c r="BN9" s="18">
        <f t="shared" ref="BN9:BR9" si="4">MINUS(BN7,SUM(BN10,BN11))</f>
        <v>18</v>
      </c>
      <c r="BO9" s="18">
        <f t="shared" si="4"/>
        <v>10</v>
      </c>
      <c r="BP9" s="18">
        <f t="shared" si="4"/>
        <v>6</v>
      </c>
      <c r="BQ9" s="18">
        <f t="shared" si="4"/>
        <v>4</v>
      </c>
      <c r="BR9" s="18">
        <f t="shared" si="4"/>
        <v>4</v>
      </c>
      <c r="BS9" s="6">
        <f t="shared" ref="BS9:BS11" si="5">SUM(BN9:BR9)</f>
        <v>42</v>
      </c>
      <c r="BT9" s="6"/>
      <c r="BU9" s="26" t="s">
        <v>249</v>
      </c>
      <c r="BV9" s="6" t="s">
        <v>255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6"/>
    </row>
    <row r="10" ht="15.75" customHeight="1">
      <c r="A10" s="1" t="s">
        <v>99</v>
      </c>
      <c r="B10" s="17">
        <v>4.0</v>
      </c>
      <c r="C10" s="9" t="s">
        <v>85</v>
      </c>
      <c r="D10" s="9">
        <v>0.55</v>
      </c>
      <c r="E10" s="9" t="s">
        <v>85</v>
      </c>
      <c r="F10" s="9" t="s">
        <v>85</v>
      </c>
      <c r="G10" s="30">
        <v>0.566666663</v>
      </c>
      <c r="H10" s="9" t="s">
        <v>85</v>
      </c>
      <c r="I10" s="9" t="s">
        <v>85</v>
      </c>
      <c r="J10" s="9">
        <v>0.683333</v>
      </c>
      <c r="K10" s="9" t="s">
        <v>85</v>
      </c>
      <c r="L10" s="9" t="s">
        <v>85</v>
      </c>
      <c r="M10" s="9">
        <v>0.633333</v>
      </c>
      <c r="N10" s="9" t="s">
        <v>85</v>
      </c>
      <c r="O10" s="9" t="s">
        <v>85</v>
      </c>
      <c r="P10" s="9">
        <v>0.55</v>
      </c>
      <c r="Q10" s="9" t="s">
        <v>85</v>
      </c>
      <c r="R10" s="9" t="s">
        <v>85</v>
      </c>
      <c r="S10" s="9">
        <v>0.566667</v>
      </c>
      <c r="T10" s="9" t="s">
        <v>85</v>
      </c>
      <c r="U10" s="9" t="s">
        <v>85</v>
      </c>
      <c r="V10" s="9">
        <v>0.65</v>
      </c>
      <c r="W10" s="9" t="s">
        <v>85</v>
      </c>
      <c r="X10" s="9" t="s">
        <v>85</v>
      </c>
      <c r="Y10" s="9">
        <v>0.616667</v>
      </c>
      <c r="Z10" s="9" t="s">
        <v>85</v>
      </c>
      <c r="AA10" s="9" t="s">
        <v>85</v>
      </c>
      <c r="AB10" s="30">
        <v>0.583333</v>
      </c>
      <c r="AC10" s="9" t="s">
        <v>85</v>
      </c>
      <c r="AD10" s="9" t="s">
        <v>85</v>
      </c>
      <c r="AE10" s="30">
        <v>0.566667</v>
      </c>
      <c r="AF10" s="9" t="s">
        <v>85</v>
      </c>
      <c r="AG10" s="9" t="s">
        <v>85</v>
      </c>
      <c r="AH10" s="9">
        <v>0.633333</v>
      </c>
      <c r="AI10" s="9" t="s">
        <v>85</v>
      </c>
      <c r="AJ10" s="9" t="s">
        <v>85</v>
      </c>
      <c r="AK10" s="9">
        <v>0.666667</v>
      </c>
      <c r="AL10" s="9" t="s">
        <v>85</v>
      </c>
      <c r="AM10" s="9" t="s">
        <v>85</v>
      </c>
      <c r="AN10" s="9">
        <v>0.633333</v>
      </c>
      <c r="AO10" s="9" t="s">
        <v>85</v>
      </c>
      <c r="AP10" s="9" t="s">
        <v>85</v>
      </c>
      <c r="AQ10" s="30">
        <v>0.6</v>
      </c>
      <c r="AR10" s="9" t="s">
        <v>85</v>
      </c>
      <c r="AS10" s="9" t="s">
        <v>85</v>
      </c>
      <c r="AT10" s="9">
        <v>0.633333</v>
      </c>
      <c r="AU10" s="9" t="s">
        <v>85</v>
      </c>
      <c r="AV10" s="9" t="s">
        <v>85</v>
      </c>
      <c r="AW10" s="9">
        <v>0.7</v>
      </c>
      <c r="AX10" s="9" t="s">
        <v>85</v>
      </c>
      <c r="AY10" s="9" t="s">
        <v>85</v>
      </c>
      <c r="AZ10" s="9">
        <v>0.6</v>
      </c>
      <c r="BA10" s="9" t="s">
        <v>85</v>
      </c>
      <c r="BB10" s="9" t="s">
        <v>85</v>
      </c>
      <c r="BC10" s="30">
        <v>0.666667</v>
      </c>
      <c r="BD10" s="9" t="s">
        <v>85</v>
      </c>
      <c r="BE10" s="9" t="s">
        <v>85</v>
      </c>
      <c r="BF10" s="9">
        <v>0.566667</v>
      </c>
      <c r="BG10" s="9" t="s">
        <v>85</v>
      </c>
      <c r="BH10" s="6"/>
      <c r="BI10" s="6" t="str">
        <f t="shared" si="1"/>
        <v>12VB_Fold_Median</v>
      </c>
      <c r="BJ10" s="6" t="str">
        <f t="shared" si="2"/>
        <v>5V_Fold_Median</v>
      </c>
      <c r="BK10" s="6" t="str">
        <f t="shared" si="3"/>
        <v>10VB_Fold_Median</v>
      </c>
      <c r="BL10" s="6"/>
      <c r="BM10" s="6" t="s">
        <v>227</v>
      </c>
      <c r="BN10" s="18">
        <f>COUNTIFS(BI3:BI100,"*V*",B3:B100,"&lt;=2")</f>
        <v>14</v>
      </c>
      <c r="BO10" s="19">
        <f>COUNTIFS(BI3:BI100,"*V*",B3:B100,"&gt;=3",B3:B100,"&lt;=5")</f>
        <v>16</v>
      </c>
      <c r="BP10" s="18">
        <f>COUNTIFS(BI3:BI100,"*V*",B3:B100,"&gt;5",B3:B100,"&lt;=10")</f>
        <v>8</v>
      </c>
      <c r="BQ10" s="18">
        <f>COUNTIFS(BI3:BI100,"*V*",B3:B100,"&gt;10",B3:B100,"&lt;30")</f>
        <v>0</v>
      </c>
      <c r="BR10" s="18">
        <f>COUNTIFS(BI3:BI100,"*V*",B3:B100,"&gt;=30")</f>
        <v>3</v>
      </c>
      <c r="BS10" s="6">
        <f t="shared" si="5"/>
        <v>41</v>
      </c>
      <c r="BT10" s="6"/>
      <c r="BU10" s="6"/>
      <c r="BV10" s="6" t="s">
        <v>256</v>
      </c>
      <c r="BW10" s="18"/>
      <c r="BX10" s="18"/>
      <c r="BY10" s="18"/>
      <c r="BZ10" s="19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6"/>
    </row>
    <row r="11" ht="15.75" customHeight="1">
      <c r="A11" s="1" t="s">
        <v>101</v>
      </c>
      <c r="B11" s="17">
        <v>3.0</v>
      </c>
      <c r="C11" s="9" t="s">
        <v>85</v>
      </c>
      <c r="D11" s="9">
        <v>0.941111</v>
      </c>
      <c r="E11" s="9" t="s">
        <v>85</v>
      </c>
      <c r="F11" s="9" t="s">
        <v>85</v>
      </c>
      <c r="G11" s="30">
        <v>0.930000007</v>
      </c>
      <c r="H11" s="9" t="s">
        <v>85</v>
      </c>
      <c r="I11" s="9" t="s">
        <v>85</v>
      </c>
      <c r="J11" s="9">
        <v>0.958889</v>
      </c>
      <c r="K11" s="9" t="s">
        <v>85</v>
      </c>
      <c r="L11" s="9" t="s">
        <v>85</v>
      </c>
      <c r="M11" s="9">
        <v>0.967778</v>
      </c>
      <c r="N11" s="9" t="s">
        <v>85</v>
      </c>
      <c r="O11" s="9" t="s">
        <v>85</v>
      </c>
      <c r="P11" s="9">
        <v>0.916667</v>
      </c>
      <c r="Q11" s="9" t="s">
        <v>85</v>
      </c>
      <c r="R11" s="9" t="s">
        <v>85</v>
      </c>
      <c r="S11" s="9">
        <v>0.935556</v>
      </c>
      <c r="T11" s="9" t="s">
        <v>85</v>
      </c>
      <c r="U11" s="9" t="s">
        <v>85</v>
      </c>
      <c r="V11" s="9">
        <v>0.944444</v>
      </c>
      <c r="W11" s="9" t="s">
        <v>85</v>
      </c>
      <c r="X11" s="9" t="s">
        <v>85</v>
      </c>
      <c r="Y11" s="9">
        <v>0.932222</v>
      </c>
      <c r="Z11" s="9" t="s">
        <v>85</v>
      </c>
      <c r="AA11" s="9" t="s">
        <v>85</v>
      </c>
      <c r="AB11" s="30">
        <v>0.95</v>
      </c>
      <c r="AC11" s="9" t="s">
        <v>85</v>
      </c>
      <c r="AD11" s="9" t="s">
        <v>85</v>
      </c>
      <c r="AE11" s="30">
        <v>0.958889</v>
      </c>
      <c r="AF11" s="9" t="s">
        <v>85</v>
      </c>
      <c r="AG11" s="9" t="s">
        <v>85</v>
      </c>
      <c r="AH11" s="9">
        <v>0.964444</v>
      </c>
      <c r="AI11" s="9" t="s">
        <v>85</v>
      </c>
      <c r="AJ11" s="9" t="s">
        <v>85</v>
      </c>
      <c r="AK11" s="9">
        <v>0.97</v>
      </c>
      <c r="AL11" s="9" t="s">
        <v>85</v>
      </c>
      <c r="AM11" s="9" t="s">
        <v>85</v>
      </c>
      <c r="AN11" s="9">
        <v>0.948889</v>
      </c>
      <c r="AO11" s="9" t="s">
        <v>85</v>
      </c>
      <c r="AP11" s="9" t="s">
        <v>85</v>
      </c>
      <c r="AQ11" s="30" t="s">
        <v>85</v>
      </c>
      <c r="AR11" s="9" t="s">
        <v>85</v>
      </c>
      <c r="AS11" s="9" t="s">
        <v>85</v>
      </c>
      <c r="AT11" s="9">
        <v>0.902222</v>
      </c>
      <c r="AU11" s="9" t="s">
        <v>85</v>
      </c>
      <c r="AV11" s="9" t="s">
        <v>85</v>
      </c>
      <c r="AW11" s="9">
        <v>0.938889</v>
      </c>
      <c r="AX11" s="9" t="s">
        <v>85</v>
      </c>
      <c r="AY11" s="9" t="s">
        <v>85</v>
      </c>
      <c r="AZ11" s="9">
        <v>0.961111</v>
      </c>
      <c r="BA11" s="9" t="s">
        <v>85</v>
      </c>
      <c r="BB11" s="9" t="s">
        <v>85</v>
      </c>
      <c r="BC11" s="30">
        <v>0.921111</v>
      </c>
      <c r="BD11" s="9" t="s">
        <v>85</v>
      </c>
      <c r="BE11" s="9" t="s">
        <v>85</v>
      </c>
      <c r="BF11" s="9">
        <v>0.856667</v>
      </c>
      <c r="BG11" s="9" t="s">
        <v>85</v>
      </c>
      <c r="BH11" s="6"/>
      <c r="BI11" s="6" t="str">
        <f t="shared" si="1"/>
        <v>10VB_Fold_Median</v>
      </c>
      <c r="BJ11" s="6" t="str">
        <f t="shared" si="2"/>
        <v>5VB_Fold_Median</v>
      </c>
      <c r="BK11" s="6" t="str">
        <f t="shared" si="3"/>
        <v>10V_Fold_Median</v>
      </c>
      <c r="BL11" s="6"/>
      <c r="BM11" s="6" t="s">
        <v>20</v>
      </c>
      <c r="BN11" s="18">
        <f>COUNTIFS(BI3:BI100,"*De*",B3:B100,"&lt;=2")</f>
        <v>6</v>
      </c>
      <c r="BO11" s="19">
        <f>COUNTIFS(BI3:BI100,"*De*",B3:B100,"&gt;=3",B3:B100,"&lt;=5")</f>
        <v>6</v>
      </c>
      <c r="BP11" s="18">
        <f>COUNTIFS(BI3:BI100,"*De*",B3:B100,"&gt;5",B3:B100,"&lt;=10")</f>
        <v>2</v>
      </c>
      <c r="BQ11" s="18">
        <f>COUNTIFS(BI3:BI100,"*De*",B3:B100,"&gt;10",B3:B100,"&lt;30")</f>
        <v>1</v>
      </c>
      <c r="BR11" s="18">
        <f>COUNTIFS(BI3:BI100,"*De*",B3:B100,"&gt;=30")</f>
        <v>0</v>
      </c>
      <c r="BS11" s="6">
        <f t="shared" si="5"/>
        <v>15</v>
      </c>
      <c r="BT11" s="6"/>
      <c r="BU11" s="6"/>
      <c r="BV11" s="6" t="s">
        <v>257</v>
      </c>
      <c r="BW11" s="18"/>
      <c r="BX11" s="18"/>
      <c r="BY11" s="18"/>
      <c r="BZ11" s="19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6"/>
    </row>
    <row r="12" ht="15.75" customHeight="1">
      <c r="A12" s="1" t="s">
        <v>103</v>
      </c>
      <c r="B12" s="17">
        <v>2.0</v>
      </c>
      <c r="C12" s="9" t="s">
        <v>85</v>
      </c>
      <c r="D12" s="9">
        <v>0.965015</v>
      </c>
      <c r="E12" s="9" t="s">
        <v>85</v>
      </c>
      <c r="F12" s="9" t="s">
        <v>85</v>
      </c>
      <c r="G12" s="30">
        <v>0.965014577</v>
      </c>
      <c r="H12" s="9" t="s">
        <v>85</v>
      </c>
      <c r="I12" s="9" t="s">
        <v>85</v>
      </c>
      <c r="J12" s="9">
        <v>0.959184</v>
      </c>
      <c r="K12" s="9" t="s">
        <v>85</v>
      </c>
      <c r="L12" s="9" t="s">
        <v>85</v>
      </c>
      <c r="M12" s="9">
        <v>0.965015</v>
      </c>
      <c r="N12" s="9" t="s">
        <v>85</v>
      </c>
      <c r="O12" s="9" t="s">
        <v>85</v>
      </c>
      <c r="P12" s="9">
        <v>0.96793</v>
      </c>
      <c r="Q12" s="9" t="s">
        <v>85</v>
      </c>
      <c r="R12" s="9" t="s">
        <v>85</v>
      </c>
      <c r="S12" s="9">
        <v>0.976676</v>
      </c>
      <c r="T12" s="9" t="s">
        <v>85</v>
      </c>
      <c r="U12" s="9" t="s">
        <v>85</v>
      </c>
      <c r="V12" s="9">
        <v>0.953353</v>
      </c>
      <c r="W12" s="9" t="s">
        <v>85</v>
      </c>
      <c r="X12" s="9" t="s">
        <v>85</v>
      </c>
      <c r="Y12" s="9">
        <v>0.953353</v>
      </c>
      <c r="Z12" s="9" t="s">
        <v>85</v>
      </c>
      <c r="AA12" s="9" t="s">
        <v>85</v>
      </c>
      <c r="AB12" s="30">
        <v>0.970845</v>
      </c>
      <c r="AC12" s="9" t="s">
        <v>85</v>
      </c>
      <c r="AD12" s="9" t="s">
        <v>85</v>
      </c>
      <c r="AE12" s="30">
        <v>0.973761</v>
      </c>
      <c r="AF12" s="9" t="s">
        <v>85</v>
      </c>
      <c r="AG12" s="9" t="s">
        <v>85</v>
      </c>
      <c r="AH12" s="9">
        <v>0.938776</v>
      </c>
      <c r="AI12" s="9" t="s">
        <v>85</v>
      </c>
      <c r="AJ12" s="9" t="s">
        <v>85</v>
      </c>
      <c r="AK12" s="9">
        <v>0.941691</v>
      </c>
      <c r="AL12" s="9" t="s">
        <v>85</v>
      </c>
      <c r="AM12" s="9" t="s">
        <v>85</v>
      </c>
      <c r="AN12" s="9">
        <v>0.973761</v>
      </c>
      <c r="AO12" s="9" t="s">
        <v>85</v>
      </c>
      <c r="AP12" s="9" t="s">
        <v>85</v>
      </c>
      <c r="AQ12" s="30">
        <v>0.959184</v>
      </c>
      <c r="AR12" s="9" t="s">
        <v>85</v>
      </c>
      <c r="AS12" s="9" t="s">
        <v>85</v>
      </c>
      <c r="AT12" s="9">
        <v>0.941691</v>
      </c>
      <c r="AU12" s="9" t="s">
        <v>85</v>
      </c>
      <c r="AV12" s="9" t="s">
        <v>85</v>
      </c>
      <c r="AW12" s="9">
        <v>0.941691</v>
      </c>
      <c r="AX12" s="9" t="s">
        <v>85</v>
      </c>
      <c r="AY12" s="9" t="s">
        <v>85</v>
      </c>
      <c r="AZ12" s="9">
        <v>0.895044</v>
      </c>
      <c r="BA12" s="9" t="s">
        <v>85</v>
      </c>
      <c r="BB12" s="9" t="s">
        <v>85</v>
      </c>
      <c r="BC12" s="30">
        <v>0.944606</v>
      </c>
      <c r="BD12" s="9" t="s">
        <v>85</v>
      </c>
      <c r="BE12" s="9" t="s">
        <v>85</v>
      </c>
      <c r="BF12" s="9">
        <v>0.44898</v>
      </c>
      <c r="BG12" s="9" t="s">
        <v>85</v>
      </c>
      <c r="BH12" s="6"/>
      <c r="BI12" s="6" t="str">
        <f t="shared" si="1"/>
        <v>8BN_Fold_Median</v>
      </c>
      <c r="BJ12" s="6" t="str">
        <f t="shared" si="2"/>
        <v>10BN_Fold_Median</v>
      </c>
      <c r="BK12" s="6" t="str">
        <f t="shared" si="3"/>
        <v>10BN_Fold_Median</v>
      </c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 t="s">
        <v>258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6"/>
    </row>
    <row r="13" ht="15.75" customHeight="1">
      <c r="A13" s="1" t="s">
        <v>105</v>
      </c>
      <c r="B13" s="17">
        <v>3.0</v>
      </c>
      <c r="C13" s="9" t="s">
        <v>85</v>
      </c>
      <c r="D13" s="9">
        <v>0.532552</v>
      </c>
      <c r="E13" s="9" t="s">
        <v>85</v>
      </c>
      <c r="F13" s="9" t="s">
        <v>85</v>
      </c>
      <c r="G13" s="30">
        <v>0.540624976</v>
      </c>
      <c r="H13" s="9" t="s">
        <v>85</v>
      </c>
      <c r="I13" s="9" t="s">
        <v>85</v>
      </c>
      <c r="J13" s="9">
        <v>0.532552</v>
      </c>
      <c r="K13" s="9" t="s">
        <v>85</v>
      </c>
      <c r="L13" s="9" t="s">
        <v>85</v>
      </c>
      <c r="M13" s="9">
        <v>0.532552</v>
      </c>
      <c r="N13" s="9" t="s">
        <v>85</v>
      </c>
      <c r="O13" s="9" t="s">
        <v>85</v>
      </c>
      <c r="P13" s="9">
        <v>0.532552</v>
      </c>
      <c r="Q13" s="9" t="s">
        <v>85</v>
      </c>
      <c r="R13" s="9" t="s">
        <v>85</v>
      </c>
      <c r="S13" s="9">
        <v>0.532552</v>
      </c>
      <c r="T13" s="9" t="s">
        <v>85</v>
      </c>
      <c r="U13" s="9" t="s">
        <v>85</v>
      </c>
      <c r="V13" s="9">
        <v>0.532552</v>
      </c>
      <c r="W13" s="9" t="s">
        <v>85</v>
      </c>
      <c r="X13" s="9" t="s">
        <v>85</v>
      </c>
      <c r="Y13" s="9">
        <v>0.532552</v>
      </c>
      <c r="Z13" s="9" t="s">
        <v>85</v>
      </c>
      <c r="AA13" s="9" t="s">
        <v>85</v>
      </c>
      <c r="AB13" s="30">
        <v>0.540104</v>
      </c>
      <c r="AC13" s="9" t="s">
        <v>85</v>
      </c>
      <c r="AD13" s="9" t="s">
        <v>85</v>
      </c>
      <c r="AE13" s="30">
        <v>0.532552</v>
      </c>
      <c r="AF13" s="9" t="s">
        <v>85</v>
      </c>
      <c r="AG13" s="9" t="s">
        <v>85</v>
      </c>
      <c r="AH13" s="9">
        <v>0.532552</v>
      </c>
      <c r="AI13" s="9" t="s">
        <v>85</v>
      </c>
      <c r="AJ13" s="9" t="s">
        <v>85</v>
      </c>
      <c r="AK13" s="9">
        <v>0.532552</v>
      </c>
      <c r="AL13" s="9" t="s">
        <v>85</v>
      </c>
      <c r="AM13" s="9" t="s">
        <v>85</v>
      </c>
      <c r="AN13" s="9">
        <v>0.571094</v>
      </c>
      <c r="AO13" s="9" t="s">
        <v>85</v>
      </c>
      <c r="AP13" s="9" t="s">
        <v>85</v>
      </c>
      <c r="AQ13" s="30">
        <v>0.569792</v>
      </c>
      <c r="AR13" s="9" t="s">
        <v>85</v>
      </c>
      <c r="AS13" s="9" t="s">
        <v>85</v>
      </c>
      <c r="AT13" s="9">
        <v>0.532552</v>
      </c>
      <c r="AU13" s="9" t="s">
        <v>85</v>
      </c>
      <c r="AV13" s="9" t="s">
        <v>85</v>
      </c>
      <c r="AW13" s="9">
        <v>0.532552</v>
      </c>
      <c r="AX13" s="9" t="s">
        <v>85</v>
      </c>
      <c r="AY13" s="9" t="s">
        <v>85</v>
      </c>
      <c r="AZ13" s="9">
        <v>0.580208</v>
      </c>
      <c r="BA13" s="9" t="s">
        <v>85</v>
      </c>
      <c r="BB13" s="9" t="s">
        <v>85</v>
      </c>
      <c r="BC13" s="30">
        <v>0.532552</v>
      </c>
      <c r="BD13" s="9" t="s">
        <v>85</v>
      </c>
      <c r="BE13" s="9" t="s">
        <v>85</v>
      </c>
      <c r="BF13" s="9">
        <v>0.558333</v>
      </c>
      <c r="BG13" s="9" t="s">
        <v>85</v>
      </c>
      <c r="BH13" s="6"/>
      <c r="BI13" s="6" t="str">
        <f t="shared" si="1"/>
        <v>20B_Fold_Median</v>
      </c>
      <c r="BJ13" s="6" t="str">
        <f t="shared" si="2"/>
        <v>12B_Fold_Median</v>
      </c>
      <c r="BK13" s="6" t="str">
        <f t="shared" si="3"/>
        <v>12BN_Fold_Median</v>
      </c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 t="s">
        <v>259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6"/>
    </row>
    <row r="14" ht="15.75" customHeight="1">
      <c r="A14" s="1" t="s">
        <v>107</v>
      </c>
      <c r="B14" s="17">
        <v>4.0</v>
      </c>
      <c r="C14" s="9" t="s">
        <v>85</v>
      </c>
      <c r="D14" s="9">
        <v>0.381159</v>
      </c>
      <c r="E14" s="9" t="s">
        <v>85</v>
      </c>
      <c r="F14" s="9" t="s">
        <v>85</v>
      </c>
      <c r="G14" s="30">
        <v>0.505072474</v>
      </c>
      <c r="H14" s="9" t="s">
        <v>85</v>
      </c>
      <c r="I14" s="9" t="s">
        <v>85</v>
      </c>
      <c r="J14" s="9">
        <v>0.403623</v>
      </c>
      <c r="K14" s="9" t="s">
        <v>85</v>
      </c>
      <c r="L14" s="9" t="s">
        <v>85</v>
      </c>
      <c r="M14" s="9">
        <v>0.32971</v>
      </c>
      <c r="N14" s="9" t="s">
        <v>85</v>
      </c>
      <c r="O14" s="9" t="s">
        <v>85</v>
      </c>
      <c r="P14" s="9">
        <v>0.597101</v>
      </c>
      <c r="Q14" s="9" t="s">
        <v>85</v>
      </c>
      <c r="R14" s="9" t="s">
        <v>85</v>
      </c>
      <c r="S14" s="9">
        <v>0.544928</v>
      </c>
      <c r="T14" s="9" t="s">
        <v>85</v>
      </c>
      <c r="U14" s="9" t="s">
        <v>85</v>
      </c>
      <c r="V14" s="9">
        <v>0.565942</v>
      </c>
      <c r="W14" s="9" t="s">
        <v>85</v>
      </c>
      <c r="X14" s="9" t="s">
        <v>85</v>
      </c>
      <c r="Y14" s="9">
        <v>0.578986</v>
      </c>
      <c r="Z14" s="9" t="s">
        <v>85</v>
      </c>
      <c r="AA14" s="9" t="s">
        <v>85</v>
      </c>
      <c r="AB14" s="30">
        <v>0.561594</v>
      </c>
      <c r="AC14" s="9" t="s">
        <v>85</v>
      </c>
      <c r="AD14" s="9" t="s">
        <v>85</v>
      </c>
      <c r="AE14" s="30">
        <v>0.601449</v>
      </c>
      <c r="AF14" s="9" t="s">
        <v>85</v>
      </c>
      <c r="AG14" s="9" t="s">
        <v>85</v>
      </c>
      <c r="AH14" s="9">
        <v>0.644203</v>
      </c>
      <c r="AI14" s="9" t="s">
        <v>85</v>
      </c>
      <c r="AJ14" s="9" t="s">
        <v>85</v>
      </c>
      <c r="AK14" s="9">
        <v>0.607971</v>
      </c>
      <c r="AL14" s="9" t="s">
        <v>85</v>
      </c>
      <c r="AM14" s="9" t="s">
        <v>85</v>
      </c>
      <c r="AN14" s="9">
        <v>0.619565</v>
      </c>
      <c r="AO14" s="9" t="s">
        <v>85</v>
      </c>
      <c r="AP14" s="9" t="s">
        <v>85</v>
      </c>
      <c r="AQ14" s="30">
        <v>0.605797</v>
      </c>
      <c r="AR14" s="9" t="s">
        <v>85</v>
      </c>
      <c r="AS14" s="9" t="s">
        <v>85</v>
      </c>
      <c r="AT14" s="9">
        <v>0.700725</v>
      </c>
      <c r="AU14" s="9" t="s">
        <v>85</v>
      </c>
      <c r="AV14" s="9" t="s">
        <v>85</v>
      </c>
      <c r="AW14" s="9">
        <v>0.693478</v>
      </c>
      <c r="AX14" s="9" t="s">
        <v>85</v>
      </c>
      <c r="AY14" s="9" t="s">
        <v>85</v>
      </c>
      <c r="AZ14" s="9">
        <v>0.743478</v>
      </c>
      <c r="BA14" s="9" t="s">
        <v>85</v>
      </c>
      <c r="BB14" s="9" t="s">
        <v>85</v>
      </c>
      <c r="BC14" s="30">
        <v>0.782609</v>
      </c>
      <c r="BD14" s="9" t="s">
        <v>85</v>
      </c>
      <c r="BE14" s="9" t="s">
        <v>85</v>
      </c>
      <c r="BF14" s="9">
        <v>0.284058</v>
      </c>
      <c r="BG14" s="9" t="s">
        <v>85</v>
      </c>
      <c r="BH14" s="6"/>
      <c r="BI14" s="6" t="str">
        <f t="shared" si="1"/>
        <v>20V_Fold_Median</v>
      </c>
      <c r="BJ14" s="6" t="str">
        <f t="shared" si="2"/>
        <v>20B_Fold_Median</v>
      </c>
      <c r="BK14" s="6" t="str">
        <f t="shared" si="3"/>
        <v>12V_Fold_Median</v>
      </c>
      <c r="BL14" s="6"/>
      <c r="BM14" s="6"/>
      <c r="BN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</row>
    <row r="15" ht="15.75" customHeight="1">
      <c r="A15" s="1" t="s">
        <v>109</v>
      </c>
      <c r="B15" s="17">
        <v>2.0</v>
      </c>
      <c r="C15" s="9" t="s">
        <v>85</v>
      </c>
      <c r="D15" s="9">
        <v>0.785714</v>
      </c>
      <c r="E15" s="9" t="s">
        <v>85</v>
      </c>
      <c r="F15" s="9" t="s">
        <v>85</v>
      </c>
      <c r="G15" s="30">
        <v>0.785714269</v>
      </c>
      <c r="H15" s="9" t="s">
        <v>85</v>
      </c>
      <c r="I15" s="9" t="s">
        <v>85</v>
      </c>
      <c r="J15" s="9">
        <v>0.821429</v>
      </c>
      <c r="K15" s="9" t="s">
        <v>85</v>
      </c>
      <c r="L15" s="9" t="s">
        <v>85</v>
      </c>
      <c r="M15" s="9">
        <v>0.75</v>
      </c>
      <c r="N15" s="9" t="s">
        <v>85</v>
      </c>
      <c r="O15" s="9" t="s">
        <v>85</v>
      </c>
      <c r="P15" s="9">
        <v>0.714286</v>
      </c>
      <c r="Q15" s="9" t="s">
        <v>85</v>
      </c>
      <c r="R15" s="9" t="s">
        <v>85</v>
      </c>
      <c r="S15" s="9">
        <v>0.75</v>
      </c>
      <c r="T15" s="9" t="s">
        <v>85</v>
      </c>
      <c r="U15" s="9" t="s">
        <v>85</v>
      </c>
      <c r="V15" s="9">
        <v>1.0</v>
      </c>
      <c r="W15" s="9" t="s">
        <v>85</v>
      </c>
      <c r="X15" s="9" t="s">
        <v>85</v>
      </c>
      <c r="Y15" s="9">
        <v>1.0</v>
      </c>
      <c r="Z15" s="9" t="s">
        <v>85</v>
      </c>
      <c r="AA15" s="9" t="s">
        <v>85</v>
      </c>
      <c r="AB15" s="30">
        <v>0.857143</v>
      </c>
      <c r="AC15" s="9" t="s">
        <v>85</v>
      </c>
      <c r="AD15" s="9" t="s">
        <v>85</v>
      </c>
      <c r="AE15" s="30">
        <v>0.892857</v>
      </c>
      <c r="AF15" s="9" t="s">
        <v>85</v>
      </c>
      <c r="AG15" s="9" t="s">
        <v>85</v>
      </c>
      <c r="AH15" s="9">
        <v>0.857143</v>
      </c>
      <c r="AI15" s="9" t="s">
        <v>85</v>
      </c>
      <c r="AJ15" s="9" t="s">
        <v>85</v>
      </c>
      <c r="AK15" s="9">
        <v>0.857143</v>
      </c>
      <c r="AL15" s="9" t="s">
        <v>85</v>
      </c>
      <c r="AM15" s="9" t="s">
        <v>85</v>
      </c>
      <c r="AN15" s="9">
        <v>0.892857</v>
      </c>
      <c r="AO15" s="9" t="s">
        <v>85</v>
      </c>
      <c r="AP15" s="9" t="s">
        <v>85</v>
      </c>
      <c r="AQ15" s="30">
        <v>0.928571</v>
      </c>
      <c r="AR15" s="9" t="s">
        <v>85</v>
      </c>
      <c r="AS15" s="9" t="s">
        <v>85</v>
      </c>
      <c r="AT15" s="9">
        <v>0.964286</v>
      </c>
      <c r="AU15" s="9" t="s">
        <v>85</v>
      </c>
      <c r="AV15" s="9" t="s">
        <v>85</v>
      </c>
      <c r="AW15" s="9">
        <v>0.928571</v>
      </c>
      <c r="AX15" s="9" t="s">
        <v>85</v>
      </c>
      <c r="AY15" s="9" t="s">
        <v>85</v>
      </c>
      <c r="AZ15" s="9">
        <v>0.928571</v>
      </c>
      <c r="BA15" s="9" t="s">
        <v>85</v>
      </c>
      <c r="BB15" s="9" t="s">
        <v>85</v>
      </c>
      <c r="BC15" s="30">
        <v>0.964286</v>
      </c>
      <c r="BD15" s="9" t="s">
        <v>85</v>
      </c>
      <c r="BE15" s="9" t="s">
        <v>85</v>
      </c>
      <c r="BF15" s="9">
        <v>0.642857</v>
      </c>
      <c r="BG15" s="9" t="s">
        <v>85</v>
      </c>
      <c r="BH15" s="6"/>
      <c r="BI15" s="6" t="str">
        <f t="shared" si="1"/>
        <v>8V_Fold_Median</v>
      </c>
      <c r="BJ15" s="6" t="str">
        <f t="shared" si="2"/>
        <v>8V_Fold_Median</v>
      </c>
      <c r="BK15" s="6" t="str">
        <f t="shared" si="3"/>
        <v>12V_Fold_Median</v>
      </c>
      <c r="BL15" s="6"/>
      <c r="BM15" s="1" t="s">
        <v>214</v>
      </c>
      <c r="BN15" s="6" t="s">
        <v>236</v>
      </c>
      <c r="BO15" s="6"/>
      <c r="BP15" s="6"/>
      <c r="BQ15" s="6"/>
      <c r="BR15" s="6"/>
      <c r="BS15" s="6"/>
      <c r="BT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</row>
    <row r="16" ht="15.75" customHeight="1">
      <c r="A16" s="1" t="s">
        <v>110</v>
      </c>
      <c r="B16" s="17">
        <v>2.0</v>
      </c>
      <c r="C16" s="9" t="s">
        <v>85</v>
      </c>
      <c r="D16" s="9">
        <v>0.812</v>
      </c>
      <c r="E16" s="9" t="s">
        <v>85</v>
      </c>
      <c r="F16" s="9" t="s">
        <v>85</v>
      </c>
      <c r="G16" s="30">
        <v>0.736000001</v>
      </c>
      <c r="H16" s="9" t="s">
        <v>85</v>
      </c>
      <c r="I16" s="9" t="s">
        <v>85</v>
      </c>
      <c r="J16" s="9">
        <v>0.672</v>
      </c>
      <c r="K16" s="9" t="s">
        <v>85</v>
      </c>
      <c r="L16" s="9" t="s">
        <v>85</v>
      </c>
      <c r="M16" s="9">
        <v>0.676</v>
      </c>
      <c r="N16" s="9" t="s">
        <v>85</v>
      </c>
      <c r="O16" s="9" t="s">
        <v>85</v>
      </c>
      <c r="P16" s="9">
        <v>0.808</v>
      </c>
      <c r="Q16" s="9" t="s">
        <v>85</v>
      </c>
      <c r="R16" s="9" t="s">
        <v>85</v>
      </c>
      <c r="S16" s="9">
        <v>0.816</v>
      </c>
      <c r="T16" s="9" t="s">
        <v>85</v>
      </c>
      <c r="U16" s="9" t="s">
        <v>85</v>
      </c>
      <c r="V16" s="9">
        <v>0.704</v>
      </c>
      <c r="W16" s="9" t="s">
        <v>85</v>
      </c>
      <c r="X16" s="9" t="s">
        <v>85</v>
      </c>
      <c r="Y16" s="9">
        <v>0.688</v>
      </c>
      <c r="Z16" s="9" t="s">
        <v>85</v>
      </c>
      <c r="AA16" s="9" t="s">
        <v>85</v>
      </c>
      <c r="AB16" s="30">
        <v>0.832</v>
      </c>
      <c r="AC16" s="9" t="s">
        <v>85</v>
      </c>
      <c r="AD16" s="9" t="s">
        <v>85</v>
      </c>
      <c r="AE16" s="30">
        <v>0.824</v>
      </c>
      <c r="AF16" s="9" t="s">
        <v>85</v>
      </c>
      <c r="AG16" s="9" t="s">
        <v>85</v>
      </c>
      <c r="AH16" s="9">
        <v>0.66</v>
      </c>
      <c r="AI16" s="9" t="s">
        <v>85</v>
      </c>
      <c r="AJ16" s="9" t="s">
        <v>85</v>
      </c>
      <c r="AK16" s="9">
        <v>0.656</v>
      </c>
      <c r="AL16" s="9" t="s">
        <v>85</v>
      </c>
      <c r="AM16" s="9" t="s">
        <v>85</v>
      </c>
      <c r="AN16" s="9">
        <v>0.812</v>
      </c>
      <c r="AO16" s="9" t="s">
        <v>85</v>
      </c>
      <c r="AP16" s="9" t="s">
        <v>85</v>
      </c>
      <c r="AQ16" s="30">
        <v>0.808</v>
      </c>
      <c r="AR16" s="9" t="s">
        <v>85</v>
      </c>
      <c r="AS16" s="9" t="s">
        <v>85</v>
      </c>
      <c r="AT16" s="9">
        <v>0.672</v>
      </c>
      <c r="AU16" s="9" t="s">
        <v>85</v>
      </c>
      <c r="AV16" s="9" t="s">
        <v>85</v>
      </c>
      <c r="AW16" s="9">
        <v>0.632</v>
      </c>
      <c r="AX16" s="9" t="s">
        <v>85</v>
      </c>
      <c r="AY16" s="9" t="s">
        <v>85</v>
      </c>
      <c r="AZ16" s="9">
        <v>0.792</v>
      </c>
      <c r="BA16" s="9" t="s">
        <v>85</v>
      </c>
      <c r="BB16" s="9" t="s">
        <v>85</v>
      </c>
      <c r="BC16" s="30">
        <v>0.68</v>
      </c>
      <c r="BD16" s="9" t="s">
        <v>85</v>
      </c>
      <c r="BE16" s="9" t="s">
        <v>85</v>
      </c>
      <c r="BF16" s="9">
        <v>0.588</v>
      </c>
      <c r="BG16" s="9" t="s">
        <v>85</v>
      </c>
      <c r="BH16" s="6"/>
      <c r="BI16" s="6" t="str">
        <f t="shared" si="1"/>
        <v>10B_Fold_Median</v>
      </c>
      <c r="BJ16" s="6" t="str">
        <f t="shared" si="2"/>
        <v>10BN_Fold_Median</v>
      </c>
      <c r="BK16" s="6" t="str">
        <f t="shared" si="3"/>
        <v>8BN_Fold_Median</v>
      </c>
      <c r="BL16" s="6"/>
      <c r="BN16" s="6" t="s">
        <v>243</v>
      </c>
      <c r="BO16" s="6" t="s">
        <v>244</v>
      </c>
      <c r="BP16" s="6" t="s">
        <v>245</v>
      </c>
      <c r="BQ16" s="6" t="s">
        <v>246</v>
      </c>
      <c r="BR16" s="6" t="s">
        <v>247</v>
      </c>
      <c r="BS16" s="6"/>
      <c r="BT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</row>
    <row r="17" ht="15.75" customHeight="1">
      <c r="A17" s="1" t="s">
        <v>111</v>
      </c>
      <c r="B17" s="17">
        <v>24.0</v>
      </c>
      <c r="C17" s="9" t="s">
        <v>85</v>
      </c>
      <c r="D17" s="9">
        <v>0.406548</v>
      </c>
      <c r="E17" s="9" t="s">
        <v>85</v>
      </c>
      <c r="F17" s="9" t="s">
        <v>85</v>
      </c>
      <c r="G17" s="30">
        <v>0.441726178</v>
      </c>
      <c r="H17" s="9" t="s">
        <v>85</v>
      </c>
      <c r="I17" s="9" t="s">
        <v>85</v>
      </c>
      <c r="J17" s="9">
        <v>0.399048</v>
      </c>
      <c r="K17" s="9" t="s">
        <v>85</v>
      </c>
      <c r="L17" s="9" t="s">
        <v>85</v>
      </c>
      <c r="M17" s="9">
        <v>0.451548</v>
      </c>
      <c r="N17" s="9" t="s">
        <v>85</v>
      </c>
      <c r="O17" s="9" t="s">
        <v>85</v>
      </c>
      <c r="P17" s="9">
        <v>0.43619</v>
      </c>
      <c r="Q17" s="9" t="s">
        <v>85</v>
      </c>
      <c r="R17" s="9" t="s">
        <v>85</v>
      </c>
      <c r="S17" s="9">
        <v>0.501071</v>
      </c>
      <c r="T17" s="9" t="s">
        <v>85</v>
      </c>
      <c r="U17" s="9" t="s">
        <v>85</v>
      </c>
      <c r="V17" s="9">
        <v>0.35625</v>
      </c>
      <c r="W17" s="9" t="s">
        <v>85</v>
      </c>
      <c r="X17" s="9" t="s">
        <v>85</v>
      </c>
      <c r="Y17" s="9">
        <v>0.4275</v>
      </c>
      <c r="Z17" s="9" t="s">
        <v>85</v>
      </c>
      <c r="AA17" s="9" t="s">
        <v>85</v>
      </c>
      <c r="AB17" s="30">
        <v>0.458274</v>
      </c>
      <c r="AC17" s="9" t="s">
        <v>85</v>
      </c>
      <c r="AD17" s="9" t="s">
        <v>85</v>
      </c>
      <c r="AE17" s="30">
        <v>0.431786</v>
      </c>
      <c r="AF17" s="9" t="s">
        <v>85</v>
      </c>
      <c r="AG17" s="9" t="s">
        <v>85</v>
      </c>
      <c r="AH17" s="9">
        <v>0.236786</v>
      </c>
      <c r="AI17" s="9" t="s">
        <v>85</v>
      </c>
      <c r="AJ17" s="9" t="s">
        <v>85</v>
      </c>
      <c r="AK17" s="9">
        <v>0.207679</v>
      </c>
      <c r="AL17" s="9" t="s">
        <v>85</v>
      </c>
      <c r="AM17" s="9" t="s">
        <v>85</v>
      </c>
      <c r="AN17" s="9">
        <v>0.496012</v>
      </c>
      <c r="AO17" s="9" t="s">
        <v>85</v>
      </c>
      <c r="AP17" s="9" t="s">
        <v>85</v>
      </c>
      <c r="AQ17" s="30">
        <v>0.504881</v>
      </c>
      <c r="AR17" s="9" t="s">
        <v>85</v>
      </c>
      <c r="AS17" s="9" t="s">
        <v>85</v>
      </c>
      <c r="AT17" s="9">
        <v>0.363512</v>
      </c>
      <c r="AU17" s="9" t="s">
        <v>85</v>
      </c>
      <c r="AV17" s="9" t="s">
        <v>85</v>
      </c>
      <c r="AW17" s="9">
        <v>0.317976</v>
      </c>
      <c r="AX17" s="9" t="s">
        <v>85</v>
      </c>
      <c r="AY17" s="9" t="s">
        <v>85</v>
      </c>
      <c r="AZ17" s="9">
        <v>0.425774</v>
      </c>
      <c r="BA17" s="9" t="s">
        <v>85</v>
      </c>
      <c r="BB17" s="9" t="s">
        <v>85</v>
      </c>
      <c r="BC17" s="30">
        <v>0.270179</v>
      </c>
      <c r="BD17" s="9" t="s">
        <v>85</v>
      </c>
      <c r="BE17" s="9" t="s">
        <v>85</v>
      </c>
      <c r="BF17" s="9">
        <v>0.645357</v>
      </c>
      <c r="BG17" s="9" t="s">
        <v>85</v>
      </c>
      <c r="BH17" s="6"/>
      <c r="BI17" s="6" t="str">
        <f t="shared" si="1"/>
        <v>De_Fold_Median</v>
      </c>
      <c r="BJ17" s="6" t="str">
        <f t="shared" si="2"/>
        <v>12BN_Fold_Median</v>
      </c>
      <c r="BK17" s="6" t="str">
        <f t="shared" si="3"/>
        <v>8BN_Fold_Median</v>
      </c>
      <c r="BL17" s="6"/>
      <c r="BM17" s="6"/>
      <c r="BN17" s="6">
        <f>COUNTIF(B3:B109,"&lt;=2")</f>
        <v>38</v>
      </c>
      <c r="BO17" s="6">
        <f>COUNTIFS(B3:B100,"&gt;=3",B3:B100,"&lt;=5")</f>
        <v>32</v>
      </c>
      <c r="BP17" s="6">
        <f>COUNTIFS(B3:B100,"&gt;5",B3:B100,"&lt;=10")</f>
        <v>16</v>
      </c>
      <c r="BQ17" s="6">
        <f>COUNTIFS(B3:B100,"&gt;10",B3:B100,"&lt;30")</f>
        <v>5</v>
      </c>
      <c r="BR17" s="6">
        <f>COUNTIF(B3:B109,"&gt;=30")</f>
        <v>7</v>
      </c>
      <c r="BS17" s="6"/>
      <c r="BT17" s="6"/>
      <c r="BU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</row>
    <row r="18" ht="15.75" customHeight="1">
      <c r="A18" s="1" t="s">
        <v>112</v>
      </c>
      <c r="B18" s="17">
        <v>4.0</v>
      </c>
      <c r="C18" s="9" t="s">
        <v>85</v>
      </c>
      <c r="D18" s="9">
        <v>0.882353</v>
      </c>
      <c r="E18" s="9" t="s">
        <v>85</v>
      </c>
      <c r="F18" s="9" t="s">
        <v>85</v>
      </c>
      <c r="G18" s="30">
        <v>0.879084945</v>
      </c>
      <c r="H18" s="9" t="s">
        <v>85</v>
      </c>
      <c r="I18" s="9" t="s">
        <v>85</v>
      </c>
      <c r="J18" s="9">
        <v>0.885621</v>
      </c>
      <c r="K18" s="9" t="s">
        <v>85</v>
      </c>
      <c r="L18" s="9" t="s">
        <v>85</v>
      </c>
      <c r="M18" s="9">
        <v>0.843137</v>
      </c>
      <c r="N18" s="9" t="s">
        <v>85</v>
      </c>
      <c r="O18" s="9" t="s">
        <v>85</v>
      </c>
      <c r="P18" s="9">
        <v>0.879085</v>
      </c>
      <c r="Q18" s="9" t="s">
        <v>85</v>
      </c>
      <c r="R18" s="9" t="s">
        <v>85</v>
      </c>
      <c r="S18" s="9">
        <v>0.892157</v>
      </c>
      <c r="T18" s="9" t="s">
        <v>85</v>
      </c>
      <c r="U18" s="9" t="s">
        <v>85</v>
      </c>
      <c r="V18" s="9">
        <v>0.892157</v>
      </c>
      <c r="W18" s="9" t="s">
        <v>85</v>
      </c>
      <c r="X18" s="9" t="s">
        <v>85</v>
      </c>
      <c r="Y18" s="9">
        <v>0.892157</v>
      </c>
      <c r="Z18" s="9" t="s">
        <v>85</v>
      </c>
      <c r="AA18" s="9" t="s">
        <v>85</v>
      </c>
      <c r="AB18" s="30">
        <v>0.888889</v>
      </c>
      <c r="AC18" s="9" t="s">
        <v>85</v>
      </c>
      <c r="AD18" s="9" t="s">
        <v>85</v>
      </c>
      <c r="AE18" s="30">
        <v>0.882353</v>
      </c>
      <c r="AF18" s="9" t="s">
        <v>85</v>
      </c>
      <c r="AG18" s="9" t="s">
        <v>85</v>
      </c>
      <c r="AH18" s="9">
        <v>0.888889</v>
      </c>
      <c r="AI18" s="9" t="s">
        <v>85</v>
      </c>
      <c r="AJ18" s="9" t="s">
        <v>85</v>
      </c>
      <c r="AK18" s="9">
        <v>0.892157</v>
      </c>
      <c r="AL18" s="9" t="s">
        <v>85</v>
      </c>
      <c r="AM18" s="9" t="s">
        <v>85</v>
      </c>
      <c r="AN18" s="9">
        <v>0.888889</v>
      </c>
      <c r="AO18" s="9" t="s">
        <v>85</v>
      </c>
      <c r="AP18" s="9" t="s">
        <v>85</v>
      </c>
      <c r="AQ18" s="30">
        <v>0.892157</v>
      </c>
      <c r="AR18" s="9" t="s">
        <v>85</v>
      </c>
      <c r="AS18" s="9" t="s">
        <v>85</v>
      </c>
      <c r="AT18" s="9">
        <v>0.875817</v>
      </c>
      <c r="AU18" s="9" t="s">
        <v>85</v>
      </c>
      <c r="AV18" s="9" t="s">
        <v>85</v>
      </c>
      <c r="AW18" s="9">
        <v>0.888889</v>
      </c>
      <c r="AX18" s="9" t="s">
        <v>85</v>
      </c>
      <c r="AY18" s="9" t="s">
        <v>85</v>
      </c>
      <c r="AZ18" s="9">
        <v>0.892157</v>
      </c>
      <c r="BA18" s="9" t="s">
        <v>85</v>
      </c>
      <c r="BB18" s="9" t="s">
        <v>85</v>
      </c>
      <c r="BC18" s="30">
        <v>0.892157</v>
      </c>
      <c r="BD18" s="9" t="s">
        <v>85</v>
      </c>
      <c r="BE18" s="9" t="s">
        <v>85</v>
      </c>
      <c r="BF18" s="9">
        <v>0.30719</v>
      </c>
      <c r="BG18" s="9" t="s">
        <v>85</v>
      </c>
      <c r="BH18" s="6"/>
      <c r="BI18" s="6" t="str">
        <f t="shared" si="1"/>
        <v>8BN_Fold_Median</v>
      </c>
      <c r="BJ18" s="6" t="str">
        <f t="shared" si="2"/>
        <v>8BN_Fold_Median</v>
      </c>
      <c r="BK18" s="6" t="str">
        <f t="shared" si="3"/>
        <v>8BN_Fold_Median</v>
      </c>
      <c r="BL18" s="6"/>
      <c r="BM18" s="6" t="s">
        <v>226</v>
      </c>
      <c r="BN18" s="18">
        <f t="shared" ref="BN18:BR18" si="6">MINUS(BN17,SUM(BN19,BN20))</f>
        <v>20</v>
      </c>
      <c r="BO18" s="18">
        <f t="shared" si="6"/>
        <v>14</v>
      </c>
      <c r="BP18" s="18">
        <f t="shared" si="6"/>
        <v>9</v>
      </c>
      <c r="BQ18" s="18">
        <f t="shared" si="6"/>
        <v>5</v>
      </c>
      <c r="BR18" s="18">
        <f t="shared" si="6"/>
        <v>4</v>
      </c>
      <c r="BS18" s="6">
        <f t="shared" ref="BS18:BS20" si="7">SUM(BN18:BR18)</f>
        <v>52</v>
      </c>
      <c r="BT18" s="6"/>
      <c r="BU18" s="6"/>
      <c r="CC18" s="6"/>
      <c r="CD18" s="6"/>
      <c r="CE18" s="6"/>
      <c r="CF18" s="6"/>
      <c r="CG18" s="6"/>
      <c r="CH18" s="6"/>
      <c r="CI18" s="6"/>
      <c r="CJ18" s="6"/>
      <c r="CK18" s="6"/>
      <c r="CL18" s="6"/>
    </row>
    <row r="19" ht="15.75" customHeight="1">
      <c r="A19" s="1" t="s">
        <v>113</v>
      </c>
      <c r="B19" s="17">
        <v>3.0</v>
      </c>
      <c r="C19" s="9" t="s">
        <v>85</v>
      </c>
      <c r="D19" s="9">
        <v>0.669065</v>
      </c>
      <c r="E19" s="9" t="s">
        <v>85</v>
      </c>
      <c r="F19" s="9" t="s">
        <v>85</v>
      </c>
      <c r="G19" s="30">
        <v>0.676258981</v>
      </c>
      <c r="H19" s="9" t="s">
        <v>85</v>
      </c>
      <c r="I19" s="9" t="s">
        <v>85</v>
      </c>
      <c r="J19" s="9">
        <v>0.741007</v>
      </c>
      <c r="K19" s="9" t="s">
        <v>85</v>
      </c>
      <c r="L19" s="9" t="s">
        <v>85</v>
      </c>
      <c r="M19" s="9">
        <v>0.733813</v>
      </c>
      <c r="N19" s="9" t="s">
        <v>85</v>
      </c>
      <c r="O19" s="9" t="s">
        <v>85</v>
      </c>
      <c r="P19" s="9">
        <v>0.683453</v>
      </c>
      <c r="Q19" s="9" t="s">
        <v>85</v>
      </c>
      <c r="R19" s="9" t="s">
        <v>85</v>
      </c>
      <c r="S19" s="9">
        <v>0.683453</v>
      </c>
      <c r="T19" s="9" t="s">
        <v>85</v>
      </c>
      <c r="U19" s="9" t="s">
        <v>85</v>
      </c>
      <c r="V19" s="9">
        <v>0.683453</v>
      </c>
      <c r="W19" s="9" t="s">
        <v>85</v>
      </c>
      <c r="X19" s="9" t="s">
        <v>85</v>
      </c>
      <c r="Y19" s="9">
        <v>0.683453</v>
      </c>
      <c r="Z19" s="9" t="s">
        <v>85</v>
      </c>
      <c r="AA19" s="9" t="s">
        <v>85</v>
      </c>
      <c r="AB19" s="30">
        <v>0.683453</v>
      </c>
      <c r="AC19" s="9" t="s">
        <v>85</v>
      </c>
      <c r="AD19" s="9" t="s">
        <v>85</v>
      </c>
      <c r="AE19" s="30">
        <v>0.71223</v>
      </c>
      <c r="AF19" s="9" t="s">
        <v>85</v>
      </c>
      <c r="AG19" s="9" t="s">
        <v>85</v>
      </c>
      <c r="AH19" s="9">
        <v>0.705036</v>
      </c>
      <c r="AI19" s="9" t="s">
        <v>85</v>
      </c>
      <c r="AJ19" s="9" t="s">
        <v>85</v>
      </c>
      <c r="AK19" s="9">
        <v>0.683453</v>
      </c>
      <c r="AL19" s="9" t="s">
        <v>85</v>
      </c>
      <c r="AM19" s="9" t="s">
        <v>85</v>
      </c>
      <c r="AN19" s="9">
        <v>0.683453</v>
      </c>
      <c r="AO19" s="9" t="s">
        <v>85</v>
      </c>
      <c r="AP19" s="9" t="s">
        <v>85</v>
      </c>
      <c r="AQ19" s="30">
        <v>0.697842</v>
      </c>
      <c r="AR19" s="9" t="s">
        <v>85</v>
      </c>
      <c r="AS19" s="9" t="s">
        <v>85</v>
      </c>
      <c r="AT19" s="9">
        <v>0.683453</v>
      </c>
      <c r="AU19" s="9" t="s">
        <v>85</v>
      </c>
      <c r="AV19" s="9" t="s">
        <v>85</v>
      </c>
      <c r="AW19" s="9">
        <v>0.683453</v>
      </c>
      <c r="AX19" s="9" t="s">
        <v>85</v>
      </c>
      <c r="AY19" s="9" t="s">
        <v>85</v>
      </c>
      <c r="AZ19" s="9">
        <v>0.669065</v>
      </c>
      <c r="BA19" s="9" t="s">
        <v>85</v>
      </c>
      <c r="BB19" s="9" t="s">
        <v>85</v>
      </c>
      <c r="BC19" s="30">
        <v>0.683453</v>
      </c>
      <c r="BD19" s="9" t="s">
        <v>85</v>
      </c>
      <c r="BE19" s="9" t="s">
        <v>85</v>
      </c>
      <c r="BF19" s="9">
        <v>0.683453</v>
      </c>
      <c r="BG19" s="9" t="s">
        <v>85</v>
      </c>
      <c r="BH19" s="6"/>
      <c r="BI19" s="6" t="str">
        <f t="shared" si="1"/>
        <v>5V_Fold_Median</v>
      </c>
      <c r="BJ19" s="6" t="str">
        <f t="shared" si="2"/>
        <v>5VB_Fold_Median</v>
      </c>
      <c r="BK19" s="6" t="str">
        <f t="shared" si="3"/>
        <v>10BN_Fold_Median</v>
      </c>
      <c r="BL19" s="6"/>
      <c r="BM19" s="6" t="s">
        <v>227</v>
      </c>
      <c r="BN19" s="18">
        <f>COUNTIFS(BJ3:BJ109,"*V*",B3:B109,"&lt;=2")</f>
        <v>18</v>
      </c>
      <c r="BO19" s="19">
        <f>COUNTIFS(BJ3:BJ100,"*V*",B3:B100,"&gt;=3",B3:B100,"&lt;=5")</f>
        <v>17</v>
      </c>
      <c r="BP19" s="18">
        <f>COUNTIFS(BJ3:BJ100,"*V*",B3:B100,"&gt;5",B3:B100,"&lt;=10")</f>
        <v>7</v>
      </c>
      <c r="BQ19" s="18">
        <f>COUNTIFS(BJ3:BJ100,"*V*",B3:B100,"&gt;10",B3:B100,"&lt;30")</f>
        <v>0</v>
      </c>
      <c r="BR19" s="18">
        <f>COUNTIFS(BJ3:BJ109,"*V*",B3:B109,"&gt;=30")</f>
        <v>3</v>
      </c>
      <c r="BS19" s="6">
        <f t="shared" si="7"/>
        <v>45</v>
      </c>
      <c r="BT19" s="6"/>
      <c r="BU19" s="6"/>
      <c r="CC19" s="6"/>
      <c r="CD19" s="6"/>
      <c r="CE19" s="6"/>
      <c r="CF19" s="6"/>
      <c r="CG19" s="6"/>
      <c r="CH19" s="6"/>
      <c r="CI19" s="6"/>
      <c r="CJ19" s="6"/>
      <c r="CK19" s="6"/>
      <c r="CL19" s="6"/>
    </row>
    <row r="20" ht="15.75" customHeight="1">
      <c r="A20" s="1" t="s">
        <v>114</v>
      </c>
      <c r="B20" s="17">
        <v>2.0</v>
      </c>
      <c r="C20" s="9" t="s">
        <v>85</v>
      </c>
      <c r="D20" s="9">
        <v>0.728261</v>
      </c>
      <c r="E20" s="9" t="s">
        <v>85</v>
      </c>
      <c r="F20" s="9" t="s">
        <v>85</v>
      </c>
      <c r="G20" s="30">
        <v>0.728260875</v>
      </c>
      <c r="H20" s="9" t="s">
        <v>85</v>
      </c>
      <c r="I20" s="9" t="s">
        <v>85</v>
      </c>
      <c r="J20" s="9">
        <v>0.75</v>
      </c>
      <c r="K20" s="9" t="s">
        <v>85</v>
      </c>
      <c r="L20" s="9" t="s">
        <v>85</v>
      </c>
      <c r="M20" s="9">
        <v>0.75</v>
      </c>
      <c r="N20" s="9" t="s">
        <v>85</v>
      </c>
      <c r="O20" s="9" t="s">
        <v>85</v>
      </c>
      <c r="P20" s="9">
        <v>0.735507</v>
      </c>
      <c r="Q20" s="9" t="s">
        <v>85</v>
      </c>
      <c r="R20" s="9" t="s">
        <v>85</v>
      </c>
      <c r="S20" s="9">
        <v>0.728261</v>
      </c>
      <c r="T20" s="9" t="s">
        <v>85</v>
      </c>
      <c r="U20" s="9" t="s">
        <v>85</v>
      </c>
      <c r="V20" s="9">
        <v>0.757246</v>
      </c>
      <c r="W20" s="9" t="s">
        <v>85</v>
      </c>
      <c r="X20" s="9" t="s">
        <v>85</v>
      </c>
      <c r="Y20" s="9">
        <v>0.757246</v>
      </c>
      <c r="Z20" s="9" t="s">
        <v>85</v>
      </c>
      <c r="AA20" s="9" t="s">
        <v>85</v>
      </c>
      <c r="AB20" s="30">
        <v>0.742754</v>
      </c>
      <c r="AC20" s="9" t="s">
        <v>85</v>
      </c>
      <c r="AD20" s="9" t="s">
        <v>85</v>
      </c>
      <c r="AE20" s="30">
        <v>0.75</v>
      </c>
      <c r="AF20" s="9" t="s">
        <v>85</v>
      </c>
      <c r="AG20" s="9" t="s">
        <v>85</v>
      </c>
      <c r="AH20" s="9">
        <v>0.735507</v>
      </c>
      <c r="AI20" s="9" t="s">
        <v>85</v>
      </c>
      <c r="AJ20" s="9" t="s">
        <v>85</v>
      </c>
      <c r="AK20" s="9">
        <v>0.724638</v>
      </c>
      <c r="AL20" s="9" t="s">
        <v>85</v>
      </c>
      <c r="AM20" s="9" t="s">
        <v>85</v>
      </c>
      <c r="AN20" s="9">
        <v>0.764493</v>
      </c>
      <c r="AO20" s="9" t="s">
        <v>85</v>
      </c>
      <c r="AP20" s="9" t="s">
        <v>85</v>
      </c>
      <c r="AQ20" s="30">
        <v>0.757246</v>
      </c>
      <c r="AR20" s="9" t="s">
        <v>85</v>
      </c>
      <c r="AS20" s="9" t="s">
        <v>85</v>
      </c>
      <c r="AT20" s="9">
        <v>0.764493</v>
      </c>
      <c r="AU20" s="9" t="s">
        <v>85</v>
      </c>
      <c r="AV20" s="9" t="s">
        <v>85</v>
      </c>
      <c r="AW20" s="9">
        <v>0.764493</v>
      </c>
      <c r="AX20" s="9" t="s">
        <v>85</v>
      </c>
      <c r="AY20" s="9" t="s">
        <v>85</v>
      </c>
      <c r="AZ20" s="9">
        <v>0.753623</v>
      </c>
      <c r="BA20" s="9" t="s">
        <v>85</v>
      </c>
      <c r="BB20" s="9" t="s">
        <v>85</v>
      </c>
      <c r="BC20" s="30">
        <v>0.757246</v>
      </c>
      <c r="BD20" s="9" t="s">
        <v>85</v>
      </c>
      <c r="BE20" s="9" t="s">
        <v>85</v>
      </c>
      <c r="BF20" s="9">
        <v>0.73913</v>
      </c>
      <c r="BG20" s="9" t="s">
        <v>85</v>
      </c>
      <c r="BH20" s="6"/>
      <c r="BI20" s="6" t="str">
        <f t="shared" si="1"/>
        <v>12B_Fold_Median</v>
      </c>
      <c r="BJ20" s="6" t="str">
        <f t="shared" si="2"/>
        <v>12B_Fold_Median</v>
      </c>
      <c r="BK20" s="6" t="str">
        <f t="shared" si="3"/>
        <v>12B_Fold_Median</v>
      </c>
      <c r="BL20" s="6"/>
      <c r="BM20" s="6" t="s">
        <v>20</v>
      </c>
      <c r="BN20" s="18">
        <f>COUNTIFS(BJ3:BJ109,"*De*",B3:B109,"&lt;=2")</f>
        <v>0</v>
      </c>
      <c r="BO20" s="19">
        <f>COUNTIFS(BJ3:BJ100,"*De*",B3:B100,"&gt;=3",B3:B100,"&lt;=5")</f>
        <v>1</v>
      </c>
      <c r="BP20" s="18">
        <f>COUNTIFS(BJ3:BJ100,"*De*",B3:B100,"&gt;5",B3:B100,"&lt;=10")</f>
        <v>0</v>
      </c>
      <c r="BQ20" s="18">
        <f>COUNTIFS(BJ3:BJ100,"*De*",B3:B100,"&gt;10",B3:B100,"&lt;30")</f>
        <v>0</v>
      </c>
      <c r="BR20" s="18">
        <f>COUNTIFS(BJ3:BJ109,"*De*",B3:B109,"&gt;=30")</f>
        <v>0</v>
      </c>
      <c r="BS20" s="6">
        <f t="shared" si="7"/>
        <v>1</v>
      </c>
      <c r="BT20" s="6"/>
      <c r="BU20" s="6"/>
      <c r="BV20" s="6" t="s">
        <v>213</v>
      </c>
      <c r="BW20" s="6" t="s">
        <v>236</v>
      </c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</row>
    <row r="21" ht="15.75" customHeight="1">
      <c r="A21" s="1" t="s">
        <v>115</v>
      </c>
      <c r="B21" s="17">
        <v>6.0</v>
      </c>
      <c r="C21" s="9" t="s">
        <v>85</v>
      </c>
      <c r="D21" s="9">
        <v>0.597122</v>
      </c>
      <c r="E21" s="9" t="s">
        <v>85</v>
      </c>
      <c r="F21" s="9" t="s">
        <v>85</v>
      </c>
      <c r="G21" s="30">
        <v>0.597122312</v>
      </c>
      <c r="H21" s="9" t="s">
        <v>85</v>
      </c>
      <c r="I21" s="9" t="s">
        <v>85</v>
      </c>
      <c r="J21" s="9">
        <v>0.669065</v>
      </c>
      <c r="K21" s="9" t="s">
        <v>85</v>
      </c>
      <c r="L21" s="9" t="s">
        <v>85</v>
      </c>
      <c r="M21" s="9">
        <v>0.654676</v>
      </c>
      <c r="N21" s="9" t="s">
        <v>85</v>
      </c>
      <c r="O21" s="9" t="s">
        <v>85</v>
      </c>
      <c r="P21" s="9">
        <v>0.589928</v>
      </c>
      <c r="Q21" s="9" t="s">
        <v>85</v>
      </c>
      <c r="R21" s="9" t="s">
        <v>85</v>
      </c>
      <c r="S21" s="9">
        <v>0.611511</v>
      </c>
      <c r="T21" s="9" t="s">
        <v>85</v>
      </c>
      <c r="U21" s="9" t="s">
        <v>85</v>
      </c>
      <c r="V21" s="9">
        <v>0.66187</v>
      </c>
      <c r="W21" s="9" t="s">
        <v>85</v>
      </c>
      <c r="X21" s="9" t="s">
        <v>85</v>
      </c>
      <c r="Y21" s="9">
        <v>0.669065</v>
      </c>
      <c r="Z21" s="9" t="s">
        <v>85</v>
      </c>
      <c r="AA21" s="9" t="s">
        <v>85</v>
      </c>
      <c r="AB21" s="30">
        <v>0.582734</v>
      </c>
      <c r="AC21" s="9" t="s">
        <v>85</v>
      </c>
      <c r="AD21" s="9" t="s">
        <v>85</v>
      </c>
      <c r="AE21" s="30">
        <v>0.604317</v>
      </c>
      <c r="AF21" s="9" t="s">
        <v>85</v>
      </c>
      <c r="AG21" s="9" t="s">
        <v>85</v>
      </c>
      <c r="AH21" s="9">
        <v>0.633094</v>
      </c>
      <c r="AI21" s="9" t="s">
        <v>85</v>
      </c>
      <c r="AJ21" s="9" t="s">
        <v>85</v>
      </c>
      <c r="AK21" s="9">
        <v>0.647482</v>
      </c>
      <c r="AL21" s="9" t="s">
        <v>85</v>
      </c>
      <c r="AM21" s="9" t="s">
        <v>85</v>
      </c>
      <c r="AN21" s="9">
        <v>0.625899</v>
      </c>
      <c r="AO21" s="9" t="s">
        <v>85</v>
      </c>
      <c r="AP21" s="9" t="s">
        <v>85</v>
      </c>
      <c r="AQ21" s="30">
        <v>0.582734</v>
      </c>
      <c r="AR21" s="9" t="s">
        <v>85</v>
      </c>
      <c r="AS21" s="9" t="s">
        <v>85</v>
      </c>
      <c r="AT21" s="9">
        <v>0.654676</v>
      </c>
      <c r="AU21" s="9" t="s">
        <v>85</v>
      </c>
      <c r="AV21" s="9" t="s">
        <v>85</v>
      </c>
      <c r="AW21" s="9">
        <v>0.654676</v>
      </c>
      <c r="AX21" s="9" t="s">
        <v>85</v>
      </c>
      <c r="AY21" s="9" t="s">
        <v>85</v>
      </c>
      <c r="AZ21" s="9">
        <v>0.633094</v>
      </c>
      <c r="BA21" s="9" t="s">
        <v>85</v>
      </c>
      <c r="BB21" s="9" t="s">
        <v>85</v>
      </c>
      <c r="BC21" s="30">
        <v>0.654676</v>
      </c>
      <c r="BD21" s="9" t="s">
        <v>85</v>
      </c>
      <c r="BE21" s="9" t="s">
        <v>85</v>
      </c>
      <c r="BF21" s="9">
        <v>0.690647</v>
      </c>
      <c r="BG21" s="9" t="s">
        <v>85</v>
      </c>
      <c r="BH21" s="6"/>
      <c r="BI21" s="6" t="str">
        <f t="shared" si="1"/>
        <v>De_Fold_Median</v>
      </c>
      <c r="BJ21" s="6" t="str">
        <f t="shared" si="2"/>
        <v>5V_Fold_Median</v>
      </c>
      <c r="BK21" s="6" t="str">
        <f t="shared" si="3"/>
        <v>5V_Fold_Median</v>
      </c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>
        <v>38.0</v>
      </c>
      <c r="BX21" s="6">
        <v>32.0</v>
      </c>
      <c r="BY21" s="6">
        <v>16.0</v>
      </c>
      <c r="BZ21" s="6">
        <v>5.0</v>
      </c>
      <c r="CA21" s="6">
        <v>7.0</v>
      </c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</row>
    <row r="22" ht="15.75" customHeight="1">
      <c r="A22" s="1" t="s">
        <v>116</v>
      </c>
      <c r="B22" s="17">
        <v>2.0</v>
      </c>
      <c r="C22" s="9" t="s">
        <v>85</v>
      </c>
      <c r="D22" s="9">
        <v>0.748201</v>
      </c>
      <c r="E22" s="9" t="s">
        <v>85</v>
      </c>
      <c r="F22" s="9" t="s">
        <v>85</v>
      </c>
      <c r="G22" s="30">
        <v>0.74820143</v>
      </c>
      <c r="H22" s="9" t="s">
        <v>85</v>
      </c>
      <c r="I22" s="9" t="s">
        <v>85</v>
      </c>
      <c r="J22" s="9">
        <v>0.748201</v>
      </c>
      <c r="K22" s="9" t="s">
        <v>85</v>
      </c>
      <c r="L22" s="9" t="s">
        <v>85</v>
      </c>
      <c r="M22" s="9">
        <v>0.748201</v>
      </c>
      <c r="N22" s="9" t="s">
        <v>85</v>
      </c>
      <c r="O22" s="9" t="s">
        <v>85</v>
      </c>
      <c r="P22" s="9">
        <v>0.748201</v>
      </c>
      <c r="Q22" s="9" t="s">
        <v>85</v>
      </c>
      <c r="R22" s="9" t="s">
        <v>85</v>
      </c>
      <c r="S22" s="9">
        <v>0.748201</v>
      </c>
      <c r="T22" s="9" t="s">
        <v>85</v>
      </c>
      <c r="U22" s="9" t="s">
        <v>85</v>
      </c>
      <c r="V22" s="9">
        <v>0.748201</v>
      </c>
      <c r="W22" s="9" t="s">
        <v>85</v>
      </c>
      <c r="X22" s="9" t="s">
        <v>85</v>
      </c>
      <c r="Y22" s="9">
        <v>0.748201</v>
      </c>
      <c r="Z22" s="9" t="s">
        <v>85</v>
      </c>
      <c r="AA22" s="9" t="s">
        <v>85</v>
      </c>
      <c r="AB22" s="30">
        <v>0.748201</v>
      </c>
      <c r="AC22" s="9" t="s">
        <v>85</v>
      </c>
      <c r="AD22" s="9" t="s">
        <v>85</v>
      </c>
      <c r="AE22" s="30">
        <v>0.748201</v>
      </c>
      <c r="AF22" s="9" t="s">
        <v>85</v>
      </c>
      <c r="AG22" s="9" t="s">
        <v>85</v>
      </c>
      <c r="AH22" s="9">
        <v>0.748201</v>
      </c>
      <c r="AI22" s="9" t="s">
        <v>85</v>
      </c>
      <c r="AJ22" s="9" t="s">
        <v>85</v>
      </c>
      <c r="AK22" s="9">
        <v>0.748201</v>
      </c>
      <c r="AL22" s="9" t="s">
        <v>85</v>
      </c>
      <c r="AM22" s="9" t="s">
        <v>85</v>
      </c>
      <c r="AN22" s="9">
        <v>0.748201</v>
      </c>
      <c r="AO22" s="9" t="s">
        <v>85</v>
      </c>
      <c r="AP22" s="9" t="s">
        <v>85</v>
      </c>
      <c r="AQ22" s="30">
        <v>0.748201</v>
      </c>
      <c r="AR22" s="9" t="s">
        <v>85</v>
      </c>
      <c r="AS22" s="9" t="s">
        <v>85</v>
      </c>
      <c r="AT22" s="9">
        <v>0.748201</v>
      </c>
      <c r="AU22" s="9" t="s">
        <v>85</v>
      </c>
      <c r="AV22" s="9" t="s">
        <v>85</v>
      </c>
      <c r="AW22" s="9">
        <v>0.748201</v>
      </c>
      <c r="AX22" s="9" t="s">
        <v>85</v>
      </c>
      <c r="AY22" s="9" t="s">
        <v>85</v>
      </c>
      <c r="AZ22" s="9">
        <v>0.748201</v>
      </c>
      <c r="BA22" s="9" t="s">
        <v>85</v>
      </c>
      <c r="BB22" s="9" t="s">
        <v>85</v>
      </c>
      <c r="BC22" s="30">
        <v>0.748201</v>
      </c>
      <c r="BD22" s="9" t="s">
        <v>85</v>
      </c>
      <c r="BE22" s="9" t="s">
        <v>85</v>
      </c>
      <c r="BF22" s="9">
        <v>0.748201</v>
      </c>
      <c r="BG22" s="9" t="s">
        <v>85</v>
      </c>
      <c r="BH22" s="6"/>
      <c r="BI22" s="6" t="str">
        <f t="shared" si="1"/>
        <v>5BN_Fold_Median</v>
      </c>
      <c r="BJ22" s="6" t="str">
        <f t="shared" si="2"/>
        <v>5B_Fold_Median</v>
      </c>
      <c r="BK22" s="6" t="str">
        <f t="shared" si="3"/>
        <v>5B_Fold_Median</v>
      </c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13"/>
      <c r="BW22" s="6" t="s">
        <v>237</v>
      </c>
      <c r="BX22" s="6" t="s">
        <v>238</v>
      </c>
      <c r="BY22" s="6" t="s">
        <v>239</v>
      </c>
      <c r="BZ22" s="6" t="s">
        <v>240</v>
      </c>
      <c r="CA22" s="6" t="s">
        <v>241</v>
      </c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</row>
    <row r="23" ht="15.75" customHeight="1">
      <c r="A23" s="1" t="s">
        <v>117</v>
      </c>
      <c r="B23" s="17">
        <v>2.0</v>
      </c>
      <c r="C23" s="9" t="s">
        <v>85</v>
      </c>
      <c r="D23" s="9">
        <v>0.64</v>
      </c>
      <c r="E23" s="9" t="s">
        <v>85</v>
      </c>
      <c r="F23" s="9" t="s">
        <v>85</v>
      </c>
      <c r="G23" s="30">
        <v>0.639999986</v>
      </c>
      <c r="H23" s="9" t="s">
        <v>85</v>
      </c>
      <c r="I23" s="9" t="s">
        <v>85</v>
      </c>
      <c r="J23" s="9">
        <v>0.64</v>
      </c>
      <c r="K23" s="9" t="s">
        <v>85</v>
      </c>
      <c r="L23" s="9" t="s">
        <v>85</v>
      </c>
      <c r="M23" s="9">
        <v>0.64</v>
      </c>
      <c r="N23" s="9" t="s">
        <v>85</v>
      </c>
      <c r="O23" s="9" t="s">
        <v>85</v>
      </c>
      <c r="P23" s="9">
        <v>0.64</v>
      </c>
      <c r="Q23" s="9" t="s">
        <v>85</v>
      </c>
      <c r="R23" s="9" t="s">
        <v>85</v>
      </c>
      <c r="S23" s="9">
        <v>0.64</v>
      </c>
      <c r="T23" s="9" t="s">
        <v>85</v>
      </c>
      <c r="U23" s="9" t="s">
        <v>85</v>
      </c>
      <c r="V23" s="9">
        <v>0.64</v>
      </c>
      <c r="W23" s="9" t="s">
        <v>85</v>
      </c>
      <c r="X23" s="9" t="s">
        <v>85</v>
      </c>
      <c r="Y23" s="9">
        <v>0.64</v>
      </c>
      <c r="Z23" s="9" t="s">
        <v>85</v>
      </c>
      <c r="AA23" s="9" t="s">
        <v>85</v>
      </c>
      <c r="AB23" s="30">
        <v>0.64</v>
      </c>
      <c r="AC23" s="9" t="s">
        <v>85</v>
      </c>
      <c r="AD23" s="9" t="s">
        <v>85</v>
      </c>
      <c r="AE23" s="30">
        <v>0.64</v>
      </c>
      <c r="AF23" s="9" t="s">
        <v>85</v>
      </c>
      <c r="AG23" s="9" t="s">
        <v>85</v>
      </c>
      <c r="AH23" s="9">
        <v>0.64</v>
      </c>
      <c r="AI23" s="9" t="s">
        <v>85</v>
      </c>
      <c r="AJ23" s="9" t="s">
        <v>85</v>
      </c>
      <c r="AK23" s="9">
        <v>0.64</v>
      </c>
      <c r="AL23" s="9" t="s">
        <v>85</v>
      </c>
      <c r="AM23" s="9" t="s">
        <v>85</v>
      </c>
      <c r="AN23" s="9">
        <v>0.64</v>
      </c>
      <c r="AO23" s="9" t="s">
        <v>85</v>
      </c>
      <c r="AP23" s="9" t="s">
        <v>85</v>
      </c>
      <c r="AQ23" s="30">
        <v>0.64</v>
      </c>
      <c r="AR23" s="9" t="s">
        <v>85</v>
      </c>
      <c r="AS23" s="9" t="s">
        <v>85</v>
      </c>
      <c r="AT23" s="9">
        <v>0.64</v>
      </c>
      <c r="AU23" s="9" t="s">
        <v>85</v>
      </c>
      <c r="AV23" s="9" t="s">
        <v>85</v>
      </c>
      <c r="AW23" s="9">
        <v>0.64</v>
      </c>
      <c r="AX23" s="9" t="s">
        <v>85</v>
      </c>
      <c r="AY23" s="9" t="s">
        <v>85</v>
      </c>
      <c r="AZ23" s="9">
        <v>0.64</v>
      </c>
      <c r="BA23" s="9" t="s">
        <v>85</v>
      </c>
      <c r="BB23" s="9" t="s">
        <v>85</v>
      </c>
      <c r="BC23" s="30">
        <v>0.64</v>
      </c>
      <c r="BD23" s="9" t="s">
        <v>85</v>
      </c>
      <c r="BE23" s="9" t="s">
        <v>85</v>
      </c>
      <c r="BF23" s="9">
        <v>0.64</v>
      </c>
      <c r="BG23" s="9" t="s">
        <v>85</v>
      </c>
      <c r="BH23" s="6"/>
      <c r="BI23" s="6" t="str">
        <f t="shared" si="1"/>
        <v>5B_Fold_Median</v>
      </c>
      <c r="BJ23" s="6" t="str">
        <f t="shared" si="2"/>
        <v>5B_Fold_Median</v>
      </c>
      <c r="BK23" s="6" t="str">
        <f t="shared" si="3"/>
        <v>5B_Fold_Median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 t="s">
        <v>233</v>
      </c>
      <c r="BW23" s="6">
        <f>DIVIDE(BN9,$BX$21)</f>
        <v>0.5625</v>
      </c>
      <c r="BX23" s="6">
        <f>DIVIDE(BO9,$BW$21)</f>
        <v>0.2631578947</v>
      </c>
      <c r="BY23" s="6">
        <f t="shared" ref="BY23:BY25" si="9">DIVIDE(BP9,$BY$21)</f>
        <v>0.375</v>
      </c>
      <c r="BZ23" s="6">
        <f t="shared" ref="BZ23:BZ25" si="10">DIVIDE(BQ9,$BZ$21)</f>
        <v>0.8</v>
      </c>
      <c r="CA23" s="6">
        <f t="shared" ref="CA23:CA25" si="11">DIVIDE(BR9,$CA$21)</f>
        <v>0.5714285714</v>
      </c>
      <c r="CB23" s="6">
        <v>42.0</v>
      </c>
      <c r="CC23" s="6"/>
      <c r="CD23" s="6"/>
      <c r="CE23" s="6"/>
      <c r="CF23" s="6"/>
      <c r="CG23" s="6"/>
      <c r="CH23" s="6"/>
      <c r="CI23" s="6"/>
      <c r="CJ23" s="6"/>
      <c r="CK23" s="6"/>
      <c r="CL23" s="6"/>
    </row>
    <row r="24" ht="15.75" customHeight="1">
      <c r="A24" s="1" t="s">
        <v>118</v>
      </c>
      <c r="B24" s="17">
        <v>5.0</v>
      </c>
      <c r="C24" s="9" t="s">
        <v>85</v>
      </c>
      <c r="D24" s="9">
        <v>0.913333</v>
      </c>
      <c r="E24" s="9" t="s">
        <v>85</v>
      </c>
      <c r="F24" s="9" t="s">
        <v>85</v>
      </c>
      <c r="G24" s="30">
        <v>0.914444447</v>
      </c>
      <c r="H24" s="9" t="s">
        <v>85</v>
      </c>
      <c r="I24" s="9" t="s">
        <v>85</v>
      </c>
      <c r="J24" s="9">
        <v>0.917556</v>
      </c>
      <c r="K24" s="9" t="s">
        <v>85</v>
      </c>
      <c r="L24" s="9" t="s">
        <v>85</v>
      </c>
      <c r="M24" s="9">
        <v>0.915111</v>
      </c>
      <c r="N24" s="9" t="s">
        <v>85</v>
      </c>
      <c r="O24" s="9" t="s">
        <v>85</v>
      </c>
      <c r="P24" s="9">
        <v>0.915111</v>
      </c>
      <c r="Q24" s="9" t="s">
        <v>85</v>
      </c>
      <c r="R24" s="9" t="s">
        <v>85</v>
      </c>
      <c r="S24" s="9">
        <v>0.914889</v>
      </c>
      <c r="T24" s="9" t="s">
        <v>85</v>
      </c>
      <c r="U24" s="9" t="s">
        <v>85</v>
      </c>
      <c r="V24" s="9">
        <v>0.921333</v>
      </c>
      <c r="W24" s="9" t="s">
        <v>85</v>
      </c>
      <c r="X24" s="9" t="s">
        <v>85</v>
      </c>
      <c r="Y24" s="9">
        <v>0.920222</v>
      </c>
      <c r="Z24" s="9" t="s">
        <v>85</v>
      </c>
      <c r="AA24" s="9" t="s">
        <v>85</v>
      </c>
      <c r="AB24" s="30">
        <v>0.916222</v>
      </c>
      <c r="AC24" s="9" t="s">
        <v>85</v>
      </c>
      <c r="AD24" s="9" t="s">
        <v>85</v>
      </c>
      <c r="AE24" s="30">
        <v>0.916222</v>
      </c>
      <c r="AF24" s="9" t="s">
        <v>85</v>
      </c>
      <c r="AG24" s="9" t="s">
        <v>85</v>
      </c>
      <c r="AH24" s="9">
        <v>0.920444</v>
      </c>
      <c r="AI24" s="9" t="s">
        <v>85</v>
      </c>
      <c r="AJ24" s="9" t="s">
        <v>85</v>
      </c>
      <c r="AK24" s="9">
        <v>0.920889</v>
      </c>
      <c r="AL24" s="9" t="s">
        <v>85</v>
      </c>
      <c r="AM24" s="9" t="s">
        <v>85</v>
      </c>
      <c r="AN24" s="9">
        <v>0.916667</v>
      </c>
      <c r="AO24" s="9" t="s">
        <v>85</v>
      </c>
      <c r="AP24" s="9" t="s">
        <v>85</v>
      </c>
      <c r="AQ24" s="30">
        <v>0.916</v>
      </c>
      <c r="AR24" s="9" t="s">
        <v>85</v>
      </c>
      <c r="AS24" s="9" t="s">
        <v>85</v>
      </c>
      <c r="AT24" s="9">
        <v>0.920667</v>
      </c>
      <c r="AU24" s="9" t="s">
        <v>85</v>
      </c>
      <c r="AV24" s="9" t="s">
        <v>85</v>
      </c>
      <c r="AW24" s="9">
        <v>0.920444</v>
      </c>
      <c r="AX24" s="9" t="s">
        <v>85</v>
      </c>
      <c r="AY24" s="9" t="s">
        <v>85</v>
      </c>
      <c r="AZ24" s="9">
        <v>0.914222</v>
      </c>
      <c r="BA24" s="9" t="s">
        <v>85</v>
      </c>
      <c r="BB24" s="9" t="s">
        <v>85</v>
      </c>
      <c r="BC24" s="30">
        <v>0.920444</v>
      </c>
      <c r="BD24" s="9" t="s">
        <v>85</v>
      </c>
      <c r="BE24" s="9" t="s">
        <v>85</v>
      </c>
      <c r="BF24" s="9">
        <v>0.924889</v>
      </c>
      <c r="BG24" s="9" t="s">
        <v>85</v>
      </c>
      <c r="BH24" s="6"/>
      <c r="BI24" s="6" t="str">
        <f t="shared" si="1"/>
        <v>De_Fold_Median</v>
      </c>
      <c r="BJ24" s="6" t="str">
        <f t="shared" si="2"/>
        <v>8V_Fold_Median</v>
      </c>
      <c r="BK24" s="6" t="str">
        <f t="shared" si="3"/>
        <v>10VB_Fold_Median</v>
      </c>
      <c r="BL24" s="6"/>
      <c r="BM24" s="1" t="s">
        <v>215</v>
      </c>
      <c r="BN24" s="6" t="s">
        <v>236</v>
      </c>
      <c r="BO24" s="6"/>
      <c r="BP24" s="6"/>
      <c r="BQ24" s="6"/>
      <c r="BR24" s="6"/>
      <c r="BS24" s="6"/>
      <c r="BT24" s="6"/>
      <c r="BV24" s="6" t="s">
        <v>234</v>
      </c>
      <c r="BW24" s="6">
        <f t="shared" ref="BW24:BX24" si="8">DIVIDE(BN10,$BW$21)</f>
        <v>0.3684210526</v>
      </c>
      <c r="BX24" s="6">
        <f t="shared" si="8"/>
        <v>0.4210526316</v>
      </c>
      <c r="BY24" s="6">
        <f t="shared" si="9"/>
        <v>0.5</v>
      </c>
      <c r="BZ24" s="6">
        <f t="shared" si="10"/>
        <v>0</v>
      </c>
      <c r="CA24" s="6">
        <f t="shared" si="11"/>
        <v>0.4285714286</v>
      </c>
      <c r="CB24" s="6">
        <v>47.0</v>
      </c>
      <c r="CC24" s="6"/>
      <c r="CD24" s="6"/>
      <c r="CE24" s="6"/>
      <c r="CF24" s="6"/>
      <c r="CG24" s="6"/>
      <c r="CH24" s="6"/>
      <c r="CI24" s="6"/>
      <c r="CJ24" s="6"/>
      <c r="CK24" s="6"/>
      <c r="CL24" s="6"/>
    </row>
    <row r="25" ht="15.75" customHeight="1">
      <c r="A25" s="1" t="s">
        <v>119</v>
      </c>
      <c r="B25" s="17">
        <v>2.0</v>
      </c>
      <c r="C25" s="9" t="s">
        <v>85</v>
      </c>
      <c r="D25" s="9">
        <v>0.785134</v>
      </c>
      <c r="E25" s="9" t="s">
        <v>85</v>
      </c>
      <c r="F25" s="9" t="s">
        <v>85</v>
      </c>
      <c r="G25" s="30">
        <v>0.59814167</v>
      </c>
      <c r="H25" s="9" t="s">
        <v>85</v>
      </c>
      <c r="I25" s="9" t="s">
        <v>85</v>
      </c>
      <c r="J25" s="9">
        <v>0.888502</v>
      </c>
      <c r="K25" s="9" t="s">
        <v>85</v>
      </c>
      <c r="L25" s="9" t="s">
        <v>85</v>
      </c>
      <c r="M25" s="9">
        <v>0.878049</v>
      </c>
      <c r="N25" s="9" t="s">
        <v>85</v>
      </c>
      <c r="O25" s="9" t="s">
        <v>85</v>
      </c>
      <c r="P25" s="9">
        <v>0.765389</v>
      </c>
      <c r="Q25" s="9" t="s">
        <v>85</v>
      </c>
      <c r="R25" s="9" t="s">
        <v>85</v>
      </c>
      <c r="S25" s="9">
        <v>0.704994</v>
      </c>
      <c r="T25" s="9" t="s">
        <v>85</v>
      </c>
      <c r="U25" s="9" t="s">
        <v>85</v>
      </c>
      <c r="V25" s="9">
        <v>0.858304</v>
      </c>
      <c r="W25" s="9" t="s">
        <v>85</v>
      </c>
      <c r="X25" s="9" t="s">
        <v>85</v>
      </c>
      <c r="Y25" s="9">
        <v>0.826945</v>
      </c>
      <c r="Z25" s="9" t="s">
        <v>85</v>
      </c>
      <c r="AA25" s="9" t="s">
        <v>85</v>
      </c>
      <c r="AB25" s="30">
        <v>0.745645</v>
      </c>
      <c r="AC25" s="9" t="s">
        <v>85</v>
      </c>
      <c r="AD25" s="9" t="s">
        <v>85</v>
      </c>
      <c r="AE25" s="30">
        <v>0.71777</v>
      </c>
      <c r="AF25" s="9" t="s">
        <v>85</v>
      </c>
      <c r="AG25" s="9" t="s">
        <v>85</v>
      </c>
      <c r="AH25" s="9">
        <v>0.68525</v>
      </c>
      <c r="AI25" s="9" t="s">
        <v>85</v>
      </c>
      <c r="AJ25" s="9" t="s">
        <v>85</v>
      </c>
      <c r="AK25" s="9">
        <v>0.627178</v>
      </c>
      <c r="AL25" s="9" t="s">
        <v>85</v>
      </c>
      <c r="AM25" s="9" t="s">
        <v>85</v>
      </c>
      <c r="AN25" s="9">
        <v>0.807201</v>
      </c>
      <c r="AO25" s="9" t="s">
        <v>85</v>
      </c>
      <c r="AP25" s="9" t="s">
        <v>85</v>
      </c>
      <c r="AQ25" s="30">
        <v>0.735192</v>
      </c>
      <c r="AR25" s="9" t="s">
        <v>85</v>
      </c>
      <c r="AS25" s="9" t="s">
        <v>85</v>
      </c>
      <c r="AT25" s="9">
        <v>0.810685</v>
      </c>
      <c r="AU25" s="9" t="s">
        <v>85</v>
      </c>
      <c r="AV25" s="9" t="s">
        <v>85</v>
      </c>
      <c r="AW25" s="9">
        <v>0.829268</v>
      </c>
      <c r="AX25" s="9" t="s">
        <v>85</v>
      </c>
      <c r="AY25" s="9" t="s">
        <v>85</v>
      </c>
      <c r="AZ25" s="9">
        <v>0.790941</v>
      </c>
      <c r="BA25" s="9" t="s">
        <v>85</v>
      </c>
      <c r="BB25" s="9" t="s">
        <v>85</v>
      </c>
      <c r="BC25" s="30">
        <v>0.497096</v>
      </c>
      <c r="BD25" s="9" t="s">
        <v>85</v>
      </c>
      <c r="BE25" s="9" t="s">
        <v>85</v>
      </c>
      <c r="BF25" s="9">
        <v>0.745645</v>
      </c>
      <c r="BG25" s="9" t="s">
        <v>85</v>
      </c>
      <c r="BH25" s="6"/>
      <c r="BI25" s="6" t="str">
        <f t="shared" si="1"/>
        <v>5V_Fold_Median</v>
      </c>
      <c r="BJ25" s="6" t="str">
        <f t="shared" si="2"/>
        <v>5VB_Fold_Median</v>
      </c>
      <c r="BK25" s="6" t="str">
        <f t="shared" si="3"/>
        <v>8V_Fold_Median</v>
      </c>
      <c r="BL25" s="6"/>
      <c r="BN25" s="6" t="s">
        <v>243</v>
      </c>
      <c r="BO25" s="6" t="s">
        <v>244</v>
      </c>
      <c r="BP25" s="6" t="s">
        <v>245</v>
      </c>
      <c r="BQ25" s="6" t="s">
        <v>246</v>
      </c>
      <c r="BR25" s="6" t="s">
        <v>247</v>
      </c>
      <c r="BS25" s="6"/>
      <c r="BT25" s="6"/>
      <c r="BV25" s="6" t="s">
        <v>20</v>
      </c>
      <c r="BW25" s="6">
        <f t="shared" ref="BW25:BX25" si="12">DIVIDE(BN11,$BW$21)</f>
        <v>0.1578947368</v>
      </c>
      <c r="BX25" s="6">
        <f t="shared" si="12"/>
        <v>0.1578947368</v>
      </c>
      <c r="BY25" s="6">
        <f t="shared" si="9"/>
        <v>0.125</v>
      </c>
      <c r="BZ25" s="6">
        <f t="shared" si="10"/>
        <v>0.2</v>
      </c>
      <c r="CA25" s="6">
        <f t="shared" si="11"/>
        <v>0</v>
      </c>
      <c r="CB25" s="6">
        <v>9.0</v>
      </c>
      <c r="CC25" s="6"/>
      <c r="CD25" s="6"/>
      <c r="CE25" s="6"/>
      <c r="CF25" s="6"/>
      <c r="CG25" s="6"/>
      <c r="CH25" s="6"/>
      <c r="CI25" s="6"/>
      <c r="CJ25" s="6"/>
      <c r="CK25" s="6"/>
      <c r="CL25" s="6"/>
    </row>
    <row r="26" ht="15.75" customHeight="1">
      <c r="A26" s="1" t="s">
        <v>120</v>
      </c>
      <c r="B26" s="17">
        <v>7.0</v>
      </c>
      <c r="C26" s="9" t="s">
        <v>85</v>
      </c>
      <c r="D26" s="9">
        <v>0.630787</v>
      </c>
      <c r="E26" s="9" t="s">
        <v>85</v>
      </c>
      <c r="F26" s="9" t="s">
        <v>85</v>
      </c>
      <c r="G26" s="30">
        <v>0.556866825</v>
      </c>
      <c r="H26" s="9" t="s">
        <v>85</v>
      </c>
      <c r="I26" s="9" t="s">
        <v>85</v>
      </c>
      <c r="J26" s="9">
        <v>0.628712</v>
      </c>
      <c r="K26" s="9" t="s">
        <v>85</v>
      </c>
      <c r="L26" s="9" t="s">
        <v>85</v>
      </c>
      <c r="M26" s="9">
        <v>0.637012</v>
      </c>
      <c r="N26" s="9" t="s">
        <v>85</v>
      </c>
      <c r="O26" s="9" t="s">
        <v>85</v>
      </c>
      <c r="P26" s="9">
        <v>0.648165</v>
      </c>
      <c r="Q26" s="9" t="s">
        <v>85</v>
      </c>
      <c r="R26" s="9" t="s">
        <v>85</v>
      </c>
      <c r="S26" s="9">
        <v>0.652056</v>
      </c>
      <c r="T26" s="9" t="s">
        <v>85</v>
      </c>
      <c r="U26" s="9" t="s">
        <v>85</v>
      </c>
      <c r="V26" s="9">
        <v>0.635975</v>
      </c>
      <c r="W26" s="9" t="s">
        <v>85</v>
      </c>
      <c r="X26" s="9" t="s">
        <v>85</v>
      </c>
      <c r="Y26" s="9">
        <v>0.651277</v>
      </c>
      <c r="Z26" s="9" t="s">
        <v>85</v>
      </c>
      <c r="AA26" s="9" t="s">
        <v>85</v>
      </c>
      <c r="AB26" s="30">
        <v>0.635067</v>
      </c>
      <c r="AC26" s="9" t="s">
        <v>85</v>
      </c>
      <c r="AD26" s="9" t="s">
        <v>85</v>
      </c>
      <c r="AE26" s="30">
        <v>0.664765</v>
      </c>
      <c r="AF26" s="9" t="s">
        <v>85</v>
      </c>
      <c r="AG26" s="9" t="s">
        <v>85</v>
      </c>
      <c r="AH26" s="9">
        <v>0.651018</v>
      </c>
      <c r="AI26" s="9" t="s">
        <v>85</v>
      </c>
      <c r="AJ26" s="9" t="s">
        <v>85</v>
      </c>
      <c r="AK26" s="9">
        <v>0.638698</v>
      </c>
      <c r="AL26" s="9" t="s">
        <v>85</v>
      </c>
      <c r="AM26" s="9" t="s">
        <v>85</v>
      </c>
      <c r="AN26" s="9">
        <v>0.622487</v>
      </c>
      <c r="AO26" s="9" t="s">
        <v>85</v>
      </c>
      <c r="AP26" s="9" t="s">
        <v>85</v>
      </c>
      <c r="AQ26" s="30">
        <v>0.61328</v>
      </c>
      <c r="AR26" s="9" t="s">
        <v>85</v>
      </c>
      <c r="AS26" s="9" t="s">
        <v>85</v>
      </c>
      <c r="AT26" s="9">
        <v>0.631436</v>
      </c>
      <c r="AU26" s="9" t="s">
        <v>85</v>
      </c>
      <c r="AV26" s="9" t="s">
        <v>85</v>
      </c>
      <c r="AW26" s="9">
        <v>0.638179</v>
      </c>
      <c r="AX26" s="9" t="s">
        <v>85</v>
      </c>
      <c r="AY26" s="9" t="s">
        <v>85</v>
      </c>
      <c r="AZ26" s="9">
        <v>0.62158</v>
      </c>
      <c r="BA26" s="9" t="s">
        <v>85</v>
      </c>
      <c r="BB26" s="9" t="s">
        <v>85</v>
      </c>
      <c r="BC26" s="30">
        <v>0.641551</v>
      </c>
      <c r="BD26" s="9" t="s">
        <v>85</v>
      </c>
      <c r="BE26" s="9" t="s">
        <v>85</v>
      </c>
      <c r="BF26" s="9">
        <v>0.585657</v>
      </c>
      <c r="BG26" s="9" t="s">
        <v>85</v>
      </c>
      <c r="BH26" s="6"/>
      <c r="BI26" s="6" t="str">
        <f t="shared" si="1"/>
        <v>10BN_Fold_Median</v>
      </c>
      <c r="BJ26" s="6" t="str">
        <f t="shared" si="2"/>
        <v>8BN_Fold_Median</v>
      </c>
      <c r="BK26" s="6" t="str">
        <f t="shared" si="3"/>
        <v>8VB_Fold_Median</v>
      </c>
      <c r="BL26" s="6"/>
      <c r="BM26" s="6"/>
      <c r="BN26" s="6">
        <f>COUNTIF(B3:B118,"&lt;=2")</f>
        <v>38</v>
      </c>
      <c r="BO26" s="6">
        <f>COUNTIFS(B3:B100,"&gt;=3",B3:B100,"&lt;=5")</f>
        <v>32</v>
      </c>
      <c r="BP26" s="6">
        <f>COUNTIFS(B3:B100,"&gt;5",B3:B100,"&lt;=10")</f>
        <v>16</v>
      </c>
      <c r="BQ26" s="6">
        <f>COUNTIFS(B3:B100,"&gt;10",B3:B100,"&lt;30")</f>
        <v>5</v>
      </c>
      <c r="BR26" s="6">
        <f>COUNTIF(B3:B118,"&gt;=30")</f>
        <v>7</v>
      </c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</row>
    <row r="27" ht="15.75" customHeight="1">
      <c r="A27" s="1" t="s">
        <v>121</v>
      </c>
      <c r="B27" s="17">
        <v>4.0</v>
      </c>
      <c r="C27" s="9" t="s">
        <v>85</v>
      </c>
      <c r="D27" s="9">
        <v>0.252</v>
      </c>
      <c r="E27" s="9" t="s">
        <v>85</v>
      </c>
      <c r="F27" s="9" t="s">
        <v>85</v>
      </c>
      <c r="G27" s="30">
        <v>0.256000012</v>
      </c>
      <c r="H27" s="9" t="s">
        <v>85</v>
      </c>
      <c r="I27" s="9" t="s">
        <v>85</v>
      </c>
      <c r="J27" s="9">
        <v>0.25</v>
      </c>
      <c r="K27" s="9" t="s">
        <v>85</v>
      </c>
      <c r="L27" s="9" t="s">
        <v>85</v>
      </c>
      <c r="M27" s="9">
        <v>0.248</v>
      </c>
      <c r="N27" s="9" t="s">
        <v>85</v>
      </c>
      <c r="O27" s="9" t="s">
        <v>85</v>
      </c>
      <c r="P27" s="9">
        <v>0.284</v>
      </c>
      <c r="Q27" s="9" t="s">
        <v>85</v>
      </c>
      <c r="R27" s="9" t="s">
        <v>85</v>
      </c>
      <c r="S27" s="9">
        <v>0.248</v>
      </c>
      <c r="T27" s="9" t="s">
        <v>85</v>
      </c>
      <c r="U27" s="9" t="s">
        <v>85</v>
      </c>
      <c r="V27" s="9">
        <v>0.252</v>
      </c>
      <c r="W27" s="9" t="s">
        <v>85</v>
      </c>
      <c r="X27" s="9" t="s">
        <v>85</v>
      </c>
      <c r="Y27" s="9">
        <v>0.252</v>
      </c>
      <c r="Z27" s="9" t="s">
        <v>85</v>
      </c>
      <c r="AA27" s="9" t="s">
        <v>85</v>
      </c>
      <c r="AB27" s="30">
        <v>0.268</v>
      </c>
      <c r="AC27" s="9" t="s">
        <v>85</v>
      </c>
      <c r="AD27" s="9" t="s">
        <v>85</v>
      </c>
      <c r="AE27" s="30">
        <v>0.284</v>
      </c>
      <c r="AF27" s="9" t="s">
        <v>85</v>
      </c>
      <c r="AG27" s="9" t="s">
        <v>85</v>
      </c>
      <c r="AH27" s="9">
        <v>0.294</v>
      </c>
      <c r="AI27" s="9" t="s">
        <v>85</v>
      </c>
      <c r="AJ27" s="9" t="s">
        <v>85</v>
      </c>
      <c r="AK27" s="9">
        <v>0.356</v>
      </c>
      <c r="AL27" s="9" t="s">
        <v>85</v>
      </c>
      <c r="AM27" s="9" t="s">
        <v>85</v>
      </c>
      <c r="AN27" s="9">
        <v>0.248</v>
      </c>
      <c r="AO27" s="9" t="s">
        <v>85</v>
      </c>
      <c r="AP27" s="9" t="s">
        <v>85</v>
      </c>
      <c r="AQ27" s="30">
        <v>0.258</v>
      </c>
      <c r="AR27" s="9" t="s">
        <v>85</v>
      </c>
      <c r="AS27" s="9" t="s">
        <v>85</v>
      </c>
      <c r="AT27" s="9">
        <v>0.248</v>
      </c>
      <c r="AU27" s="9" t="s">
        <v>85</v>
      </c>
      <c r="AV27" s="9" t="s">
        <v>85</v>
      </c>
      <c r="AW27" s="9">
        <v>0.248</v>
      </c>
      <c r="AX27" s="9" t="s">
        <v>85</v>
      </c>
      <c r="AY27" s="9" t="s">
        <v>85</v>
      </c>
      <c r="AZ27" s="9">
        <v>0.248</v>
      </c>
      <c r="BA27" s="9" t="s">
        <v>85</v>
      </c>
      <c r="BB27" s="9" t="s">
        <v>85</v>
      </c>
      <c r="BC27" s="30">
        <v>0.26</v>
      </c>
      <c r="BD27" s="9" t="s">
        <v>85</v>
      </c>
      <c r="BE27" s="9" t="s">
        <v>85</v>
      </c>
      <c r="BF27" s="9">
        <v>0.314</v>
      </c>
      <c r="BG27" s="9" t="s">
        <v>85</v>
      </c>
      <c r="BH27" s="6"/>
      <c r="BI27" s="6" t="str">
        <f t="shared" si="1"/>
        <v>10VB_Fold_Median</v>
      </c>
      <c r="BJ27" s="6" t="str">
        <f t="shared" si="2"/>
        <v>De_Fold_Median</v>
      </c>
      <c r="BK27" s="6" t="str">
        <f t="shared" si="3"/>
        <v>10V_Fold_Median</v>
      </c>
      <c r="BL27" s="6"/>
      <c r="BM27" s="6" t="s">
        <v>226</v>
      </c>
      <c r="BN27" s="18">
        <f t="shared" ref="BN27:BR27" si="13">MINUS(BN26,SUM(BN28,BN29))</f>
        <v>21</v>
      </c>
      <c r="BO27" s="18">
        <f t="shared" si="13"/>
        <v>17</v>
      </c>
      <c r="BP27" s="18">
        <f t="shared" si="13"/>
        <v>7</v>
      </c>
      <c r="BQ27" s="18">
        <f t="shared" si="13"/>
        <v>5</v>
      </c>
      <c r="BR27" s="18">
        <f t="shared" si="13"/>
        <v>3</v>
      </c>
      <c r="BS27" s="6">
        <f t="shared" ref="BS27:BS29" si="14">SUM(BN27:BR27)</f>
        <v>53</v>
      </c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</row>
    <row r="28" ht="15.75" customHeight="1">
      <c r="A28" s="1" t="s">
        <v>122</v>
      </c>
      <c r="B28" s="17">
        <v>14.0</v>
      </c>
      <c r="C28" s="9" t="s">
        <v>85</v>
      </c>
      <c r="D28" s="9">
        <v>0.395266</v>
      </c>
      <c r="E28" s="9" t="s">
        <v>85</v>
      </c>
      <c r="F28" s="9" t="s">
        <v>85</v>
      </c>
      <c r="G28" s="30">
        <v>0.411834329</v>
      </c>
      <c r="H28" s="9" t="s">
        <v>85</v>
      </c>
      <c r="I28" s="9" t="s">
        <v>85</v>
      </c>
      <c r="J28" s="9">
        <v>0.554438</v>
      </c>
      <c r="K28" s="9" t="s">
        <v>85</v>
      </c>
      <c r="L28" s="9" t="s">
        <v>85</v>
      </c>
      <c r="M28" s="9">
        <v>0.36568</v>
      </c>
      <c r="N28" s="9" t="s">
        <v>85</v>
      </c>
      <c r="O28" s="9" t="s">
        <v>85</v>
      </c>
      <c r="P28" s="9">
        <v>0.587574</v>
      </c>
      <c r="Q28" s="9" t="s">
        <v>85</v>
      </c>
      <c r="R28" s="9" t="s">
        <v>85</v>
      </c>
      <c r="S28" s="9">
        <v>0.557396</v>
      </c>
      <c r="T28" s="9" t="s">
        <v>85</v>
      </c>
      <c r="U28" s="9" t="s">
        <v>85</v>
      </c>
      <c r="V28" s="9">
        <v>0.523077</v>
      </c>
      <c r="W28" s="9" t="s">
        <v>85</v>
      </c>
      <c r="X28" s="9" t="s">
        <v>85</v>
      </c>
      <c r="Y28" s="9">
        <v>0.443787</v>
      </c>
      <c r="Z28" s="9" t="s">
        <v>85</v>
      </c>
      <c r="AA28" s="9" t="s">
        <v>85</v>
      </c>
      <c r="AB28" s="30">
        <v>0.580473</v>
      </c>
      <c r="AC28" s="9" t="s">
        <v>85</v>
      </c>
      <c r="AD28" s="9" t="s">
        <v>85</v>
      </c>
      <c r="AE28" s="30">
        <v>0.673373</v>
      </c>
      <c r="AF28" s="9" t="s">
        <v>85</v>
      </c>
      <c r="AG28" s="9" t="s">
        <v>85</v>
      </c>
      <c r="AH28" s="9">
        <v>0.550888</v>
      </c>
      <c r="AI28" s="9" t="s">
        <v>85</v>
      </c>
      <c r="AJ28" s="9" t="s">
        <v>85</v>
      </c>
      <c r="AK28" s="9">
        <v>0.374556</v>
      </c>
      <c r="AL28" s="9" t="s">
        <v>85</v>
      </c>
      <c r="AM28" s="9" t="s">
        <v>85</v>
      </c>
      <c r="AN28" s="9">
        <v>0.591124</v>
      </c>
      <c r="AO28" s="9" t="s">
        <v>85</v>
      </c>
      <c r="AP28" s="9" t="s">
        <v>85</v>
      </c>
      <c r="AQ28" s="30">
        <v>0.629586</v>
      </c>
      <c r="AR28" s="9" t="s">
        <v>85</v>
      </c>
      <c r="AS28" s="9" t="s">
        <v>85</v>
      </c>
      <c r="AT28" s="9">
        <v>0.420118</v>
      </c>
      <c r="AU28" s="9" t="s">
        <v>85</v>
      </c>
      <c r="AV28" s="9" t="s">
        <v>85</v>
      </c>
      <c r="AW28" s="9">
        <v>0.46568</v>
      </c>
      <c r="AX28" s="9" t="s">
        <v>85</v>
      </c>
      <c r="AY28" s="9" t="s">
        <v>85</v>
      </c>
      <c r="AZ28" s="9">
        <v>0.678106</v>
      </c>
      <c r="BA28" s="9" t="s">
        <v>85</v>
      </c>
      <c r="BB28" s="9" t="s">
        <v>85</v>
      </c>
      <c r="BC28" s="30">
        <v>0.405325</v>
      </c>
      <c r="BD28" s="9" t="s">
        <v>85</v>
      </c>
      <c r="BE28" s="9" t="s">
        <v>85</v>
      </c>
      <c r="BF28" s="9">
        <v>0.300592</v>
      </c>
      <c r="BG28" s="9" t="s">
        <v>85</v>
      </c>
      <c r="BH28" s="6"/>
      <c r="BI28" s="6" t="str">
        <f t="shared" si="1"/>
        <v>20B_Fold_Median</v>
      </c>
      <c r="BJ28" s="6" t="str">
        <f t="shared" si="2"/>
        <v>10BN_Fold_Median</v>
      </c>
      <c r="BK28" s="6" t="str">
        <f t="shared" si="3"/>
        <v>12BN_Fold_Median</v>
      </c>
      <c r="BL28" s="6"/>
      <c r="BM28" s="6" t="s">
        <v>227</v>
      </c>
      <c r="BN28" s="18">
        <f>COUNTIFS(BK3:BK118,"*V*",B3:B118,"&lt;=2")</f>
        <v>17</v>
      </c>
      <c r="BO28" s="19">
        <f>COUNTIFS(BK3:BK100,"*V*",B3:B100,"&gt;=3",B3:B100,"&lt;=5")</f>
        <v>15</v>
      </c>
      <c r="BP28" s="18">
        <f>COUNTIFS(BK3:BK100,"*V*",B3:B100,"&gt;5",B3:B100,"&lt;=10")</f>
        <v>9</v>
      </c>
      <c r="BQ28" s="18">
        <f>COUNTIFS(BK3:BK100,"*V*",B3:B100,"&gt;10",B3:B100,"&lt;30")</f>
        <v>0</v>
      </c>
      <c r="BR28" s="18">
        <f>COUNTIFS(BK3:BK118,"*V*",B3:B118,"&gt;=30")</f>
        <v>3</v>
      </c>
      <c r="BS28" s="6">
        <f t="shared" si="14"/>
        <v>44</v>
      </c>
      <c r="BT28" s="6"/>
      <c r="BU28" s="6"/>
      <c r="BV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</row>
    <row r="29" ht="15.75" customHeight="1">
      <c r="A29" s="1" t="s">
        <v>123</v>
      </c>
      <c r="B29" s="17">
        <v>4.0</v>
      </c>
      <c r="C29" s="9" t="s">
        <v>85</v>
      </c>
      <c r="D29" s="9">
        <v>0.397727</v>
      </c>
      <c r="E29" s="9" t="s">
        <v>85</v>
      </c>
      <c r="F29" s="9" t="s">
        <v>85</v>
      </c>
      <c r="G29" s="30">
        <v>0.363636374</v>
      </c>
      <c r="H29" s="9" t="s">
        <v>85</v>
      </c>
      <c r="I29" s="9" t="s">
        <v>85</v>
      </c>
      <c r="J29" s="9">
        <v>0.522727</v>
      </c>
      <c r="K29" s="9" t="s">
        <v>85</v>
      </c>
      <c r="L29" s="9" t="s">
        <v>85</v>
      </c>
      <c r="M29" s="9">
        <v>0.545455</v>
      </c>
      <c r="N29" s="9" t="s">
        <v>85</v>
      </c>
      <c r="O29" s="9" t="s">
        <v>85</v>
      </c>
      <c r="P29" s="9">
        <v>0.409091</v>
      </c>
      <c r="Q29" s="9" t="s">
        <v>85</v>
      </c>
      <c r="R29" s="9" t="s">
        <v>85</v>
      </c>
      <c r="S29" s="9">
        <v>0.488636</v>
      </c>
      <c r="T29" s="9" t="s">
        <v>85</v>
      </c>
      <c r="U29" s="9" t="s">
        <v>85</v>
      </c>
      <c r="V29" s="9">
        <v>0.715909</v>
      </c>
      <c r="W29" s="9" t="s">
        <v>85</v>
      </c>
      <c r="X29" s="9" t="s">
        <v>85</v>
      </c>
      <c r="Y29" s="9">
        <v>0.602273</v>
      </c>
      <c r="Z29" s="9" t="s">
        <v>85</v>
      </c>
      <c r="AA29" s="9" t="s">
        <v>85</v>
      </c>
      <c r="AB29" s="30">
        <v>0.454545</v>
      </c>
      <c r="AC29" s="9" t="s">
        <v>85</v>
      </c>
      <c r="AD29" s="9" t="s">
        <v>85</v>
      </c>
      <c r="AE29" s="30">
        <v>0.477273</v>
      </c>
      <c r="AF29" s="9" t="s">
        <v>85</v>
      </c>
      <c r="AG29" s="9" t="s">
        <v>85</v>
      </c>
      <c r="AH29" s="9">
        <v>0.556818</v>
      </c>
      <c r="AI29" s="9" t="s">
        <v>85</v>
      </c>
      <c r="AJ29" s="9" t="s">
        <v>85</v>
      </c>
      <c r="AK29" s="9">
        <v>0.625</v>
      </c>
      <c r="AL29" s="9" t="s">
        <v>85</v>
      </c>
      <c r="AM29" s="9" t="s">
        <v>85</v>
      </c>
      <c r="AN29" s="9">
        <v>0.534091</v>
      </c>
      <c r="AO29" s="9" t="s">
        <v>85</v>
      </c>
      <c r="AP29" s="9" t="s">
        <v>85</v>
      </c>
      <c r="AQ29" s="30">
        <v>0.647727</v>
      </c>
      <c r="AR29" s="9" t="s">
        <v>85</v>
      </c>
      <c r="AS29" s="9" t="s">
        <v>85</v>
      </c>
      <c r="AT29" s="9">
        <v>0.545455</v>
      </c>
      <c r="AU29" s="9" t="s">
        <v>85</v>
      </c>
      <c r="AV29" s="9" t="s">
        <v>85</v>
      </c>
      <c r="AW29" s="9">
        <v>0.602273</v>
      </c>
      <c r="AX29" s="9" t="s">
        <v>85</v>
      </c>
      <c r="AY29" s="9" t="s">
        <v>85</v>
      </c>
      <c r="AZ29" s="9">
        <v>0.488636</v>
      </c>
      <c r="BA29" s="9" t="s">
        <v>85</v>
      </c>
      <c r="BB29" s="9" t="s">
        <v>85</v>
      </c>
      <c r="BC29" s="30">
        <v>0.681818</v>
      </c>
      <c r="BD29" s="9" t="s">
        <v>85</v>
      </c>
      <c r="BE29" s="9" t="s">
        <v>85</v>
      </c>
      <c r="BF29" s="9">
        <v>0.488636</v>
      </c>
      <c r="BG29" s="9" t="s">
        <v>85</v>
      </c>
      <c r="BH29" s="6"/>
      <c r="BI29" s="6" t="str">
        <f t="shared" si="1"/>
        <v>8V_Fold_Median</v>
      </c>
      <c r="BJ29" s="6" t="str">
        <f t="shared" si="2"/>
        <v>20V_Fold_Median</v>
      </c>
      <c r="BK29" s="6" t="str">
        <f t="shared" si="3"/>
        <v>12BN_Fold_Median</v>
      </c>
      <c r="BL29" s="6"/>
      <c r="BM29" s="6" t="s">
        <v>20</v>
      </c>
      <c r="BN29" s="18">
        <f>COUNTIFS(BK3:BK118,"*De*",B3:B118,"&lt;=2")</f>
        <v>0</v>
      </c>
      <c r="BO29" s="19">
        <f>COUNTIFS(BK3:BK100,"*De*",B3:B100,"&gt;=3",B3:B100,"&lt;=5")</f>
        <v>0</v>
      </c>
      <c r="BP29" s="18">
        <f>COUNTIFS(BK3:BK118,"*De*",B3:B118,"&gt;200",B3:B118,"&lt;500")</f>
        <v>0</v>
      </c>
      <c r="BQ29" s="18">
        <f>COUNTIFS(BK3:BK100,"*De*",B3:B100,"&gt;10",B3:B100,"&lt;30")</f>
        <v>0</v>
      </c>
      <c r="BR29" s="18">
        <f>COUNTIFS(BK3:BK118,"*De*",B3:B118,"&gt;=30")</f>
        <v>1</v>
      </c>
      <c r="BS29" s="6">
        <f t="shared" si="14"/>
        <v>1</v>
      </c>
      <c r="BT29" s="6"/>
      <c r="BU29" s="6"/>
      <c r="BV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</row>
    <row r="30" ht="15.75" customHeight="1">
      <c r="A30" s="1" t="s">
        <v>124</v>
      </c>
      <c r="B30" s="17">
        <v>14.0</v>
      </c>
      <c r="C30" s="9" t="s">
        <v>85</v>
      </c>
      <c r="D30" s="9">
        <v>0.519024</v>
      </c>
      <c r="E30" s="9" t="s">
        <v>85</v>
      </c>
      <c r="F30" s="9" t="s">
        <v>85</v>
      </c>
      <c r="G30" s="30">
        <v>0.458048791</v>
      </c>
      <c r="H30" s="9" t="s">
        <v>85</v>
      </c>
      <c r="I30" s="9" t="s">
        <v>85</v>
      </c>
      <c r="J30" s="9">
        <v>0.581951</v>
      </c>
      <c r="K30" s="9" t="s">
        <v>85</v>
      </c>
      <c r="L30" s="9" t="s">
        <v>85</v>
      </c>
      <c r="M30" s="9">
        <v>0.556585</v>
      </c>
      <c r="N30" s="9" t="s">
        <v>85</v>
      </c>
      <c r="O30" s="9" t="s">
        <v>85</v>
      </c>
      <c r="P30" s="9">
        <v>0.625366</v>
      </c>
      <c r="Q30" s="9" t="s">
        <v>85</v>
      </c>
      <c r="R30" s="9" t="s">
        <v>85</v>
      </c>
      <c r="S30" s="9">
        <v>0.598537</v>
      </c>
      <c r="T30" s="9" t="s">
        <v>85</v>
      </c>
      <c r="U30" s="9" t="s">
        <v>85</v>
      </c>
      <c r="V30" s="9">
        <v>0.61122</v>
      </c>
      <c r="W30" s="9" t="s">
        <v>85</v>
      </c>
      <c r="X30" s="9" t="s">
        <v>85</v>
      </c>
      <c r="Y30" s="9">
        <v>0.583902</v>
      </c>
      <c r="Z30" s="9" t="s">
        <v>85</v>
      </c>
      <c r="AA30" s="9" t="s">
        <v>85</v>
      </c>
      <c r="AB30" s="30">
        <v>0.610244</v>
      </c>
      <c r="AC30" s="9" t="s">
        <v>85</v>
      </c>
      <c r="AD30" s="9" t="s">
        <v>85</v>
      </c>
      <c r="AE30" s="30">
        <v>0.640976</v>
      </c>
      <c r="AF30" s="9" t="s">
        <v>85</v>
      </c>
      <c r="AG30" s="9" t="s">
        <v>85</v>
      </c>
      <c r="AH30" s="9">
        <v>0.537073</v>
      </c>
      <c r="AI30" s="9" t="s">
        <v>85</v>
      </c>
      <c r="AJ30" s="9" t="s">
        <v>85</v>
      </c>
      <c r="AK30" s="9">
        <v>0.581463</v>
      </c>
      <c r="AL30" s="9" t="s">
        <v>85</v>
      </c>
      <c r="AM30" s="9" t="s">
        <v>85</v>
      </c>
      <c r="AN30" s="9">
        <v>0.649268</v>
      </c>
      <c r="AO30" s="9" t="s">
        <v>85</v>
      </c>
      <c r="AP30" s="9" t="s">
        <v>85</v>
      </c>
      <c r="AQ30" s="30">
        <v>0.636585</v>
      </c>
      <c r="AR30" s="9" t="s">
        <v>85</v>
      </c>
      <c r="AS30" s="9" t="s">
        <v>85</v>
      </c>
      <c r="AT30" s="9">
        <v>0.565366</v>
      </c>
      <c r="AU30" s="9" t="s">
        <v>85</v>
      </c>
      <c r="AV30" s="9" t="s">
        <v>85</v>
      </c>
      <c r="AW30" s="9">
        <v>0.61122</v>
      </c>
      <c r="AX30" s="9" t="s">
        <v>85</v>
      </c>
      <c r="AY30" s="9" t="s">
        <v>85</v>
      </c>
      <c r="AZ30" s="9">
        <v>0.687805</v>
      </c>
      <c r="BA30" s="9" t="s">
        <v>85</v>
      </c>
      <c r="BB30" s="9" t="s">
        <v>85</v>
      </c>
      <c r="BC30" s="30">
        <v>0.541463</v>
      </c>
      <c r="BD30" s="9" t="s">
        <v>85</v>
      </c>
      <c r="BE30" s="9" t="s">
        <v>85</v>
      </c>
      <c r="BF30" s="9">
        <v>0.393171</v>
      </c>
      <c r="BG30" s="9" t="s">
        <v>85</v>
      </c>
      <c r="BH30" s="6"/>
      <c r="BI30" s="6" t="str">
        <f t="shared" si="1"/>
        <v>20B_Fold_Median</v>
      </c>
      <c r="BJ30" s="6" t="str">
        <f t="shared" si="2"/>
        <v>12B_Fold_Median</v>
      </c>
      <c r="BK30" s="6" t="str">
        <f t="shared" si="3"/>
        <v>10BN_Fold_Median</v>
      </c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</row>
    <row r="31" ht="15.75" customHeight="1">
      <c r="A31" s="1" t="s">
        <v>125</v>
      </c>
      <c r="B31" s="17">
        <v>50.0</v>
      </c>
      <c r="C31" s="9" t="s">
        <v>85</v>
      </c>
      <c r="D31" s="9">
        <v>0.413187</v>
      </c>
      <c r="E31" s="9" t="s">
        <v>85</v>
      </c>
      <c r="F31" s="9" t="s">
        <v>85</v>
      </c>
      <c r="G31" s="30">
        <v>0.353846163</v>
      </c>
      <c r="H31" s="9" t="s">
        <v>85</v>
      </c>
      <c r="I31" s="9" t="s">
        <v>85</v>
      </c>
      <c r="J31" s="9">
        <v>0.386813</v>
      </c>
      <c r="K31" s="9" t="s">
        <v>85</v>
      </c>
      <c r="L31" s="9" t="s">
        <v>85</v>
      </c>
      <c r="M31" s="9">
        <v>0.373626</v>
      </c>
      <c r="N31" s="9" t="s">
        <v>85</v>
      </c>
      <c r="O31" s="9" t="s">
        <v>85</v>
      </c>
      <c r="P31" s="9">
        <v>0.446154</v>
      </c>
      <c r="Q31" s="9" t="s">
        <v>85</v>
      </c>
      <c r="R31" s="9" t="s">
        <v>85</v>
      </c>
      <c r="S31" s="9">
        <v>0.476923</v>
      </c>
      <c r="T31" s="9" t="s">
        <v>85</v>
      </c>
      <c r="U31" s="9" t="s">
        <v>85</v>
      </c>
      <c r="V31" s="9">
        <v>0.397802</v>
      </c>
      <c r="W31" s="9" t="s">
        <v>85</v>
      </c>
      <c r="X31" s="9" t="s">
        <v>85</v>
      </c>
      <c r="Y31" s="9">
        <v>0.378022</v>
      </c>
      <c r="Z31" s="9" t="s">
        <v>85</v>
      </c>
      <c r="AA31" s="9" t="s">
        <v>85</v>
      </c>
      <c r="AB31" s="30">
        <v>0.430769</v>
      </c>
      <c r="AC31" s="9" t="s">
        <v>85</v>
      </c>
      <c r="AD31" s="9" t="s">
        <v>85</v>
      </c>
      <c r="AE31" s="30">
        <v>0.432967</v>
      </c>
      <c r="AF31" s="9" t="s">
        <v>85</v>
      </c>
      <c r="AG31" s="9" t="s">
        <v>85</v>
      </c>
      <c r="AH31" s="9">
        <v>0.259341</v>
      </c>
      <c r="AI31" s="9" t="s">
        <v>85</v>
      </c>
      <c r="AJ31" s="9" t="s">
        <v>85</v>
      </c>
      <c r="AK31" s="9">
        <v>0.424176</v>
      </c>
      <c r="AL31" s="9" t="s">
        <v>85</v>
      </c>
      <c r="AM31" s="9" t="s">
        <v>85</v>
      </c>
      <c r="AN31" s="9">
        <v>0.413187</v>
      </c>
      <c r="AO31" s="9" t="s">
        <v>85</v>
      </c>
      <c r="AP31" s="9" t="s">
        <v>85</v>
      </c>
      <c r="AQ31" s="30">
        <v>0.481319</v>
      </c>
      <c r="AR31" s="9" t="s">
        <v>85</v>
      </c>
      <c r="AS31" s="9" t="s">
        <v>85</v>
      </c>
      <c r="AT31" s="9">
        <v>0.342857</v>
      </c>
      <c r="AU31" s="9" t="s">
        <v>85</v>
      </c>
      <c r="AV31" s="9" t="s">
        <v>85</v>
      </c>
      <c r="AW31" s="9">
        <v>0.336264</v>
      </c>
      <c r="AX31" s="9" t="s">
        <v>85</v>
      </c>
      <c r="AY31" s="9" t="s">
        <v>85</v>
      </c>
      <c r="AZ31" s="9">
        <v>0.373626</v>
      </c>
      <c r="BA31" s="9" t="s">
        <v>85</v>
      </c>
      <c r="BB31" s="9" t="s">
        <v>85</v>
      </c>
      <c r="BC31" s="30">
        <v>0.382418</v>
      </c>
      <c r="BD31" s="9" t="s">
        <v>85</v>
      </c>
      <c r="BE31" s="9" t="s">
        <v>85</v>
      </c>
      <c r="BF31" s="9">
        <v>0.459341</v>
      </c>
      <c r="BG31" s="9" t="s">
        <v>85</v>
      </c>
      <c r="BH31" s="6"/>
      <c r="BI31" s="6" t="str">
        <f t="shared" si="1"/>
        <v>12BN_Fold_Median</v>
      </c>
      <c r="BJ31" s="6" t="str">
        <f t="shared" si="2"/>
        <v>8BN_Fold_Median</v>
      </c>
      <c r="BK31" s="6" t="str">
        <f t="shared" si="3"/>
        <v>De_Fold_Median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</row>
    <row r="32" ht="15.75" customHeight="1">
      <c r="A32" s="1" t="s">
        <v>126</v>
      </c>
      <c r="B32" s="17">
        <v>7.0</v>
      </c>
      <c r="C32" s="9" t="s">
        <v>85</v>
      </c>
      <c r="D32" s="9">
        <v>0.514286</v>
      </c>
      <c r="E32" s="9" t="s">
        <v>85</v>
      </c>
      <c r="F32" s="9" t="s">
        <v>85</v>
      </c>
      <c r="G32" s="30">
        <v>0.497142851</v>
      </c>
      <c r="H32" s="9" t="s">
        <v>85</v>
      </c>
      <c r="I32" s="9" t="s">
        <v>85</v>
      </c>
      <c r="J32" s="9">
        <v>0.68</v>
      </c>
      <c r="K32" s="9" t="s">
        <v>85</v>
      </c>
      <c r="L32" s="9" t="s">
        <v>85</v>
      </c>
      <c r="M32" s="9">
        <v>0.651429</v>
      </c>
      <c r="N32" s="9" t="s">
        <v>85</v>
      </c>
      <c r="O32" s="9" t="s">
        <v>85</v>
      </c>
      <c r="P32" s="9">
        <v>0.577143</v>
      </c>
      <c r="Q32" s="9" t="s">
        <v>85</v>
      </c>
      <c r="R32" s="9" t="s">
        <v>85</v>
      </c>
      <c r="S32" s="9">
        <v>0.628571</v>
      </c>
      <c r="T32" s="9" t="s">
        <v>85</v>
      </c>
      <c r="U32" s="9" t="s">
        <v>85</v>
      </c>
      <c r="V32" s="9">
        <v>0.691429</v>
      </c>
      <c r="W32" s="9" t="s">
        <v>85</v>
      </c>
      <c r="X32" s="9" t="s">
        <v>85</v>
      </c>
      <c r="Y32" s="9">
        <v>0.64</v>
      </c>
      <c r="Z32" s="9" t="s">
        <v>85</v>
      </c>
      <c r="AA32" s="9" t="s">
        <v>85</v>
      </c>
      <c r="AB32" s="30">
        <v>0.577143</v>
      </c>
      <c r="AC32" s="9" t="s">
        <v>85</v>
      </c>
      <c r="AD32" s="9" t="s">
        <v>85</v>
      </c>
      <c r="AE32" s="30">
        <v>0.6</v>
      </c>
      <c r="AF32" s="9" t="s">
        <v>85</v>
      </c>
      <c r="AG32" s="9" t="s">
        <v>85</v>
      </c>
      <c r="AH32" s="9">
        <v>0.611429</v>
      </c>
      <c r="AI32" s="9" t="s">
        <v>85</v>
      </c>
      <c r="AJ32" s="9" t="s">
        <v>85</v>
      </c>
      <c r="AK32" s="9">
        <v>0.537143</v>
      </c>
      <c r="AL32" s="9" t="s">
        <v>85</v>
      </c>
      <c r="AM32" s="9" t="s">
        <v>85</v>
      </c>
      <c r="AN32" s="9">
        <v>0.588571</v>
      </c>
      <c r="AO32" s="9" t="s">
        <v>85</v>
      </c>
      <c r="AP32" s="9" t="s">
        <v>85</v>
      </c>
      <c r="AQ32" s="30">
        <v>0.554286</v>
      </c>
      <c r="AR32" s="9" t="s">
        <v>85</v>
      </c>
      <c r="AS32" s="9" t="s">
        <v>85</v>
      </c>
      <c r="AT32" s="9">
        <v>0.571429</v>
      </c>
      <c r="AU32" s="9" t="s">
        <v>85</v>
      </c>
      <c r="AV32" s="9" t="s">
        <v>85</v>
      </c>
      <c r="AW32" s="9">
        <v>0.537143</v>
      </c>
      <c r="AX32" s="9" t="s">
        <v>85</v>
      </c>
      <c r="AY32" s="9" t="s">
        <v>85</v>
      </c>
      <c r="AZ32" s="9">
        <v>0.565714</v>
      </c>
      <c r="BA32" s="9" t="s">
        <v>85</v>
      </c>
      <c r="BB32" s="9" t="s">
        <v>85</v>
      </c>
      <c r="BC32" s="30">
        <v>0.657143</v>
      </c>
      <c r="BD32" s="9" t="s">
        <v>85</v>
      </c>
      <c r="BE32" s="9" t="s">
        <v>85</v>
      </c>
      <c r="BF32" s="9">
        <v>0.554286</v>
      </c>
      <c r="BG32" s="9" t="s">
        <v>85</v>
      </c>
      <c r="BH32" s="6"/>
      <c r="BI32" s="6" t="str">
        <f t="shared" si="1"/>
        <v>8V_Fold_Median</v>
      </c>
      <c r="BJ32" s="6" t="str">
        <f t="shared" si="2"/>
        <v>5V_Fold_Median</v>
      </c>
      <c r="BK32" s="6" t="str">
        <f t="shared" si="3"/>
        <v>20V_Fold_Median</v>
      </c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</row>
    <row r="33" ht="15.75" customHeight="1">
      <c r="A33" s="1" t="s">
        <v>127</v>
      </c>
      <c r="B33" s="17">
        <v>2.0</v>
      </c>
      <c r="C33" s="9" t="s">
        <v>85</v>
      </c>
      <c r="D33" s="9">
        <v>0.484091</v>
      </c>
      <c r="E33" s="9" t="s">
        <v>85</v>
      </c>
      <c r="F33" s="9" t="s">
        <v>85</v>
      </c>
      <c r="G33" s="30">
        <v>0.484090894</v>
      </c>
      <c r="H33" s="9" t="s">
        <v>85</v>
      </c>
      <c r="I33" s="9" t="s">
        <v>85</v>
      </c>
      <c r="J33" s="9">
        <v>0.484091</v>
      </c>
      <c r="K33" s="9" t="s">
        <v>85</v>
      </c>
      <c r="L33" s="9" t="s">
        <v>85</v>
      </c>
      <c r="M33" s="9">
        <v>0.484091</v>
      </c>
      <c r="N33" s="9" t="s">
        <v>85</v>
      </c>
      <c r="O33" s="9" t="s">
        <v>85</v>
      </c>
      <c r="P33" s="9">
        <v>0.484091</v>
      </c>
      <c r="Q33" s="9" t="s">
        <v>85</v>
      </c>
      <c r="R33" s="9" t="s">
        <v>85</v>
      </c>
      <c r="S33" s="9">
        <v>0.484091</v>
      </c>
      <c r="T33" s="9" t="s">
        <v>85</v>
      </c>
      <c r="U33" s="9" t="s">
        <v>85</v>
      </c>
      <c r="V33" s="9">
        <v>0.484091</v>
      </c>
      <c r="W33" s="9" t="s">
        <v>85</v>
      </c>
      <c r="X33" s="9" t="s">
        <v>85</v>
      </c>
      <c r="Y33" s="9">
        <v>0.484091</v>
      </c>
      <c r="Z33" s="9" t="s">
        <v>85</v>
      </c>
      <c r="AA33" s="9" t="s">
        <v>85</v>
      </c>
      <c r="AB33" s="30">
        <v>0.484091</v>
      </c>
      <c r="AC33" s="9" t="s">
        <v>85</v>
      </c>
      <c r="AD33" s="9" t="s">
        <v>85</v>
      </c>
      <c r="AE33" s="30">
        <v>0.484091</v>
      </c>
      <c r="AF33" s="9" t="s">
        <v>85</v>
      </c>
      <c r="AG33" s="9" t="s">
        <v>85</v>
      </c>
      <c r="AH33" s="9">
        <v>0.484091</v>
      </c>
      <c r="AI33" s="9" t="s">
        <v>85</v>
      </c>
      <c r="AJ33" s="9" t="s">
        <v>85</v>
      </c>
      <c r="AK33" s="9">
        <v>0.484091</v>
      </c>
      <c r="AL33" s="9" t="s">
        <v>85</v>
      </c>
      <c r="AM33" s="9" t="s">
        <v>85</v>
      </c>
      <c r="AN33" s="9">
        <v>0.484091</v>
      </c>
      <c r="AO33" s="9" t="s">
        <v>85</v>
      </c>
      <c r="AP33" s="9" t="s">
        <v>85</v>
      </c>
      <c r="AQ33" s="30">
        <v>0.484091</v>
      </c>
      <c r="AR33" s="9" t="s">
        <v>85</v>
      </c>
      <c r="AS33" s="9" t="s">
        <v>85</v>
      </c>
      <c r="AT33" s="9">
        <v>0.484091</v>
      </c>
      <c r="AU33" s="9" t="s">
        <v>85</v>
      </c>
      <c r="AV33" s="9" t="s">
        <v>85</v>
      </c>
      <c r="AW33" s="9">
        <v>0.484091</v>
      </c>
      <c r="AX33" s="9" t="s">
        <v>85</v>
      </c>
      <c r="AY33" s="9" t="s">
        <v>85</v>
      </c>
      <c r="AZ33" s="9">
        <v>0.484091</v>
      </c>
      <c r="BA33" s="9" t="s">
        <v>85</v>
      </c>
      <c r="BB33" s="9" t="s">
        <v>85</v>
      </c>
      <c r="BC33" s="30">
        <v>0.484091</v>
      </c>
      <c r="BD33" s="9" t="s">
        <v>85</v>
      </c>
      <c r="BE33" s="9" t="s">
        <v>85</v>
      </c>
      <c r="BF33" s="9">
        <v>0.484091</v>
      </c>
      <c r="BG33" s="9" t="s">
        <v>85</v>
      </c>
      <c r="BH33" s="6"/>
      <c r="BI33" s="6" t="str">
        <f t="shared" si="1"/>
        <v>5B_Fold_Median</v>
      </c>
      <c r="BJ33" s="6" t="str">
        <f t="shared" si="2"/>
        <v>5B_Fold_Median</v>
      </c>
      <c r="BK33" s="6" t="str">
        <f t="shared" si="3"/>
        <v>5B_Fold_Median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</row>
    <row r="34" ht="15.75" customHeight="1">
      <c r="A34" s="14" t="s">
        <v>128</v>
      </c>
      <c r="B34" s="17">
        <v>2.0</v>
      </c>
      <c r="C34" s="9" t="s">
        <v>85</v>
      </c>
      <c r="D34" s="9">
        <v>0.504938</v>
      </c>
      <c r="E34" s="9" t="s">
        <v>85</v>
      </c>
      <c r="F34" s="9" t="s">
        <v>85</v>
      </c>
      <c r="G34" s="30">
        <v>0.504938245</v>
      </c>
      <c r="H34" s="9" t="s">
        <v>85</v>
      </c>
      <c r="I34" s="9" t="s">
        <v>85</v>
      </c>
      <c r="J34" s="9">
        <v>0.504938</v>
      </c>
      <c r="K34" s="9" t="s">
        <v>85</v>
      </c>
      <c r="L34" s="9" t="s">
        <v>85</v>
      </c>
      <c r="M34" s="9">
        <v>0.504938</v>
      </c>
      <c r="N34" s="9" t="s">
        <v>85</v>
      </c>
      <c r="O34" s="9" t="s">
        <v>85</v>
      </c>
      <c r="P34" s="9">
        <v>0.504938</v>
      </c>
      <c r="Q34" s="9" t="s">
        <v>85</v>
      </c>
      <c r="R34" s="9" t="s">
        <v>85</v>
      </c>
      <c r="S34" s="9">
        <v>0.504938</v>
      </c>
      <c r="T34" s="9" t="s">
        <v>85</v>
      </c>
      <c r="U34" s="9" t="s">
        <v>85</v>
      </c>
      <c r="V34" s="9">
        <v>0.504938</v>
      </c>
      <c r="W34" s="9" t="s">
        <v>85</v>
      </c>
      <c r="X34" s="9" t="s">
        <v>85</v>
      </c>
      <c r="Y34" s="9">
        <v>0.504938</v>
      </c>
      <c r="Z34" s="9" t="s">
        <v>85</v>
      </c>
      <c r="AA34" s="9" t="s">
        <v>85</v>
      </c>
      <c r="AB34" s="30">
        <v>0.504938</v>
      </c>
      <c r="AC34" s="9" t="s">
        <v>85</v>
      </c>
      <c r="AD34" s="9" t="s">
        <v>85</v>
      </c>
      <c r="AE34" s="30">
        <v>0.504938</v>
      </c>
      <c r="AF34" s="9" t="s">
        <v>85</v>
      </c>
      <c r="AG34" s="9" t="s">
        <v>85</v>
      </c>
      <c r="AH34" s="9">
        <v>0.504938</v>
      </c>
      <c r="AI34" s="9" t="s">
        <v>85</v>
      </c>
      <c r="AJ34" s="9" t="s">
        <v>85</v>
      </c>
      <c r="AK34" s="9">
        <v>0.504938</v>
      </c>
      <c r="AL34" s="9" t="s">
        <v>85</v>
      </c>
      <c r="AM34" s="9" t="s">
        <v>85</v>
      </c>
      <c r="AN34" s="9">
        <v>0.504938</v>
      </c>
      <c r="AO34" s="9" t="s">
        <v>85</v>
      </c>
      <c r="AP34" s="9" t="s">
        <v>85</v>
      </c>
      <c r="AQ34" s="30">
        <v>0.504938</v>
      </c>
      <c r="AR34" s="9" t="s">
        <v>85</v>
      </c>
      <c r="AS34" s="9" t="s">
        <v>85</v>
      </c>
      <c r="AT34" s="9">
        <v>0.504938</v>
      </c>
      <c r="AU34" s="9" t="s">
        <v>85</v>
      </c>
      <c r="AV34" s="9" t="s">
        <v>85</v>
      </c>
      <c r="AW34" s="9">
        <v>0.504938</v>
      </c>
      <c r="AX34" s="9" t="s">
        <v>85</v>
      </c>
      <c r="AY34" s="9" t="s">
        <v>85</v>
      </c>
      <c r="AZ34" s="9">
        <v>0.504938</v>
      </c>
      <c r="BA34" s="9" t="s">
        <v>85</v>
      </c>
      <c r="BB34" s="9" t="s">
        <v>85</v>
      </c>
      <c r="BC34" s="30">
        <v>0.504938</v>
      </c>
      <c r="BD34" s="9" t="s">
        <v>85</v>
      </c>
      <c r="BE34" s="9" t="s">
        <v>85</v>
      </c>
      <c r="BF34" s="9">
        <v>0.504938</v>
      </c>
      <c r="BG34" s="9" t="s">
        <v>85</v>
      </c>
      <c r="BH34" s="6"/>
      <c r="BI34" s="6" t="str">
        <f t="shared" si="1"/>
        <v>5BN_Fold_Median</v>
      </c>
      <c r="BJ34" s="6" t="str">
        <f t="shared" si="2"/>
        <v>5B_Fold_Median</v>
      </c>
      <c r="BK34" s="6" t="str">
        <f t="shared" si="3"/>
        <v>5B_Fold_Median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</row>
    <row r="35" ht="15.75" customHeight="1">
      <c r="A35" s="1" t="s">
        <v>129</v>
      </c>
      <c r="B35" s="17">
        <v>2.0</v>
      </c>
      <c r="C35" s="9" t="s">
        <v>85</v>
      </c>
      <c r="D35" s="9">
        <v>0.967018</v>
      </c>
      <c r="E35" s="9" t="s">
        <v>85</v>
      </c>
      <c r="F35" s="9" t="s">
        <v>85</v>
      </c>
      <c r="G35" s="30">
        <v>0.968070149</v>
      </c>
      <c r="H35" s="9" t="s">
        <v>85</v>
      </c>
      <c r="I35" s="9" t="s">
        <v>85</v>
      </c>
      <c r="J35" s="9">
        <v>0.944211</v>
      </c>
      <c r="K35" s="9" t="s">
        <v>85</v>
      </c>
      <c r="L35" s="9" t="s">
        <v>85</v>
      </c>
      <c r="M35" s="9">
        <v>0.94386</v>
      </c>
      <c r="N35" s="9" t="s">
        <v>85</v>
      </c>
      <c r="O35" s="9" t="s">
        <v>85</v>
      </c>
      <c r="P35" s="9">
        <v>0.968421</v>
      </c>
      <c r="Q35" s="9" t="s">
        <v>85</v>
      </c>
      <c r="R35" s="9" t="s">
        <v>85</v>
      </c>
      <c r="S35" s="9">
        <v>0.971228</v>
      </c>
      <c r="T35" s="9" t="s">
        <v>85</v>
      </c>
      <c r="U35" s="9" t="s">
        <v>85</v>
      </c>
      <c r="V35" s="9">
        <v>0.975088</v>
      </c>
      <c r="W35" s="9" t="s">
        <v>85</v>
      </c>
      <c r="X35" s="9" t="s">
        <v>85</v>
      </c>
      <c r="Y35" s="9">
        <v>0.969123</v>
      </c>
      <c r="Z35" s="9" t="s">
        <v>85</v>
      </c>
      <c r="AA35" s="9" t="s">
        <v>85</v>
      </c>
      <c r="AB35" s="30">
        <v>0.973333</v>
      </c>
      <c r="AC35" s="9" t="s">
        <v>85</v>
      </c>
      <c r="AD35" s="9" t="s">
        <v>85</v>
      </c>
      <c r="AE35" s="30">
        <v>0.970877</v>
      </c>
      <c r="AF35" s="9" t="s">
        <v>85</v>
      </c>
      <c r="AG35" s="9" t="s">
        <v>85</v>
      </c>
      <c r="AH35" s="9">
        <v>0.962456</v>
      </c>
      <c r="AI35" s="9" t="s">
        <v>85</v>
      </c>
      <c r="AJ35" s="9" t="s">
        <v>85</v>
      </c>
      <c r="AK35" s="9">
        <v>0.961403</v>
      </c>
      <c r="AL35" s="9" t="s">
        <v>85</v>
      </c>
      <c r="AM35" s="9" t="s">
        <v>85</v>
      </c>
      <c r="AN35" s="9">
        <v>0.970175</v>
      </c>
      <c r="AO35" s="9" t="s">
        <v>85</v>
      </c>
      <c r="AP35" s="9" t="s">
        <v>85</v>
      </c>
      <c r="AQ35" s="30">
        <v>0.970175</v>
      </c>
      <c r="AR35" s="9" t="s">
        <v>85</v>
      </c>
      <c r="AS35" s="9" t="s">
        <v>85</v>
      </c>
      <c r="AT35" s="9">
        <v>0.963158</v>
      </c>
      <c r="AU35" s="9" t="s">
        <v>85</v>
      </c>
      <c r="AV35" s="9" t="s">
        <v>85</v>
      </c>
      <c r="AW35" s="9">
        <v>0.965263</v>
      </c>
      <c r="AX35" s="9" t="s">
        <v>85</v>
      </c>
      <c r="AY35" s="9" t="s">
        <v>85</v>
      </c>
      <c r="AZ35" s="9">
        <v>0.970877</v>
      </c>
      <c r="BA35" s="9" t="s">
        <v>85</v>
      </c>
      <c r="BB35" s="9" t="s">
        <v>85</v>
      </c>
      <c r="BC35" s="30">
        <v>0.945965</v>
      </c>
      <c r="BD35" s="9" t="s">
        <v>85</v>
      </c>
      <c r="BE35" s="9" t="s">
        <v>85</v>
      </c>
      <c r="BF35" s="9">
        <v>0.817193</v>
      </c>
      <c r="BG35" s="9" t="s">
        <v>85</v>
      </c>
      <c r="BH35" s="6"/>
      <c r="BI35" s="6" t="str">
        <f t="shared" si="1"/>
        <v>8V_Fold_Median</v>
      </c>
      <c r="BJ35" s="6" t="str">
        <f t="shared" si="2"/>
        <v>10B_Fold_Median</v>
      </c>
      <c r="BK35" s="6" t="str">
        <f t="shared" si="3"/>
        <v>8BN_Fold_Median</v>
      </c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</row>
    <row r="36" ht="15.75" customHeight="1">
      <c r="A36" s="1" t="s">
        <v>130</v>
      </c>
      <c r="B36" s="17">
        <v>2.0</v>
      </c>
      <c r="C36" s="9" t="s">
        <v>85</v>
      </c>
      <c r="D36" s="9">
        <v>0.962807</v>
      </c>
      <c r="E36" s="9" t="s">
        <v>85</v>
      </c>
      <c r="F36" s="9" t="s">
        <v>85</v>
      </c>
      <c r="G36" s="30">
        <v>0.958947361</v>
      </c>
      <c r="H36" s="9" t="s">
        <v>85</v>
      </c>
      <c r="I36" s="9" t="s">
        <v>85</v>
      </c>
      <c r="J36" s="9">
        <v>0.793333</v>
      </c>
      <c r="K36" s="9" t="s">
        <v>85</v>
      </c>
      <c r="L36" s="9" t="s">
        <v>85</v>
      </c>
      <c r="M36" s="9">
        <v>0.801053</v>
      </c>
      <c r="N36" s="9" t="s">
        <v>85</v>
      </c>
      <c r="O36" s="9" t="s">
        <v>85</v>
      </c>
      <c r="P36" s="9">
        <v>0.950175</v>
      </c>
      <c r="Q36" s="9" t="s">
        <v>85</v>
      </c>
      <c r="R36" s="9" t="s">
        <v>85</v>
      </c>
      <c r="S36" s="9">
        <v>0.949825</v>
      </c>
      <c r="T36" s="9" t="s">
        <v>85</v>
      </c>
      <c r="U36" s="9" t="s">
        <v>85</v>
      </c>
      <c r="V36" s="9">
        <v>0.921404</v>
      </c>
      <c r="W36" s="9" t="s">
        <v>85</v>
      </c>
      <c r="X36" s="9" t="s">
        <v>85</v>
      </c>
      <c r="Y36" s="9">
        <v>0.910526</v>
      </c>
      <c r="Z36" s="9" t="s">
        <v>85</v>
      </c>
      <c r="AA36" s="9" t="s">
        <v>85</v>
      </c>
      <c r="AB36" s="31" t="s">
        <v>85</v>
      </c>
      <c r="AC36" s="9" t="s">
        <v>85</v>
      </c>
      <c r="AD36" s="9" t="s">
        <v>85</v>
      </c>
      <c r="AE36" s="30">
        <v>0.966316</v>
      </c>
      <c r="AF36" s="9" t="s">
        <v>85</v>
      </c>
      <c r="AG36" s="9" t="s">
        <v>85</v>
      </c>
      <c r="AH36" s="9">
        <v>0.889474</v>
      </c>
      <c r="AI36" s="9" t="s">
        <v>85</v>
      </c>
      <c r="AJ36" s="9" t="s">
        <v>85</v>
      </c>
      <c r="AK36" s="9">
        <v>0.886316</v>
      </c>
      <c r="AL36" s="9" t="s">
        <v>85</v>
      </c>
      <c r="AM36" s="9" t="s">
        <v>85</v>
      </c>
      <c r="AN36" s="9">
        <v>0.954386</v>
      </c>
      <c r="AO36" s="9" t="s">
        <v>85</v>
      </c>
      <c r="AP36" s="9" t="s">
        <v>85</v>
      </c>
      <c r="AQ36" s="30">
        <v>0.952632</v>
      </c>
      <c r="AR36" s="9" t="s">
        <v>85</v>
      </c>
      <c r="AS36" s="9" t="s">
        <v>85</v>
      </c>
      <c r="AT36" s="9">
        <v>0.782105</v>
      </c>
      <c r="AU36" s="9" t="s">
        <v>85</v>
      </c>
      <c r="AV36" s="9" t="s">
        <v>85</v>
      </c>
      <c r="AW36" s="9">
        <v>0.799649</v>
      </c>
      <c r="AX36" s="9" t="s">
        <v>85</v>
      </c>
      <c r="AY36" s="9" t="s">
        <v>85</v>
      </c>
      <c r="AZ36" s="9">
        <v>0.968772</v>
      </c>
      <c r="BA36" s="9" t="s">
        <v>85</v>
      </c>
      <c r="BB36" s="9" t="s">
        <v>85</v>
      </c>
      <c r="BC36" s="30">
        <v>0.886667</v>
      </c>
      <c r="BD36" s="9" t="s">
        <v>85</v>
      </c>
      <c r="BE36" s="9" t="s">
        <v>85</v>
      </c>
      <c r="BF36" s="9">
        <v>0.69193</v>
      </c>
      <c r="BG36" s="9" t="s">
        <v>85</v>
      </c>
      <c r="BH36" s="6"/>
      <c r="BI36" s="6" t="str">
        <f t="shared" si="1"/>
        <v>20B_Fold_Median</v>
      </c>
      <c r="BJ36" s="6" t="str">
        <f t="shared" si="2"/>
        <v>10BN_Fold_Median</v>
      </c>
      <c r="BK36" s="6" t="str">
        <f t="shared" si="3"/>
        <v>5B_Fold_Median</v>
      </c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</row>
    <row r="37" ht="15.75" customHeight="1">
      <c r="A37" s="1" t="s">
        <v>131</v>
      </c>
      <c r="B37" s="17">
        <v>2.0</v>
      </c>
      <c r="C37" s="9" t="s">
        <v>85</v>
      </c>
      <c r="D37" s="9">
        <v>0.906667</v>
      </c>
      <c r="E37" s="9" t="s">
        <v>85</v>
      </c>
      <c r="F37" s="9" t="s">
        <v>85</v>
      </c>
      <c r="G37" s="30">
        <v>0.913333356</v>
      </c>
      <c r="H37" s="9" t="s">
        <v>85</v>
      </c>
      <c r="I37" s="9" t="s">
        <v>85</v>
      </c>
      <c r="J37" s="9">
        <v>0.9</v>
      </c>
      <c r="K37" s="9" t="s">
        <v>85</v>
      </c>
      <c r="L37" s="9" t="s">
        <v>85</v>
      </c>
      <c r="M37" s="9">
        <v>0.926667</v>
      </c>
      <c r="N37" s="9" t="s">
        <v>85</v>
      </c>
      <c r="O37" s="9" t="s">
        <v>85</v>
      </c>
      <c r="P37" s="9">
        <v>0.946667</v>
      </c>
      <c r="Q37" s="9" t="s">
        <v>85</v>
      </c>
      <c r="R37" s="9" t="s">
        <v>85</v>
      </c>
      <c r="S37" s="9">
        <v>0.94</v>
      </c>
      <c r="T37" s="9" t="s">
        <v>85</v>
      </c>
      <c r="U37" s="9" t="s">
        <v>85</v>
      </c>
      <c r="V37" s="9">
        <v>0.84</v>
      </c>
      <c r="W37" s="9" t="s">
        <v>85</v>
      </c>
      <c r="X37" s="9" t="s">
        <v>85</v>
      </c>
      <c r="Y37" s="9">
        <v>0.813333</v>
      </c>
      <c r="Z37" s="9" t="s">
        <v>85</v>
      </c>
      <c r="AA37" s="9" t="s">
        <v>85</v>
      </c>
      <c r="AB37" s="30">
        <v>0.933333</v>
      </c>
      <c r="AC37" s="9" t="s">
        <v>85</v>
      </c>
      <c r="AD37" s="9" t="s">
        <v>85</v>
      </c>
      <c r="AE37" s="30">
        <v>0.92</v>
      </c>
      <c r="AF37" s="9" t="s">
        <v>85</v>
      </c>
      <c r="AG37" s="9" t="s">
        <v>85</v>
      </c>
      <c r="AH37" s="9">
        <v>0.826667</v>
      </c>
      <c r="AI37" s="9" t="s">
        <v>85</v>
      </c>
      <c r="AJ37" s="9" t="s">
        <v>85</v>
      </c>
      <c r="AK37" s="9">
        <v>0.833333</v>
      </c>
      <c r="AL37" s="9" t="s">
        <v>85</v>
      </c>
      <c r="AM37" s="9" t="s">
        <v>85</v>
      </c>
      <c r="AN37" s="9">
        <v>0.953333</v>
      </c>
      <c r="AO37" s="9" t="s">
        <v>85</v>
      </c>
      <c r="AP37" s="9" t="s">
        <v>85</v>
      </c>
      <c r="AQ37" s="30">
        <v>0.94</v>
      </c>
      <c r="AR37" s="9" t="s">
        <v>85</v>
      </c>
      <c r="AS37" s="9" t="s">
        <v>85</v>
      </c>
      <c r="AT37" s="9">
        <v>0.873333</v>
      </c>
      <c r="AU37" s="9" t="s">
        <v>85</v>
      </c>
      <c r="AV37" s="9" t="s">
        <v>85</v>
      </c>
      <c r="AW37" s="9">
        <v>0.853333</v>
      </c>
      <c r="AX37" s="9" t="s">
        <v>85</v>
      </c>
      <c r="AY37" s="9" t="s">
        <v>85</v>
      </c>
      <c r="AZ37" s="9">
        <v>0.92</v>
      </c>
      <c r="BA37" s="9" t="s">
        <v>85</v>
      </c>
      <c r="BB37" s="9" t="s">
        <v>85</v>
      </c>
      <c r="BC37" s="30">
        <v>0.893333</v>
      </c>
      <c r="BD37" s="9" t="s">
        <v>85</v>
      </c>
      <c r="BE37" s="9" t="s">
        <v>85</v>
      </c>
      <c r="BF37" s="9">
        <v>0.786667</v>
      </c>
      <c r="BG37" s="9" t="s">
        <v>85</v>
      </c>
      <c r="BH37" s="6"/>
      <c r="BI37" s="6" t="str">
        <f t="shared" si="1"/>
        <v>12B_Fold_Median</v>
      </c>
      <c r="BJ37" s="6" t="str">
        <f t="shared" si="2"/>
        <v>8B_Fold_Median</v>
      </c>
      <c r="BK37" s="6" t="str">
        <f t="shared" si="3"/>
        <v>8BN_Fold_Median</v>
      </c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</row>
    <row r="38" ht="15.75" customHeight="1">
      <c r="A38" s="1" t="s">
        <v>132</v>
      </c>
      <c r="B38" s="17">
        <v>2.0</v>
      </c>
      <c r="C38" s="9" t="s">
        <v>85</v>
      </c>
      <c r="D38" s="9">
        <v>0.955696</v>
      </c>
      <c r="E38" s="9" t="s">
        <v>85</v>
      </c>
      <c r="F38" s="9" t="s">
        <v>85</v>
      </c>
      <c r="G38" s="30">
        <v>0.946202517</v>
      </c>
      <c r="H38" s="9" t="s">
        <v>85</v>
      </c>
      <c r="I38" s="9" t="s">
        <v>85</v>
      </c>
      <c r="J38" s="9">
        <v>0.936709</v>
      </c>
      <c r="K38" s="9" t="s">
        <v>85</v>
      </c>
      <c r="L38" s="9" t="s">
        <v>85</v>
      </c>
      <c r="M38" s="9">
        <v>0.946203</v>
      </c>
      <c r="N38" s="9" t="s">
        <v>85</v>
      </c>
      <c r="O38" s="9" t="s">
        <v>85</v>
      </c>
      <c r="P38" s="9">
        <v>0.946203</v>
      </c>
      <c r="Q38" s="9" t="s">
        <v>85</v>
      </c>
      <c r="R38" s="9" t="s">
        <v>85</v>
      </c>
      <c r="S38" s="9">
        <v>0.955696</v>
      </c>
      <c r="T38" s="9" t="s">
        <v>85</v>
      </c>
      <c r="U38" s="9" t="s">
        <v>85</v>
      </c>
      <c r="V38" s="9">
        <v>0.89557</v>
      </c>
      <c r="W38" s="9" t="s">
        <v>85</v>
      </c>
      <c r="X38" s="9" t="s">
        <v>85</v>
      </c>
      <c r="Y38" s="9">
        <v>0.898734</v>
      </c>
      <c r="Z38" s="9" t="s">
        <v>85</v>
      </c>
      <c r="AA38" s="9" t="s">
        <v>85</v>
      </c>
      <c r="AB38" s="30">
        <v>0.936709</v>
      </c>
      <c r="AC38" s="9" t="s">
        <v>85</v>
      </c>
      <c r="AD38" s="9" t="s">
        <v>85</v>
      </c>
      <c r="AE38" s="30">
        <v>0.939873</v>
      </c>
      <c r="AF38" s="9" t="s">
        <v>85</v>
      </c>
      <c r="AG38" s="9" t="s">
        <v>85</v>
      </c>
      <c r="AH38" s="9">
        <v>0.908228</v>
      </c>
      <c r="AI38" s="9" t="s">
        <v>85</v>
      </c>
      <c r="AJ38" s="9" t="s">
        <v>85</v>
      </c>
      <c r="AK38" s="9">
        <v>0.914557</v>
      </c>
      <c r="AL38" s="9" t="s">
        <v>85</v>
      </c>
      <c r="AM38" s="9" t="s">
        <v>85</v>
      </c>
      <c r="AN38" s="9">
        <v>0.93038</v>
      </c>
      <c r="AO38" s="9" t="s">
        <v>85</v>
      </c>
      <c r="AP38" s="9" t="s">
        <v>85</v>
      </c>
      <c r="AQ38" s="30">
        <v>0.93038</v>
      </c>
      <c r="AR38" s="9" t="s">
        <v>85</v>
      </c>
      <c r="AS38" s="9" t="s">
        <v>85</v>
      </c>
      <c r="AT38" s="9">
        <v>0.917722</v>
      </c>
      <c r="AU38" s="9" t="s">
        <v>85</v>
      </c>
      <c r="AV38" s="9" t="s">
        <v>85</v>
      </c>
      <c r="AW38" s="9">
        <v>0.914557</v>
      </c>
      <c r="AX38" s="9" t="s">
        <v>85</v>
      </c>
      <c r="AY38" s="9" t="s">
        <v>85</v>
      </c>
      <c r="AZ38" s="9">
        <v>0.920886</v>
      </c>
      <c r="BA38" s="9" t="s">
        <v>85</v>
      </c>
      <c r="BB38" s="9" t="s">
        <v>85</v>
      </c>
      <c r="BC38" s="30">
        <v>0.920886</v>
      </c>
      <c r="BD38" s="9" t="s">
        <v>85</v>
      </c>
      <c r="BE38" s="9" t="s">
        <v>85</v>
      </c>
      <c r="BF38" s="9">
        <v>0.506329</v>
      </c>
      <c r="BG38" s="9" t="s">
        <v>85</v>
      </c>
      <c r="BH38" s="6"/>
      <c r="BI38" s="6" t="str">
        <f t="shared" si="1"/>
        <v>5B_Fold_Median</v>
      </c>
      <c r="BJ38" s="6" t="str">
        <f t="shared" si="2"/>
        <v>5B_Fold_Median</v>
      </c>
      <c r="BK38" s="6" t="str">
        <f t="shared" si="3"/>
        <v>5VB_Fold_Median</v>
      </c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</row>
    <row r="39" ht="15.75" customHeight="1">
      <c r="A39" s="1" t="s">
        <v>133</v>
      </c>
      <c r="B39" s="17">
        <v>2.0</v>
      </c>
      <c r="C39" s="9" t="s">
        <v>85</v>
      </c>
      <c r="D39" s="9">
        <v>0.96519</v>
      </c>
      <c r="E39" s="9" t="s">
        <v>85</v>
      </c>
      <c r="F39" s="9" t="s">
        <v>85</v>
      </c>
      <c r="G39" s="30">
        <v>0.958860755</v>
      </c>
      <c r="H39" s="9" t="s">
        <v>85</v>
      </c>
      <c r="I39" s="9" t="s">
        <v>85</v>
      </c>
      <c r="J39" s="9">
        <v>0.946203</v>
      </c>
      <c r="K39" s="9" t="s">
        <v>85</v>
      </c>
      <c r="L39" s="9" t="s">
        <v>85</v>
      </c>
      <c r="M39" s="9">
        <v>0.96519</v>
      </c>
      <c r="N39" s="9" t="s">
        <v>85</v>
      </c>
      <c r="O39" s="9" t="s">
        <v>85</v>
      </c>
      <c r="P39" s="9">
        <v>0.977848</v>
      </c>
      <c r="Q39" s="9" t="s">
        <v>85</v>
      </c>
      <c r="R39" s="9" t="s">
        <v>85</v>
      </c>
      <c r="S39" s="9">
        <v>0.974684</v>
      </c>
      <c r="T39" s="9" t="s">
        <v>85</v>
      </c>
      <c r="U39" s="9" t="s">
        <v>85</v>
      </c>
      <c r="V39" s="9">
        <v>0.949367</v>
      </c>
      <c r="W39" s="9" t="s">
        <v>85</v>
      </c>
      <c r="X39" s="9" t="s">
        <v>85</v>
      </c>
      <c r="Y39" s="9">
        <v>0.958861</v>
      </c>
      <c r="Z39" s="9" t="s">
        <v>85</v>
      </c>
      <c r="AA39" s="9" t="s">
        <v>85</v>
      </c>
      <c r="AB39" s="30">
        <v>0.987342</v>
      </c>
      <c r="AC39" s="9" t="s">
        <v>85</v>
      </c>
      <c r="AD39" s="9" t="s">
        <v>85</v>
      </c>
      <c r="AE39" s="30">
        <v>0.981013</v>
      </c>
      <c r="AF39" s="9" t="s">
        <v>85</v>
      </c>
      <c r="AG39" s="9" t="s">
        <v>85</v>
      </c>
      <c r="AH39" s="9">
        <v>0.974684</v>
      </c>
      <c r="AI39" s="9" t="s">
        <v>85</v>
      </c>
      <c r="AJ39" s="9" t="s">
        <v>85</v>
      </c>
      <c r="AK39" s="9">
        <v>0.968354</v>
      </c>
      <c r="AL39" s="9" t="s">
        <v>85</v>
      </c>
      <c r="AM39" s="9" t="s">
        <v>85</v>
      </c>
      <c r="AN39" s="9">
        <v>0.96519</v>
      </c>
      <c r="AO39" s="9" t="s">
        <v>85</v>
      </c>
      <c r="AP39" s="9" t="s">
        <v>85</v>
      </c>
      <c r="AQ39" s="30">
        <v>0.968354</v>
      </c>
      <c r="AR39" s="9" t="s">
        <v>85</v>
      </c>
      <c r="AS39" s="9" t="s">
        <v>85</v>
      </c>
      <c r="AT39" s="9">
        <v>0.987342</v>
      </c>
      <c r="AU39" s="9" t="s">
        <v>85</v>
      </c>
      <c r="AV39" s="9" t="s">
        <v>85</v>
      </c>
      <c r="AW39" s="9">
        <v>0.987342</v>
      </c>
      <c r="AX39" s="9" t="s">
        <v>85</v>
      </c>
      <c r="AY39" s="9" t="s">
        <v>85</v>
      </c>
      <c r="AZ39" s="9">
        <v>0.968354</v>
      </c>
      <c r="BA39" s="9" t="s">
        <v>85</v>
      </c>
      <c r="BB39" s="9" t="s">
        <v>85</v>
      </c>
      <c r="BC39" s="30">
        <v>0.96519</v>
      </c>
      <c r="BD39" s="9" t="s">
        <v>85</v>
      </c>
      <c r="BE39" s="9" t="s">
        <v>85</v>
      </c>
      <c r="BF39" s="9">
        <v>0.525316</v>
      </c>
      <c r="BG39" s="9" t="s">
        <v>85</v>
      </c>
      <c r="BH39" s="6"/>
      <c r="BI39" s="6" t="str">
        <f t="shared" si="1"/>
        <v>10B_Fold_Median</v>
      </c>
      <c r="BJ39" s="6" t="str">
        <f t="shared" si="2"/>
        <v>10B_Fold_Median</v>
      </c>
      <c r="BK39" s="6" t="str">
        <f t="shared" si="3"/>
        <v>10B_Fold_Median</v>
      </c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</row>
    <row r="40" ht="15.75" customHeight="1">
      <c r="A40" s="1" t="s">
        <v>134</v>
      </c>
      <c r="B40" s="17">
        <v>2.0</v>
      </c>
      <c r="C40" s="9" t="s">
        <v>85</v>
      </c>
      <c r="D40" s="9">
        <v>0.968254</v>
      </c>
      <c r="E40" s="9" t="s">
        <v>85</v>
      </c>
      <c r="F40" s="9" t="s">
        <v>85</v>
      </c>
      <c r="G40" s="30">
        <v>0.965079367</v>
      </c>
      <c r="H40" s="9" t="s">
        <v>85</v>
      </c>
      <c r="I40" s="9" t="s">
        <v>85</v>
      </c>
      <c r="J40" s="9">
        <v>0.942857</v>
      </c>
      <c r="K40" s="9" t="s">
        <v>85</v>
      </c>
      <c r="L40" s="9" t="s">
        <v>85</v>
      </c>
      <c r="M40" s="9">
        <v>0.936508</v>
      </c>
      <c r="N40" s="9" t="s">
        <v>85</v>
      </c>
      <c r="O40" s="9" t="s">
        <v>85</v>
      </c>
      <c r="P40" s="9">
        <v>0.936508</v>
      </c>
      <c r="Q40" s="9" t="s">
        <v>85</v>
      </c>
      <c r="R40" s="9" t="s">
        <v>85</v>
      </c>
      <c r="S40" s="9">
        <v>0.936508</v>
      </c>
      <c r="T40" s="9" t="s">
        <v>85</v>
      </c>
      <c r="U40" s="9" t="s">
        <v>85</v>
      </c>
      <c r="V40" s="9">
        <v>0.936508</v>
      </c>
      <c r="W40" s="9" t="s">
        <v>85</v>
      </c>
      <c r="X40" s="9" t="s">
        <v>85</v>
      </c>
      <c r="Y40" s="9">
        <v>0.933333</v>
      </c>
      <c r="Z40" s="9" t="s">
        <v>85</v>
      </c>
      <c r="AA40" s="9" t="s">
        <v>85</v>
      </c>
      <c r="AB40" s="30">
        <v>0.949206</v>
      </c>
      <c r="AC40" s="9" t="s">
        <v>85</v>
      </c>
      <c r="AD40" s="9" t="s">
        <v>85</v>
      </c>
      <c r="AE40" s="30">
        <v>0.952381</v>
      </c>
      <c r="AF40" s="9" t="s">
        <v>85</v>
      </c>
      <c r="AG40" s="9" t="s">
        <v>85</v>
      </c>
      <c r="AH40" s="9">
        <v>0.914286</v>
      </c>
      <c r="AI40" s="9" t="s">
        <v>85</v>
      </c>
      <c r="AJ40" s="9" t="s">
        <v>85</v>
      </c>
      <c r="AK40" s="9">
        <v>0.91746</v>
      </c>
      <c r="AL40" s="9" t="s">
        <v>85</v>
      </c>
      <c r="AM40" s="9" t="s">
        <v>85</v>
      </c>
      <c r="AN40" s="9">
        <v>0.95873</v>
      </c>
      <c r="AO40" s="9" t="s">
        <v>85</v>
      </c>
      <c r="AP40" s="9" t="s">
        <v>85</v>
      </c>
      <c r="AQ40" s="30">
        <v>0.946032</v>
      </c>
      <c r="AR40" s="9" t="s">
        <v>85</v>
      </c>
      <c r="AS40" s="9" t="s">
        <v>85</v>
      </c>
      <c r="AT40" s="9">
        <v>0.91746</v>
      </c>
      <c r="AU40" s="9" t="s">
        <v>85</v>
      </c>
      <c r="AV40" s="9" t="s">
        <v>85</v>
      </c>
      <c r="AW40" s="9">
        <v>0.911111</v>
      </c>
      <c r="AX40" s="9" t="s">
        <v>85</v>
      </c>
      <c r="AY40" s="9" t="s">
        <v>85</v>
      </c>
      <c r="AZ40" s="9">
        <v>0.946032</v>
      </c>
      <c r="BA40" s="9" t="s">
        <v>85</v>
      </c>
      <c r="BB40" s="9" t="s">
        <v>85</v>
      </c>
      <c r="BC40" s="30">
        <v>0.91746</v>
      </c>
      <c r="BD40" s="9" t="s">
        <v>85</v>
      </c>
      <c r="BE40" s="9" t="s">
        <v>85</v>
      </c>
      <c r="BF40" s="9">
        <v>0.52381</v>
      </c>
      <c r="BG40" s="9" t="s">
        <v>85</v>
      </c>
      <c r="BH40" s="6"/>
      <c r="BI40" s="6" t="str">
        <f t="shared" si="1"/>
        <v>5B_Fold_Median</v>
      </c>
      <c r="BJ40" s="6" t="str">
        <f t="shared" si="2"/>
        <v>5BN_Fold_Median</v>
      </c>
      <c r="BK40" s="6" t="str">
        <f t="shared" si="3"/>
        <v>12B_Fold_Median</v>
      </c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</row>
    <row r="41" ht="15.75" customHeight="1">
      <c r="A41" s="1" t="s">
        <v>135</v>
      </c>
      <c r="B41" s="17">
        <v>2.0</v>
      </c>
      <c r="C41" s="9" t="s">
        <v>85</v>
      </c>
      <c r="D41" s="9">
        <v>0.542857</v>
      </c>
      <c r="E41" s="9" t="s">
        <v>85</v>
      </c>
      <c r="F41" s="9" t="s">
        <v>85</v>
      </c>
      <c r="G41" s="30">
        <v>0.45714286</v>
      </c>
      <c r="H41" s="9" t="s">
        <v>85</v>
      </c>
      <c r="I41" s="9" t="s">
        <v>85</v>
      </c>
      <c r="J41" s="9">
        <v>0.514286</v>
      </c>
      <c r="K41" s="9" t="s">
        <v>85</v>
      </c>
      <c r="L41" s="9" t="s">
        <v>85</v>
      </c>
      <c r="M41" s="9">
        <v>0.495238</v>
      </c>
      <c r="N41" s="9" t="s">
        <v>85</v>
      </c>
      <c r="O41" s="9" t="s">
        <v>85</v>
      </c>
      <c r="P41" s="9">
        <v>0.561905</v>
      </c>
      <c r="Q41" s="9" t="s">
        <v>85</v>
      </c>
      <c r="R41" s="9" t="s">
        <v>85</v>
      </c>
      <c r="S41" s="9">
        <v>0.533333</v>
      </c>
      <c r="T41" s="9" t="s">
        <v>85</v>
      </c>
      <c r="U41" s="9" t="s">
        <v>85</v>
      </c>
      <c r="V41" s="9">
        <v>0.561905</v>
      </c>
      <c r="W41" s="9" t="s">
        <v>85</v>
      </c>
      <c r="X41" s="9" t="s">
        <v>85</v>
      </c>
      <c r="Y41" s="9">
        <v>0.561905</v>
      </c>
      <c r="Z41" s="9" t="s">
        <v>85</v>
      </c>
      <c r="AA41" s="9" t="s">
        <v>85</v>
      </c>
      <c r="AB41" s="30">
        <v>0.571429</v>
      </c>
      <c r="AC41" s="9" t="s">
        <v>85</v>
      </c>
      <c r="AD41" s="9" t="s">
        <v>85</v>
      </c>
      <c r="AE41" s="30">
        <v>0.571429</v>
      </c>
      <c r="AF41" s="9" t="s">
        <v>85</v>
      </c>
      <c r="AG41" s="9" t="s">
        <v>85</v>
      </c>
      <c r="AH41" s="9">
        <v>0.628571</v>
      </c>
      <c r="AI41" s="9" t="s">
        <v>85</v>
      </c>
      <c r="AJ41" s="9" t="s">
        <v>85</v>
      </c>
      <c r="AK41" s="9">
        <v>0.647619</v>
      </c>
      <c r="AL41" s="9" t="s">
        <v>85</v>
      </c>
      <c r="AM41" s="9" t="s">
        <v>85</v>
      </c>
      <c r="AN41" s="9">
        <v>0.552381</v>
      </c>
      <c r="AO41" s="9" t="s">
        <v>85</v>
      </c>
      <c r="AP41" s="9" t="s">
        <v>85</v>
      </c>
      <c r="AQ41" s="30">
        <v>0.561905</v>
      </c>
      <c r="AR41" s="9" t="s">
        <v>85</v>
      </c>
      <c r="AS41" s="9" t="s">
        <v>85</v>
      </c>
      <c r="AT41" s="9">
        <v>0.609524</v>
      </c>
      <c r="AU41" s="9" t="s">
        <v>85</v>
      </c>
      <c r="AV41" s="9" t="s">
        <v>85</v>
      </c>
      <c r="AW41" s="9">
        <v>0.628571</v>
      </c>
      <c r="AX41" s="9" t="s">
        <v>85</v>
      </c>
      <c r="AY41" s="9" t="s">
        <v>85</v>
      </c>
      <c r="AZ41" s="9">
        <v>0.619048</v>
      </c>
      <c r="BA41" s="9" t="s">
        <v>85</v>
      </c>
      <c r="BB41" s="9" t="s">
        <v>85</v>
      </c>
      <c r="BC41" s="30">
        <v>0.609524</v>
      </c>
      <c r="BD41" s="9" t="s">
        <v>85</v>
      </c>
      <c r="BE41" s="9" t="s">
        <v>85</v>
      </c>
      <c r="BF41" s="9">
        <v>0.761905</v>
      </c>
      <c r="BG41" s="9" t="s">
        <v>85</v>
      </c>
      <c r="BH41" s="6"/>
      <c r="BI41" s="6" t="str">
        <f t="shared" si="1"/>
        <v>De_Fold_Median</v>
      </c>
      <c r="BJ41" s="6" t="str">
        <f t="shared" si="2"/>
        <v>10VB_Fold_Median</v>
      </c>
      <c r="BK41" s="6" t="str">
        <f t="shared" si="3"/>
        <v>10V_Fold_Median</v>
      </c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</row>
    <row r="42" ht="15.75" customHeight="1">
      <c r="A42" s="1" t="s">
        <v>136</v>
      </c>
      <c r="B42" s="17">
        <v>5.0</v>
      </c>
      <c r="C42" s="9" t="s">
        <v>85</v>
      </c>
      <c r="D42" s="9">
        <v>0.38961</v>
      </c>
      <c r="E42" s="9" t="s">
        <v>85</v>
      </c>
      <c r="F42" s="9" t="s">
        <v>85</v>
      </c>
      <c r="G42" s="30">
        <v>0.344155848</v>
      </c>
      <c r="H42" s="9" t="s">
        <v>85</v>
      </c>
      <c r="I42" s="9" t="s">
        <v>85</v>
      </c>
      <c r="J42" s="9">
        <v>0.357143</v>
      </c>
      <c r="K42" s="9" t="s">
        <v>85</v>
      </c>
      <c r="L42" s="9" t="s">
        <v>85</v>
      </c>
      <c r="M42" s="9">
        <v>0.337662</v>
      </c>
      <c r="N42" s="9" t="s">
        <v>85</v>
      </c>
      <c r="O42" s="9" t="s">
        <v>85</v>
      </c>
      <c r="P42" s="9">
        <v>0.399351</v>
      </c>
      <c r="Q42" s="9" t="s">
        <v>85</v>
      </c>
      <c r="R42" s="9" t="s">
        <v>85</v>
      </c>
      <c r="S42" s="9">
        <v>0.409091</v>
      </c>
      <c r="T42" s="9" t="s">
        <v>85</v>
      </c>
      <c r="U42" s="9" t="s">
        <v>85</v>
      </c>
      <c r="V42" s="9">
        <v>0.405844</v>
      </c>
      <c r="W42" s="9" t="s">
        <v>85</v>
      </c>
      <c r="X42" s="9" t="s">
        <v>85</v>
      </c>
      <c r="Y42" s="9">
        <v>0.38961</v>
      </c>
      <c r="Z42" s="9" t="s">
        <v>85</v>
      </c>
      <c r="AA42" s="9" t="s">
        <v>85</v>
      </c>
      <c r="AB42" s="30">
        <v>0.366883</v>
      </c>
      <c r="AC42" s="9" t="s">
        <v>85</v>
      </c>
      <c r="AD42" s="9" t="s">
        <v>85</v>
      </c>
      <c r="AE42" s="30">
        <v>0.418831</v>
      </c>
      <c r="AF42" s="9" t="s">
        <v>85</v>
      </c>
      <c r="AG42" s="9" t="s">
        <v>85</v>
      </c>
      <c r="AH42" s="9">
        <v>0.405844</v>
      </c>
      <c r="AI42" s="9" t="s">
        <v>85</v>
      </c>
      <c r="AJ42" s="9" t="s">
        <v>85</v>
      </c>
      <c r="AK42" s="9">
        <v>0.422078</v>
      </c>
      <c r="AL42" s="9" t="s">
        <v>85</v>
      </c>
      <c r="AM42" s="9" t="s">
        <v>85</v>
      </c>
      <c r="AN42" s="9">
        <v>0.431818</v>
      </c>
      <c r="AO42" s="9" t="s">
        <v>85</v>
      </c>
      <c r="AP42" s="9" t="s">
        <v>85</v>
      </c>
      <c r="AQ42" s="30">
        <v>0.422078</v>
      </c>
      <c r="AR42" s="9" t="s">
        <v>85</v>
      </c>
      <c r="AS42" s="9" t="s">
        <v>85</v>
      </c>
      <c r="AT42" s="9">
        <v>0.396104</v>
      </c>
      <c r="AU42" s="9" t="s">
        <v>85</v>
      </c>
      <c r="AV42" s="9" t="s">
        <v>85</v>
      </c>
      <c r="AW42" s="9">
        <v>0.405844</v>
      </c>
      <c r="AX42" s="9" t="s">
        <v>85</v>
      </c>
      <c r="AY42" s="9" t="s">
        <v>85</v>
      </c>
      <c r="AZ42" s="9">
        <v>0.409091</v>
      </c>
      <c r="BA42" s="9" t="s">
        <v>85</v>
      </c>
      <c r="BB42" s="9" t="s">
        <v>85</v>
      </c>
      <c r="BC42" s="30">
        <v>0.454545</v>
      </c>
      <c r="BD42" s="9" t="s">
        <v>85</v>
      </c>
      <c r="BE42" s="9" t="s">
        <v>85</v>
      </c>
      <c r="BF42" s="9">
        <v>0.415584</v>
      </c>
      <c r="BG42" s="9" t="s">
        <v>85</v>
      </c>
      <c r="BH42" s="6"/>
      <c r="BI42" s="6" t="str">
        <f t="shared" si="1"/>
        <v>20V_Fold_Median</v>
      </c>
      <c r="BJ42" s="6" t="str">
        <f t="shared" si="2"/>
        <v>12B_Fold_Median</v>
      </c>
      <c r="BK42" s="6" t="str">
        <f t="shared" si="3"/>
        <v>10VB_Fold_Median</v>
      </c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</row>
    <row r="43" ht="15.75" customHeight="1">
      <c r="A43" s="1" t="s">
        <v>137</v>
      </c>
      <c r="B43" s="17">
        <v>2.0</v>
      </c>
      <c r="C43" s="9" t="s">
        <v>85</v>
      </c>
      <c r="D43" s="9">
        <v>0.5625</v>
      </c>
      <c r="E43" s="9" t="s">
        <v>85</v>
      </c>
      <c r="F43" s="9" t="s">
        <v>85</v>
      </c>
      <c r="G43" s="30">
        <v>0.59375</v>
      </c>
      <c r="H43" s="9" t="s">
        <v>85</v>
      </c>
      <c r="I43" s="9" t="s">
        <v>85</v>
      </c>
      <c r="J43" s="9">
        <v>0.53125</v>
      </c>
      <c r="K43" s="9" t="s">
        <v>85</v>
      </c>
      <c r="L43" s="9" t="s">
        <v>85</v>
      </c>
      <c r="M43" s="9">
        <v>0.578125</v>
      </c>
      <c r="N43" s="9" t="s">
        <v>85</v>
      </c>
      <c r="O43" s="9" t="s">
        <v>85</v>
      </c>
      <c r="P43" s="9">
        <v>0.546875</v>
      </c>
      <c r="Q43" s="9" t="s">
        <v>85</v>
      </c>
      <c r="R43" s="9" t="s">
        <v>85</v>
      </c>
      <c r="S43" s="9">
        <v>0.53125</v>
      </c>
      <c r="T43" s="9" t="s">
        <v>85</v>
      </c>
      <c r="U43" s="9" t="s">
        <v>85</v>
      </c>
      <c r="V43" s="9">
        <v>0.5625</v>
      </c>
      <c r="W43" s="9" t="s">
        <v>85</v>
      </c>
      <c r="X43" s="9" t="s">
        <v>85</v>
      </c>
      <c r="Y43" s="9">
        <v>0.59375</v>
      </c>
      <c r="Z43" s="9" t="s">
        <v>85</v>
      </c>
      <c r="AA43" s="9" t="s">
        <v>85</v>
      </c>
      <c r="AB43" s="30">
        <v>0.578125</v>
      </c>
      <c r="AC43" s="9" t="s">
        <v>85</v>
      </c>
      <c r="AD43" s="9" t="s">
        <v>85</v>
      </c>
      <c r="AE43" s="30">
        <v>0.59375</v>
      </c>
      <c r="AF43" s="9" t="s">
        <v>85</v>
      </c>
      <c r="AG43" s="9" t="s">
        <v>85</v>
      </c>
      <c r="AH43" s="9">
        <v>0.59375</v>
      </c>
      <c r="AI43" s="9" t="s">
        <v>85</v>
      </c>
      <c r="AJ43" s="9" t="s">
        <v>85</v>
      </c>
      <c r="AK43" s="9">
        <v>0.59375</v>
      </c>
      <c r="AL43" s="9" t="s">
        <v>85</v>
      </c>
      <c r="AM43" s="9" t="s">
        <v>85</v>
      </c>
      <c r="AN43" s="9">
        <v>0.59375</v>
      </c>
      <c r="AO43" s="9" t="s">
        <v>85</v>
      </c>
      <c r="AP43" s="9" t="s">
        <v>85</v>
      </c>
      <c r="AQ43" s="30">
        <v>0.546875</v>
      </c>
      <c r="AR43" s="9" t="s">
        <v>85</v>
      </c>
      <c r="AS43" s="9" t="s">
        <v>85</v>
      </c>
      <c r="AT43" s="9">
        <v>0.609375</v>
      </c>
      <c r="AU43" s="9" t="s">
        <v>85</v>
      </c>
      <c r="AV43" s="9" t="s">
        <v>85</v>
      </c>
      <c r="AW43" s="9">
        <v>0.609375</v>
      </c>
      <c r="AX43" s="9" t="s">
        <v>85</v>
      </c>
      <c r="AY43" s="9" t="s">
        <v>85</v>
      </c>
      <c r="AZ43" s="9">
        <v>0.59375</v>
      </c>
      <c r="BA43" s="9" t="s">
        <v>85</v>
      </c>
      <c r="BB43" s="9" t="s">
        <v>85</v>
      </c>
      <c r="BC43" s="30">
        <v>0.59375</v>
      </c>
      <c r="BD43" s="9" t="s">
        <v>85</v>
      </c>
      <c r="BE43" s="9" t="s">
        <v>85</v>
      </c>
      <c r="BF43" s="9">
        <v>0.59375</v>
      </c>
      <c r="BG43" s="9" t="s">
        <v>85</v>
      </c>
      <c r="BH43" s="6"/>
      <c r="BI43" s="6" t="str">
        <f t="shared" si="1"/>
        <v>12V_Fold_Median</v>
      </c>
      <c r="BJ43" s="6" t="str">
        <f t="shared" si="2"/>
        <v>12V_Fold_Median</v>
      </c>
      <c r="BK43" s="6" t="str">
        <f t="shared" si="3"/>
        <v>5BN_Fold_Median</v>
      </c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</row>
    <row r="44" ht="15.75" customHeight="1">
      <c r="A44" s="1" t="s">
        <v>138</v>
      </c>
      <c r="B44" s="17">
        <v>2.0</v>
      </c>
      <c r="C44" s="9" t="s">
        <v>85</v>
      </c>
      <c r="D44" s="9">
        <v>0.798319</v>
      </c>
      <c r="E44" s="9" t="s">
        <v>85</v>
      </c>
      <c r="F44" s="9" t="s">
        <v>85</v>
      </c>
      <c r="G44" s="30">
        <v>0.773109257</v>
      </c>
      <c r="H44" s="9" t="s">
        <v>85</v>
      </c>
      <c r="I44" s="9" t="s">
        <v>85</v>
      </c>
      <c r="J44" s="9">
        <v>0.722689</v>
      </c>
      <c r="K44" s="9" t="s">
        <v>85</v>
      </c>
      <c r="L44" s="9" t="s">
        <v>85</v>
      </c>
      <c r="M44" s="9">
        <v>0.697479</v>
      </c>
      <c r="N44" s="9" t="s">
        <v>85</v>
      </c>
      <c r="O44" s="9" t="s">
        <v>85</v>
      </c>
      <c r="P44" s="9">
        <v>0.806723</v>
      </c>
      <c r="Q44" s="9" t="s">
        <v>85</v>
      </c>
      <c r="R44" s="9" t="s">
        <v>85</v>
      </c>
      <c r="S44" s="9">
        <v>0.831933</v>
      </c>
      <c r="T44" s="9" t="s">
        <v>85</v>
      </c>
      <c r="U44" s="9" t="s">
        <v>85</v>
      </c>
      <c r="V44" s="9">
        <v>0.731092</v>
      </c>
      <c r="W44" s="9" t="s">
        <v>85</v>
      </c>
      <c r="X44" s="9" t="s">
        <v>85</v>
      </c>
      <c r="Y44" s="9">
        <v>0.756303</v>
      </c>
      <c r="Z44" s="9" t="s">
        <v>85</v>
      </c>
      <c r="AA44" s="9" t="s">
        <v>85</v>
      </c>
      <c r="AB44" s="30">
        <v>0.831933</v>
      </c>
      <c r="AC44" s="9" t="s">
        <v>85</v>
      </c>
      <c r="AD44" s="9" t="s">
        <v>85</v>
      </c>
      <c r="AE44" s="30">
        <v>0.840336</v>
      </c>
      <c r="AF44" s="9" t="s">
        <v>85</v>
      </c>
      <c r="AG44" s="9" t="s">
        <v>85</v>
      </c>
      <c r="AH44" s="9">
        <v>0.689076</v>
      </c>
      <c r="AI44" s="9" t="s">
        <v>85</v>
      </c>
      <c r="AJ44" s="9" t="s">
        <v>85</v>
      </c>
      <c r="AK44" s="9">
        <v>0.714286</v>
      </c>
      <c r="AL44" s="9" t="s">
        <v>85</v>
      </c>
      <c r="AM44" s="9" t="s">
        <v>85</v>
      </c>
      <c r="AN44" s="9">
        <v>0.865546</v>
      </c>
      <c r="AO44" s="9" t="s">
        <v>85</v>
      </c>
      <c r="AP44" s="9" t="s">
        <v>85</v>
      </c>
      <c r="AQ44" s="30">
        <v>0.857143</v>
      </c>
      <c r="AR44" s="9" t="s">
        <v>85</v>
      </c>
      <c r="AS44" s="9" t="s">
        <v>85</v>
      </c>
      <c r="AT44" s="9">
        <v>0.705882</v>
      </c>
      <c r="AU44" s="9" t="s">
        <v>85</v>
      </c>
      <c r="AV44" s="9" t="s">
        <v>85</v>
      </c>
      <c r="AW44" s="9">
        <v>0.773109</v>
      </c>
      <c r="AX44" s="9" t="s">
        <v>85</v>
      </c>
      <c r="AY44" s="9" t="s">
        <v>85</v>
      </c>
      <c r="AZ44" s="9">
        <v>0.865546</v>
      </c>
      <c r="BA44" s="9" t="s">
        <v>85</v>
      </c>
      <c r="BB44" s="9" t="s">
        <v>85</v>
      </c>
      <c r="BC44" s="30">
        <v>0.773109</v>
      </c>
      <c r="BD44" s="9" t="s">
        <v>85</v>
      </c>
      <c r="BE44" s="9" t="s">
        <v>85</v>
      </c>
      <c r="BF44" s="9">
        <v>0.420168</v>
      </c>
      <c r="BG44" s="9" t="s">
        <v>85</v>
      </c>
      <c r="BH44" s="6"/>
      <c r="BI44" s="6" t="str">
        <f t="shared" si="1"/>
        <v>12B_Fold_Median</v>
      </c>
      <c r="BJ44" s="6" t="str">
        <f t="shared" si="2"/>
        <v>12B_Fold_Median</v>
      </c>
      <c r="BK44" s="6" t="str">
        <f t="shared" si="3"/>
        <v>12BN_Fold_Median</v>
      </c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</row>
    <row r="45" ht="15.75" customHeight="1">
      <c r="A45" s="1" t="s">
        <v>139</v>
      </c>
      <c r="B45" s="17">
        <v>7.0</v>
      </c>
      <c r="C45" s="9" t="s">
        <v>85</v>
      </c>
      <c r="D45" s="9">
        <v>0.303636</v>
      </c>
      <c r="E45" s="9" t="s">
        <v>85</v>
      </c>
      <c r="F45" s="9" t="s">
        <v>85</v>
      </c>
      <c r="G45" s="30">
        <v>0.298181832</v>
      </c>
      <c r="H45" s="9" t="s">
        <v>85</v>
      </c>
      <c r="I45" s="9" t="s">
        <v>85</v>
      </c>
      <c r="J45" s="9">
        <v>0.247273</v>
      </c>
      <c r="K45" s="9" t="s">
        <v>85</v>
      </c>
      <c r="L45" s="9" t="s">
        <v>85</v>
      </c>
      <c r="M45" s="9">
        <v>0.287273</v>
      </c>
      <c r="N45" s="9" t="s">
        <v>85</v>
      </c>
      <c r="O45" s="9" t="s">
        <v>85</v>
      </c>
      <c r="P45" s="9">
        <v>0.289091</v>
      </c>
      <c r="Q45" s="9" t="s">
        <v>85</v>
      </c>
      <c r="R45" s="9" t="s">
        <v>85</v>
      </c>
      <c r="S45" s="9">
        <v>0.289091</v>
      </c>
      <c r="T45" s="9" t="s">
        <v>85</v>
      </c>
      <c r="U45" s="9" t="s">
        <v>85</v>
      </c>
      <c r="V45" s="9">
        <v>0.203636</v>
      </c>
      <c r="W45" s="9" t="s">
        <v>85</v>
      </c>
      <c r="X45" s="9" t="s">
        <v>85</v>
      </c>
      <c r="Y45" s="9">
        <v>0.223636</v>
      </c>
      <c r="Z45" s="9" t="s">
        <v>85</v>
      </c>
      <c r="AA45" s="9" t="s">
        <v>85</v>
      </c>
      <c r="AB45" s="30">
        <v>0.283636</v>
      </c>
      <c r="AC45" s="9" t="s">
        <v>85</v>
      </c>
      <c r="AD45" s="9" t="s">
        <v>85</v>
      </c>
      <c r="AE45" s="30">
        <v>0.269091</v>
      </c>
      <c r="AF45" s="9" t="s">
        <v>85</v>
      </c>
      <c r="AG45" s="9" t="s">
        <v>85</v>
      </c>
      <c r="AH45" s="9">
        <v>0.210909</v>
      </c>
      <c r="AI45" s="9" t="s">
        <v>85</v>
      </c>
      <c r="AJ45" s="9" t="s">
        <v>85</v>
      </c>
      <c r="AK45" s="9">
        <v>0.227273</v>
      </c>
      <c r="AL45" s="9" t="s">
        <v>85</v>
      </c>
      <c r="AM45" s="9" t="s">
        <v>85</v>
      </c>
      <c r="AN45" s="9">
        <v>0.267273</v>
      </c>
      <c r="AO45" s="9" t="s">
        <v>85</v>
      </c>
      <c r="AP45" s="9" t="s">
        <v>85</v>
      </c>
      <c r="AQ45" s="30">
        <v>0.292727</v>
      </c>
      <c r="AR45" s="9" t="s">
        <v>85</v>
      </c>
      <c r="AS45" s="9" t="s">
        <v>85</v>
      </c>
      <c r="AT45" s="9">
        <v>0.243636</v>
      </c>
      <c r="AU45" s="9" t="s">
        <v>85</v>
      </c>
      <c r="AV45" s="9" t="s">
        <v>85</v>
      </c>
      <c r="AW45" s="9">
        <v>0.236364</v>
      </c>
      <c r="AX45" s="9" t="s">
        <v>85</v>
      </c>
      <c r="AY45" s="9" t="s">
        <v>85</v>
      </c>
      <c r="AZ45" s="9">
        <v>0.290909</v>
      </c>
      <c r="BA45" s="9" t="s">
        <v>85</v>
      </c>
      <c r="BB45" s="9" t="s">
        <v>85</v>
      </c>
      <c r="BC45" s="30">
        <v>0.243636</v>
      </c>
      <c r="BD45" s="9" t="s">
        <v>85</v>
      </c>
      <c r="BE45" s="9" t="s">
        <v>85</v>
      </c>
      <c r="BF45" s="9">
        <v>0.183636</v>
      </c>
      <c r="BG45" s="9" t="s">
        <v>85</v>
      </c>
      <c r="BH45" s="6"/>
      <c r="BI45" s="6" t="str">
        <f t="shared" si="1"/>
        <v>5B_Fold_Median</v>
      </c>
      <c r="BJ45" s="6" t="str">
        <f t="shared" si="2"/>
        <v>5BN_Fold_Median</v>
      </c>
      <c r="BK45" s="6" t="str">
        <f t="shared" si="3"/>
        <v>12BN_Fold_Median</v>
      </c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</row>
    <row r="46" ht="15.75" customHeight="1">
      <c r="A46" s="1" t="s">
        <v>140</v>
      </c>
      <c r="B46" s="17">
        <v>3.0</v>
      </c>
      <c r="C46" s="9" t="s">
        <v>85</v>
      </c>
      <c r="D46" s="9">
        <v>0.803213</v>
      </c>
      <c r="E46" s="9" t="s">
        <v>85</v>
      </c>
      <c r="F46" s="9" t="s">
        <v>85</v>
      </c>
      <c r="G46" s="30">
        <v>0.795180738</v>
      </c>
      <c r="H46" s="9" t="s">
        <v>85</v>
      </c>
      <c r="I46" s="9" t="s">
        <v>85</v>
      </c>
      <c r="J46" s="9">
        <v>0.787149</v>
      </c>
      <c r="K46" s="9" t="s">
        <v>85</v>
      </c>
      <c r="L46" s="9" t="s">
        <v>85</v>
      </c>
      <c r="M46" s="9">
        <v>0.803213</v>
      </c>
      <c r="N46" s="9" t="s">
        <v>85</v>
      </c>
      <c r="O46" s="9" t="s">
        <v>85</v>
      </c>
      <c r="P46" s="9">
        <v>0.803213</v>
      </c>
      <c r="Q46" s="9" t="s">
        <v>85</v>
      </c>
      <c r="R46" s="9" t="s">
        <v>85</v>
      </c>
      <c r="S46" s="9">
        <v>0.803213</v>
      </c>
      <c r="T46" s="9" t="s">
        <v>85</v>
      </c>
      <c r="U46" s="9" t="s">
        <v>85</v>
      </c>
      <c r="V46" s="9">
        <v>0.799197</v>
      </c>
      <c r="W46" s="9" t="s">
        <v>85</v>
      </c>
      <c r="X46" s="9" t="s">
        <v>85</v>
      </c>
      <c r="Y46" s="9">
        <v>0.795181</v>
      </c>
      <c r="Z46" s="9" t="s">
        <v>85</v>
      </c>
      <c r="AA46" s="9" t="s">
        <v>85</v>
      </c>
      <c r="AB46" s="30">
        <v>0.799197</v>
      </c>
      <c r="AC46" s="9" t="s">
        <v>85</v>
      </c>
      <c r="AD46" s="9" t="s">
        <v>85</v>
      </c>
      <c r="AE46" s="30">
        <v>0.811245</v>
      </c>
      <c r="AF46" s="9" t="s">
        <v>85</v>
      </c>
      <c r="AG46" s="9" t="s">
        <v>85</v>
      </c>
      <c r="AH46" s="9">
        <v>0.799197</v>
      </c>
      <c r="AI46" s="9" t="s">
        <v>85</v>
      </c>
      <c r="AJ46" s="9" t="s">
        <v>85</v>
      </c>
      <c r="AK46" s="9">
        <v>0.799197</v>
      </c>
      <c r="AL46" s="9" t="s">
        <v>85</v>
      </c>
      <c r="AM46" s="9" t="s">
        <v>85</v>
      </c>
      <c r="AN46" s="9">
        <v>0.807229</v>
      </c>
      <c r="AO46" s="9" t="s">
        <v>85</v>
      </c>
      <c r="AP46" s="9" t="s">
        <v>85</v>
      </c>
      <c r="AQ46" s="30">
        <v>0.807229</v>
      </c>
      <c r="AR46" s="9" t="s">
        <v>85</v>
      </c>
      <c r="AS46" s="9" t="s">
        <v>85</v>
      </c>
      <c r="AT46" s="9">
        <v>0.811245</v>
      </c>
      <c r="AU46" s="9" t="s">
        <v>85</v>
      </c>
      <c r="AV46" s="9" t="s">
        <v>85</v>
      </c>
      <c r="AW46" s="9">
        <v>0.811245</v>
      </c>
      <c r="AX46" s="9" t="s">
        <v>85</v>
      </c>
      <c r="AY46" s="9" t="s">
        <v>85</v>
      </c>
      <c r="AZ46" s="9">
        <v>0.815261</v>
      </c>
      <c r="BA46" s="9" t="s">
        <v>85</v>
      </c>
      <c r="BB46" s="9" t="s">
        <v>85</v>
      </c>
      <c r="BC46" s="30">
        <v>0.839357</v>
      </c>
      <c r="BD46" s="9" t="s">
        <v>85</v>
      </c>
      <c r="BE46" s="9" t="s">
        <v>85</v>
      </c>
      <c r="BF46" s="9">
        <v>1.0</v>
      </c>
      <c r="BG46" s="9" t="s">
        <v>85</v>
      </c>
      <c r="BH46" s="6"/>
      <c r="BI46" s="6" t="str">
        <f t="shared" si="1"/>
        <v>De_Fold_Median</v>
      </c>
      <c r="BJ46" s="6" t="str">
        <f t="shared" si="2"/>
        <v>20V_Fold_Median</v>
      </c>
      <c r="BK46" s="6" t="str">
        <f t="shared" si="3"/>
        <v>20B_Fold_Median</v>
      </c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</row>
    <row r="47" ht="15.75" customHeight="1">
      <c r="A47" s="1" t="s">
        <v>141</v>
      </c>
      <c r="B47" s="17">
        <v>3.0</v>
      </c>
      <c r="C47" s="9" t="s">
        <v>85</v>
      </c>
      <c r="D47" s="9">
        <v>0.73494</v>
      </c>
      <c r="E47" s="9" t="s">
        <v>85</v>
      </c>
      <c r="F47" s="9" t="s">
        <v>85</v>
      </c>
      <c r="G47" s="30">
        <v>0.710843384</v>
      </c>
      <c r="H47" s="9" t="s">
        <v>85</v>
      </c>
      <c r="I47" s="9" t="s">
        <v>85</v>
      </c>
      <c r="J47" s="9">
        <v>0.751004</v>
      </c>
      <c r="K47" s="9" t="s">
        <v>85</v>
      </c>
      <c r="L47" s="9" t="s">
        <v>85</v>
      </c>
      <c r="M47" s="9">
        <v>0.75502</v>
      </c>
      <c r="N47" s="9" t="s">
        <v>85</v>
      </c>
      <c r="O47" s="9" t="s">
        <v>85</v>
      </c>
      <c r="P47" s="9">
        <v>0.75502</v>
      </c>
      <c r="Q47" s="9" t="s">
        <v>85</v>
      </c>
      <c r="R47" s="9" t="s">
        <v>85</v>
      </c>
      <c r="S47" s="9">
        <v>0.767068</v>
      </c>
      <c r="T47" s="9" t="s">
        <v>85</v>
      </c>
      <c r="U47" s="9" t="s">
        <v>85</v>
      </c>
      <c r="V47" s="9">
        <v>0.751004</v>
      </c>
      <c r="W47" s="9" t="s">
        <v>85</v>
      </c>
      <c r="X47" s="9" t="s">
        <v>85</v>
      </c>
      <c r="Y47" s="9">
        <v>0.767068</v>
      </c>
      <c r="Z47" s="9" t="s">
        <v>85</v>
      </c>
      <c r="AA47" s="9" t="s">
        <v>85</v>
      </c>
      <c r="AB47" s="30">
        <v>0.759036</v>
      </c>
      <c r="AC47" s="9" t="s">
        <v>85</v>
      </c>
      <c r="AD47" s="9" t="s">
        <v>85</v>
      </c>
      <c r="AE47" s="30">
        <v>0.767068</v>
      </c>
      <c r="AF47" s="9" t="s">
        <v>85</v>
      </c>
      <c r="AG47" s="9" t="s">
        <v>85</v>
      </c>
      <c r="AH47" s="9">
        <v>0.75502</v>
      </c>
      <c r="AI47" s="9" t="s">
        <v>85</v>
      </c>
      <c r="AJ47" s="9" t="s">
        <v>85</v>
      </c>
      <c r="AK47" s="9">
        <v>0.742972</v>
      </c>
      <c r="AL47" s="9" t="s">
        <v>85</v>
      </c>
      <c r="AM47" s="9" t="s">
        <v>85</v>
      </c>
      <c r="AN47" s="9">
        <v>0.7751</v>
      </c>
      <c r="AO47" s="9" t="s">
        <v>85</v>
      </c>
      <c r="AP47" s="9" t="s">
        <v>85</v>
      </c>
      <c r="AQ47" s="30">
        <v>0.759036</v>
      </c>
      <c r="AR47" s="9" t="s">
        <v>85</v>
      </c>
      <c r="AS47" s="9" t="s">
        <v>85</v>
      </c>
      <c r="AT47" s="9">
        <v>0.73494</v>
      </c>
      <c r="AU47" s="9" t="s">
        <v>85</v>
      </c>
      <c r="AV47" s="9" t="s">
        <v>85</v>
      </c>
      <c r="AW47" s="9">
        <v>0.73494</v>
      </c>
      <c r="AX47" s="9" t="s">
        <v>85</v>
      </c>
      <c r="AY47" s="9" t="s">
        <v>85</v>
      </c>
      <c r="AZ47" s="9">
        <v>0.481928</v>
      </c>
      <c r="BA47" s="9" t="s">
        <v>85</v>
      </c>
      <c r="BB47" s="9" t="s">
        <v>85</v>
      </c>
      <c r="BC47" s="30">
        <v>0.759036</v>
      </c>
      <c r="BD47" s="9" t="s">
        <v>85</v>
      </c>
      <c r="BE47" s="9" t="s">
        <v>85</v>
      </c>
      <c r="BF47" s="9">
        <v>1.0</v>
      </c>
      <c r="BG47" s="9" t="s">
        <v>85</v>
      </c>
      <c r="BH47" s="6"/>
      <c r="BI47" s="6" t="str">
        <f t="shared" si="1"/>
        <v>De_Fold_Median</v>
      </c>
      <c r="BJ47" s="6" t="str">
        <f t="shared" si="2"/>
        <v>12B_Fold_Median</v>
      </c>
      <c r="BK47" s="6" t="str">
        <f t="shared" si="3"/>
        <v>8BN_Fold_Median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</row>
    <row r="48" ht="15.75" customHeight="1">
      <c r="A48" s="1" t="s">
        <v>142</v>
      </c>
      <c r="B48" s="17">
        <v>2.0</v>
      </c>
      <c r="C48" s="9" t="s">
        <v>85</v>
      </c>
      <c r="D48" s="9">
        <v>0.921283</v>
      </c>
      <c r="E48" s="9" t="s">
        <v>85</v>
      </c>
      <c r="F48" s="9" t="s">
        <v>85</v>
      </c>
      <c r="G48" s="30">
        <v>0.922254622</v>
      </c>
      <c r="H48" s="9" t="s">
        <v>85</v>
      </c>
      <c r="I48" s="9" t="s">
        <v>85</v>
      </c>
      <c r="J48" s="9">
        <v>0.83965</v>
      </c>
      <c r="K48" s="9" t="s">
        <v>85</v>
      </c>
      <c r="L48" s="9" t="s">
        <v>85</v>
      </c>
      <c r="M48" s="9">
        <v>0.836735</v>
      </c>
      <c r="N48" s="9" t="s">
        <v>85</v>
      </c>
      <c r="O48" s="9" t="s">
        <v>85</v>
      </c>
      <c r="P48" s="9">
        <v>0.909621</v>
      </c>
      <c r="Q48" s="9" t="s">
        <v>85</v>
      </c>
      <c r="R48" s="9" t="s">
        <v>85</v>
      </c>
      <c r="S48" s="9">
        <v>0.912536</v>
      </c>
      <c r="T48" s="9" t="s">
        <v>85</v>
      </c>
      <c r="U48" s="9" t="s">
        <v>85</v>
      </c>
      <c r="V48" s="9">
        <v>0.93586</v>
      </c>
      <c r="W48" s="9" t="s">
        <v>85</v>
      </c>
      <c r="X48" s="9" t="s">
        <v>85</v>
      </c>
      <c r="Y48" s="9">
        <v>0.936832</v>
      </c>
      <c r="Z48" s="9" t="s">
        <v>85</v>
      </c>
      <c r="AA48" s="9" t="s">
        <v>85</v>
      </c>
      <c r="AB48" s="30">
        <v>0.922255</v>
      </c>
      <c r="AC48" s="9" t="s">
        <v>85</v>
      </c>
      <c r="AD48" s="9" t="s">
        <v>85</v>
      </c>
      <c r="AE48" s="30">
        <v>0.924198</v>
      </c>
      <c r="AF48" s="9" t="s">
        <v>85</v>
      </c>
      <c r="AG48" s="9" t="s">
        <v>85</v>
      </c>
      <c r="AH48" s="9">
        <v>0.886297</v>
      </c>
      <c r="AI48" s="9" t="s">
        <v>85</v>
      </c>
      <c r="AJ48" s="9" t="s">
        <v>85</v>
      </c>
      <c r="AK48" s="9">
        <v>0.901846</v>
      </c>
      <c r="AL48" s="9" t="s">
        <v>85</v>
      </c>
      <c r="AM48" s="9" t="s">
        <v>85</v>
      </c>
      <c r="AN48" s="9">
        <v>0.921283</v>
      </c>
      <c r="AO48" s="9" t="s">
        <v>85</v>
      </c>
      <c r="AP48" s="9" t="s">
        <v>85</v>
      </c>
      <c r="AQ48" s="30">
        <v>0.922255</v>
      </c>
      <c r="AR48" s="9" t="s">
        <v>85</v>
      </c>
      <c r="AS48" s="9" t="s">
        <v>85</v>
      </c>
      <c r="AT48" s="9">
        <v>0.8931</v>
      </c>
      <c r="AU48" s="9" t="s">
        <v>85</v>
      </c>
      <c r="AV48" s="9" t="s">
        <v>85</v>
      </c>
      <c r="AW48" s="9">
        <v>0.896987</v>
      </c>
      <c r="AX48" s="9" t="s">
        <v>85</v>
      </c>
      <c r="AY48" s="9" t="s">
        <v>85</v>
      </c>
      <c r="AZ48" s="9">
        <v>0.880466</v>
      </c>
      <c r="BA48" s="9" t="s">
        <v>85</v>
      </c>
      <c r="BB48" s="9" t="s">
        <v>85</v>
      </c>
      <c r="BC48" s="30">
        <v>0.90379</v>
      </c>
      <c r="BD48" s="9" t="s">
        <v>85</v>
      </c>
      <c r="BE48" s="9" t="s">
        <v>85</v>
      </c>
      <c r="BF48" s="9">
        <v>0.970845</v>
      </c>
      <c r="BG48" s="9" t="s">
        <v>85</v>
      </c>
      <c r="BH48" s="6"/>
      <c r="BI48" s="6" t="str">
        <f t="shared" si="1"/>
        <v>De_Fold_Median</v>
      </c>
      <c r="BJ48" s="6" t="str">
        <f t="shared" si="2"/>
        <v>8VB_Fold_Median</v>
      </c>
      <c r="BK48" s="6" t="str">
        <f t="shared" si="3"/>
        <v>8V_Fold_Median</v>
      </c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</row>
    <row r="49" ht="15.75" customHeight="1">
      <c r="A49" s="1" t="s">
        <v>143</v>
      </c>
      <c r="B49" s="17">
        <v>3.0</v>
      </c>
      <c r="C49" s="9" t="s">
        <v>85</v>
      </c>
      <c r="D49" s="9">
        <v>0.674667</v>
      </c>
      <c r="E49" s="9" t="s">
        <v>85</v>
      </c>
      <c r="F49" s="9" t="s">
        <v>85</v>
      </c>
      <c r="G49" s="30">
        <v>0.472000003</v>
      </c>
      <c r="H49" s="9" t="s">
        <v>85</v>
      </c>
      <c r="I49" s="9" t="s">
        <v>85</v>
      </c>
      <c r="J49" s="9">
        <v>0.6</v>
      </c>
      <c r="K49" s="9" t="s">
        <v>85</v>
      </c>
      <c r="L49" s="9" t="s">
        <v>85</v>
      </c>
      <c r="M49" s="9">
        <v>0.6</v>
      </c>
      <c r="N49" s="9" t="s">
        <v>85</v>
      </c>
      <c r="O49" s="9" t="s">
        <v>85</v>
      </c>
      <c r="P49" s="9">
        <v>0.672</v>
      </c>
      <c r="Q49" s="9" t="s">
        <v>85</v>
      </c>
      <c r="R49" s="9" t="s">
        <v>85</v>
      </c>
      <c r="S49" s="9">
        <v>0.664</v>
      </c>
      <c r="T49" s="9" t="s">
        <v>85</v>
      </c>
      <c r="U49" s="9" t="s">
        <v>85</v>
      </c>
      <c r="V49" s="9">
        <v>0.578667</v>
      </c>
      <c r="W49" s="9" t="s">
        <v>85</v>
      </c>
      <c r="X49" s="9" t="s">
        <v>85</v>
      </c>
      <c r="Y49" s="9">
        <v>0.568</v>
      </c>
      <c r="Z49" s="9" t="s">
        <v>85</v>
      </c>
      <c r="AA49" s="9" t="s">
        <v>85</v>
      </c>
      <c r="AB49" s="30">
        <v>0.642667</v>
      </c>
      <c r="AC49" s="9" t="s">
        <v>85</v>
      </c>
      <c r="AD49" s="9" t="s">
        <v>85</v>
      </c>
      <c r="AE49" s="30">
        <v>0.653333</v>
      </c>
      <c r="AF49" s="9" t="s">
        <v>85</v>
      </c>
      <c r="AG49" s="9" t="s">
        <v>85</v>
      </c>
      <c r="AH49" s="9">
        <v>0.576</v>
      </c>
      <c r="AI49" s="9" t="s">
        <v>85</v>
      </c>
      <c r="AJ49" s="9" t="s">
        <v>85</v>
      </c>
      <c r="AK49" s="9">
        <v>0.573333</v>
      </c>
      <c r="AL49" s="9" t="s">
        <v>85</v>
      </c>
      <c r="AM49" s="9" t="s">
        <v>85</v>
      </c>
      <c r="AN49" s="9">
        <v>0.648</v>
      </c>
      <c r="AO49" s="9" t="s">
        <v>85</v>
      </c>
      <c r="AP49" s="9" t="s">
        <v>85</v>
      </c>
      <c r="AQ49" s="30">
        <v>0.677333</v>
      </c>
      <c r="AR49" s="9" t="s">
        <v>85</v>
      </c>
      <c r="AS49" s="9" t="s">
        <v>85</v>
      </c>
      <c r="AT49" s="9">
        <v>0.578667</v>
      </c>
      <c r="AU49" s="9" t="s">
        <v>85</v>
      </c>
      <c r="AV49" s="9" t="s">
        <v>85</v>
      </c>
      <c r="AW49" s="9">
        <v>0.594667</v>
      </c>
      <c r="AX49" s="9" t="s">
        <v>85</v>
      </c>
      <c r="AY49" s="9" t="s">
        <v>85</v>
      </c>
      <c r="AZ49" s="9">
        <v>0.634667</v>
      </c>
      <c r="BA49" s="9" t="s">
        <v>85</v>
      </c>
      <c r="BB49" s="9" t="s">
        <v>85</v>
      </c>
      <c r="BC49" s="30">
        <v>0.597333</v>
      </c>
      <c r="BD49" s="9" t="s">
        <v>85</v>
      </c>
      <c r="BE49" s="9" t="s">
        <v>85</v>
      </c>
      <c r="BF49" s="9">
        <v>0.509333</v>
      </c>
      <c r="BG49" s="9" t="s">
        <v>85</v>
      </c>
      <c r="BH49" s="6"/>
      <c r="BI49" s="6" t="str">
        <f t="shared" si="1"/>
        <v>12BN_Fold_Median</v>
      </c>
      <c r="BJ49" s="6" t="str">
        <f t="shared" si="2"/>
        <v>5B_Fold_Median</v>
      </c>
      <c r="BK49" s="6" t="str">
        <f t="shared" si="3"/>
        <v>8B_Fold_Median</v>
      </c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</row>
    <row r="50" ht="15.75" customHeight="1">
      <c r="A50" s="1" t="s">
        <v>144</v>
      </c>
      <c r="B50" s="17">
        <v>2.0</v>
      </c>
      <c r="C50" s="9" t="s">
        <v>85</v>
      </c>
      <c r="D50" s="9">
        <v>0.540984</v>
      </c>
      <c r="E50" s="9" t="s">
        <v>85</v>
      </c>
      <c r="F50" s="9" t="s">
        <v>85</v>
      </c>
      <c r="G50" s="30">
        <v>0.540983617</v>
      </c>
      <c r="H50" s="9" t="s">
        <v>85</v>
      </c>
      <c r="I50" s="9" t="s">
        <v>85</v>
      </c>
      <c r="J50" s="9">
        <v>0.540984</v>
      </c>
      <c r="K50" s="9" t="s">
        <v>85</v>
      </c>
      <c r="L50" s="9" t="s">
        <v>85</v>
      </c>
      <c r="M50" s="9">
        <v>0.540984</v>
      </c>
      <c r="N50" s="9" t="s">
        <v>85</v>
      </c>
      <c r="O50" s="9" t="s">
        <v>85</v>
      </c>
      <c r="P50" s="9">
        <v>0.540984</v>
      </c>
      <c r="Q50" s="9" t="s">
        <v>85</v>
      </c>
      <c r="R50" s="9" t="s">
        <v>85</v>
      </c>
      <c r="S50" s="9">
        <v>0.540984</v>
      </c>
      <c r="T50" s="9" t="s">
        <v>85</v>
      </c>
      <c r="U50" s="9" t="s">
        <v>85</v>
      </c>
      <c r="V50" s="9">
        <v>0.540984</v>
      </c>
      <c r="W50" s="9" t="s">
        <v>85</v>
      </c>
      <c r="X50" s="9" t="s">
        <v>85</v>
      </c>
      <c r="Y50" s="9">
        <v>0.540984</v>
      </c>
      <c r="Z50" s="9" t="s">
        <v>85</v>
      </c>
      <c r="AA50" s="9" t="s">
        <v>85</v>
      </c>
      <c r="AB50" s="30">
        <v>0.540984</v>
      </c>
      <c r="AC50" s="9" t="s">
        <v>85</v>
      </c>
      <c r="AD50" s="9" t="s">
        <v>85</v>
      </c>
      <c r="AE50" s="30">
        <v>0.540984</v>
      </c>
      <c r="AF50" s="9" t="s">
        <v>85</v>
      </c>
      <c r="AG50" s="9" t="s">
        <v>85</v>
      </c>
      <c r="AH50" s="9">
        <v>0.540984</v>
      </c>
      <c r="AI50" s="9" t="s">
        <v>85</v>
      </c>
      <c r="AJ50" s="9" t="s">
        <v>85</v>
      </c>
      <c r="AK50" s="9">
        <v>0.540984</v>
      </c>
      <c r="AL50" s="9" t="s">
        <v>85</v>
      </c>
      <c r="AM50" s="9" t="s">
        <v>85</v>
      </c>
      <c r="AN50" s="9">
        <v>0.540984</v>
      </c>
      <c r="AO50" s="9" t="s">
        <v>85</v>
      </c>
      <c r="AP50" s="9" t="s">
        <v>85</v>
      </c>
      <c r="AQ50" s="30">
        <v>0.540984</v>
      </c>
      <c r="AR50" s="9" t="s">
        <v>85</v>
      </c>
      <c r="AS50" s="9" t="s">
        <v>85</v>
      </c>
      <c r="AT50" s="9">
        <v>0.540984</v>
      </c>
      <c r="AU50" s="9" t="s">
        <v>85</v>
      </c>
      <c r="AV50" s="9" t="s">
        <v>85</v>
      </c>
      <c r="AW50" s="9">
        <v>0.540984</v>
      </c>
      <c r="AX50" s="9" t="s">
        <v>85</v>
      </c>
      <c r="AY50" s="9" t="s">
        <v>85</v>
      </c>
      <c r="AZ50" s="9">
        <v>0.540984</v>
      </c>
      <c r="BA50" s="9" t="s">
        <v>85</v>
      </c>
      <c r="BB50" s="9" t="s">
        <v>85</v>
      </c>
      <c r="BC50" s="30">
        <v>0.540984</v>
      </c>
      <c r="BD50" s="9" t="s">
        <v>85</v>
      </c>
      <c r="BE50" s="9" t="s">
        <v>85</v>
      </c>
      <c r="BF50" s="9">
        <v>0.540984</v>
      </c>
      <c r="BG50" s="9" t="s">
        <v>85</v>
      </c>
      <c r="BH50" s="6"/>
      <c r="BI50" s="6" t="str">
        <f t="shared" si="1"/>
        <v>5B_Fold_Median</v>
      </c>
      <c r="BJ50" s="6" t="str">
        <f t="shared" si="2"/>
        <v>5B_Fold_Median</v>
      </c>
      <c r="BK50" s="6" t="str">
        <f t="shared" si="3"/>
        <v>5B_Fold_Median</v>
      </c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</row>
    <row r="51" ht="15.75" customHeight="1">
      <c r="A51" s="1" t="s">
        <v>145</v>
      </c>
      <c r="B51" s="17">
        <v>7.0</v>
      </c>
      <c r="C51" s="9" t="s">
        <v>85</v>
      </c>
      <c r="D51" s="9">
        <v>0.575342</v>
      </c>
      <c r="E51" s="9" t="s">
        <v>85</v>
      </c>
      <c r="F51" s="9" t="s">
        <v>85</v>
      </c>
      <c r="G51" s="30">
        <v>0.520547926</v>
      </c>
      <c r="H51" s="9" t="s">
        <v>85</v>
      </c>
      <c r="I51" s="9" t="s">
        <v>85</v>
      </c>
      <c r="J51" s="9">
        <v>0.60274</v>
      </c>
      <c r="K51" s="9" t="s">
        <v>85</v>
      </c>
      <c r="L51" s="9" t="s">
        <v>85</v>
      </c>
      <c r="M51" s="9">
        <v>0.589041</v>
      </c>
      <c r="N51" s="9" t="s">
        <v>85</v>
      </c>
      <c r="O51" s="9" t="s">
        <v>85</v>
      </c>
      <c r="P51" s="9">
        <v>0.575342</v>
      </c>
      <c r="Q51" s="9" t="s">
        <v>85</v>
      </c>
      <c r="R51" s="9" t="s">
        <v>85</v>
      </c>
      <c r="S51" s="9">
        <v>0.575342</v>
      </c>
      <c r="T51" s="9" t="s">
        <v>85</v>
      </c>
      <c r="U51" s="9" t="s">
        <v>85</v>
      </c>
      <c r="V51" s="9">
        <v>0.657534</v>
      </c>
      <c r="W51" s="9" t="s">
        <v>85</v>
      </c>
      <c r="X51" s="9" t="s">
        <v>85</v>
      </c>
      <c r="Y51" s="9">
        <v>0.643836</v>
      </c>
      <c r="Z51" s="9" t="s">
        <v>85</v>
      </c>
      <c r="AA51" s="9" t="s">
        <v>85</v>
      </c>
      <c r="AB51" s="30">
        <v>0.575342</v>
      </c>
      <c r="AC51" s="9" t="s">
        <v>85</v>
      </c>
      <c r="AD51" s="9" t="s">
        <v>85</v>
      </c>
      <c r="AE51" s="30">
        <v>0.561644</v>
      </c>
      <c r="AF51" s="9" t="s">
        <v>85</v>
      </c>
      <c r="AG51" s="9" t="s">
        <v>85</v>
      </c>
      <c r="AH51" s="9">
        <v>0.589041</v>
      </c>
      <c r="AI51" s="9" t="s">
        <v>85</v>
      </c>
      <c r="AJ51" s="9" t="s">
        <v>85</v>
      </c>
      <c r="AK51" s="9">
        <v>0.575342</v>
      </c>
      <c r="AL51" s="9" t="s">
        <v>85</v>
      </c>
      <c r="AM51" s="9" t="s">
        <v>85</v>
      </c>
      <c r="AN51" s="9">
        <v>0.589041</v>
      </c>
      <c r="AO51" s="9" t="s">
        <v>85</v>
      </c>
      <c r="AP51" s="9" t="s">
        <v>85</v>
      </c>
      <c r="AQ51" s="30">
        <v>0.60274</v>
      </c>
      <c r="AR51" s="9" t="s">
        <v>85</v>
      </c>
      <c r="AS51" s="9" t="s">
        <v>85</v>
      </c>
      <c r="AT51" s="9">
        <v>0.561644</v>
      </c>
      <c r="AU51" s="9" t="s">
        <v>85</v>
      </c>
      <c r="AV51" s="9" t="s">
        <v>85</v>
      </c>
      <c r="AW51" s="9">
        <v>0.630137</v>
      </c>
      <c r="AX51" s="9" t="s">
        <v>85</v>
      </c>
      <c r="AY51" s="9" t="s">
        <v>85</v>
      </c>
      <c r="AZ51" s="9">
        <v>0.589041</v>
      </c>
      <c r="BA51" s="9" t="s">
        <v>85</v>
      </c>
      <c r="BB51" s="9" t="s">
        <v>85</v>
      </c>
      <c r="BC51" s="30">
        <v>0.60274</v>
      </c>
      <c r="BD51" s="9" t="s">
        <v>85</v>
      </c>
      <c r="BE51" s="9" t="s">
        <v>85</v>
      </c>
      <c r="BF51" s="9">
        <v>0.616438</v>
      </c>
      <c r="BG51" s="9" t="s">
        <v>85</v>
      </c>
      <c r="BH51" s="6"/>
      <c r="BI51" s="6" t="str">
        <f t="shared" si="1"/>
        <v>8V_Fold_Median</v>
      </c>
      <c r="BJ51" s="6" t="str">
        <f t="shared" si="2"/>
        <v>8VB_Fold_Median</v>
      </c>
      <c r="BK51" s="6" t="str">
        <f t="shared" si="3"/>
        <v>12VB_Fold_Median</v>
      </c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</row>
    <row r="52" ht="15.75" customHeight="1">
      <c r="A52" s="1" t="s">
        <v>146</v>
      </c>
      <c r="B52" s="17">
        <v>8.0</v>
      </c>
      <c r="C52" s="9" t="s">
        <v>85</v>
      </c>
      <c r="D52" s="9">
        <v>0.591471</v>
      </c>
      <c r="E52" s="9" t="s">
        <v>85</v>
      </c>
      <c r="F52" s="9" t="s">
        <v>85</v>
      </c>
      <c r="G52" s="30">
        <v>0.573134303</v>
      </c>
      <c r="H52" s="9" t="s">
        <v>85</v>
      </c>
      <c r="I52" s="9" t="s">
        <v>85</v>
      </c>
      <c r="J52" s="9">
        <v>0.686141</v>
      </c>
      <c r="K52" s="9" t="s">
        <v>85</v>
      </c>
      <c r="L52" s="9" t="s">
        <v>85</v>
      </c>
      <c r="M52" s="9">
        <v>0.58209</v>
      </c>
      <c r="N52" s="9" t="s">
        <v>85</v>
      </c>
      <c r="O52" s="9" t="s">
        <v>85</v>
      </c>
      <c r="P52" s="9">
        <v>0.663966</v>
      </c>
      <c r="Q52" s="9" t="s">
        <v>85</v>
      </c>
      <c r="R52" s="9" t="s">
        <v>85</v>
      </c>
      <c r="S52" s="9">
        <v>0.672495</v>
      </c>
      <c r="T52" s="9" t="s">
        <v>85</v>
      </c>
      <c r="U52" s="9" t="s">
        <v>85</v>
      </c>
      <c r="V52" s="9">
        <v>0.4742</v>
      </c>
      <c r="W52" s="9" t="s">
        <v>85</v>
      </c>
      <c r="X52" s="9" t="s">
        <v>85</v>
      </c>
      <c r="Y52" s="9">
        <v>0.564606</v>
      </c>
      <c r="Z52" s="9" t="s">
        <v>85</v>
      </c>
      <c r="AA52" s="9" t="s">
        <v>85</v>
      </c>
      <c r="AB52" s="30">
        <v>0.697655</v>
      </c>
      <c r="AC52" s="9" t="s">
        <v>85</v>
      </c>
      <c r="AD52" s="9" t="s">
        <v>85</v>
      </c>
      <c r="AE52" s="30">
        <v>0.634542</v>
      </c>
      <c r="AF52" s="9" t="s">
        <v>85</v>
      </c>
      <c r="AG52" s="9" t="s">
        <v>85</v>
      </c>
      <c r="AH52" s="9">
        <v>0.596588</v>
      </c>
      <c r="AI52" s="9" t="s">
        <v>85</v>
      </c>
      <c r="AJ52" s="9" t="s">
        <v>85</v>
      </c>
      <c r="AK52" s="9">
        <v>0.4742</v>
      </c>
      <c r="AL52" s="9" t="s">
        <v>85</v>
      </c>
      <c r="AM52" s="9" t="s">
        <v>85</v>
      </c>
      <c r="AN52" s="9">
        <v>0.701493</v>
      </c>
      <c r="AO52" s="9" t="s">
        <v>85</v>
      </c>
      <c r="AP52" s="9" t="s">
        <v>85</v>
      </c>
      <c r="AQ52" s="30">
        <v>0.690832</v>
      </c>
      <c r="AR52" s="9" t="s">
        <v>85</v>
      </c>
      <c r="AS52" s="9" t="s">
        <v>85</v>
      </c>
      <c r="AT52" s="9">
        <v>0.575267</v>
      </c>
      <c r="AU52" s="9" t="s">
        <v>85</v>
      </c>
      <c r="AV52" s="9" t="s">
        <v>85</v>
      </c>
      <c r="AW52" s="9">
        <v>0.553518</v>
      </c>
      <c r="AX52" s="9" t="s">
        <v>85</v>
      </c>
      <c r="AY52" s="9" t="s">
        <v>85</v>
      </c>
      <c r="AZ52" s="9">
        <v>0.694669</v>
      </c>
      <c r="BA52" s="9" t="s">
        <v>85</v>
      </c>
      <c r="BB52" s="9" t="s">
        <v>85</v>
      </c>
      <c r="BC52" s="30">
        <v>0.551386</v>
      </c>
      <c r="BD52" s="9" t="s">
        <v>85</v>
      </c>
      <c r="BE52" s="9" t="s">
        <v>85</v>
      </c>
      <c r="BF52" s="9">
        <v>0.373134</v>
      </c>
      <c r="BG52" s="9" t="s">
        <v>85</v>
      </c>
      <c r="BH52" s="6"/>
      <c r="BI52" s="6" t="str">
        <f t="shared" si="1"/>
        <v>12B_Fold_Median</v>
      </c>
      <c r="BJ52" s="6" t="str">
        <f t="shared" si="2"/>
        <v>10B_Fold_Median</v>
      </c>
      <c r="BK52" s="6" t="str">
        <f t="shared" si="3"/>
        <v>20B_Fold_Median</v>
      </c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</row>
    <row r="53" ht="15.75" customHeight="1">
      <c r="A53" s="1" t="s">
        <v>147</v>
      </c>
      <c r="B53" s="17">
        <v>3.0</v>
      </c>
      <c r="C53" s="9" t="s">
        <v>85</v>
      </c>
      <c r="D53" s="9">
        <v>0.916667</v>
      </c>
      <c r="E53" s="9" t="s">
        <v>85</v>
      </c>
      <c r="F53" s="9" t="s">
        <v>85</v>
      </c>
      <c r="G53" s="30">
        <v>0.916666687</v>
      </c>
      <c r="H53" s="9" t="s">
        <v>85</v>
      </c>
      <c r="I53" s="9" t="s">
        <v>85</v>
      </c>
      <c r="J53" s="9">
        <v>0.633333</v>
      </c>
      <c r="K53" s="9" t="s">
        <v>85</v>
      </c>
      <c r="L53" s="9" t="s">
        <v>85</v>
      </c>
      <c r="M53" s="9">
        <v>0.533333</v>
      </c>
      <c r="N53" s="9" t="s">
        <v>85</v>
      </c>
      <c r="O53" s="9" t="s">
        <v>85</v>
      </c>
      <c r="P53" s="9">
        <v>0.916667</v>
      </c>
      <c r="Q53" s="9" t="s">
        <v>85</v>
      </c>
      <c r="R53" s="9" t="s">
        <v>85</v>
      </c>
      <c r="S53" s="9">
        <v>0.883333</v>
      </c>
      <c r="T53" s="9" t="s">
        <v>85</v>
      </c>
      <c r="U53" s="9" t="s">
        <v>85</v>
      </c>
      <c r="V53" s="9">
        <v>0.55</v>
      </c>
      <c r="W53" s="9" t="s">
        <v>85</v>
      </c>
      <c r="X53" s="9" t="s">
        <v>85</v>
      </c>
      <c r="Y53" s="9">
        <v>0.5</v>
      </c>
      <c r="Z53" s="9" t="s">
        <v>85</v>
      </c>
      <c r="AA53" s="9" t="s">
        <v>85</v>
      </c>
      <c r="AB53" s="30">
        <v>0.916667</v>
      </c>
      <c r="AC53" s="9" t="s">
        <v>85</v>
      </c>
      <c r="AD53" s="9" t="s">
        <v>85</v>
      </c>
      <c r="AE53" s="30">
        <v>0.933333</v>
      </c>
      <c r="AF53" s="9" t="s">
        <v>85</v>
      </c>
      <c r="AG53" s="9" t="s">
        <v>85</v>
      </c>
      <c r="AH53" s="9">
        <v>0.666667</v>
      </c>
      <c r="AI53" s="9" t="s">
        <v>85</v>
      </c>
      <c r="AJ53" s="9" t="s">
        <v>85</v>
      </c>
      <c r="AK53" s="9">
        <v>0.733333</v>
      </c>
      <c r="AL53" s="9" t="s">
        <v>85</v>
      </c>
      <c r="AM53" s="9" t="s">
        <v>85</v>
      </c>
      <c r="AN53" s="9">
        <v>0.883333</v>
      </c>
      <c r="AO53" s="9" t="s">
        <v>85</v>
      </c>
      <c r="AP53" s="9" t="s">
        <v>85</v>
      </c>
      <c r="AQ53" s="30">
        <v>0.9</v>
      </c>
      <c r="AR53" s="9" t="s">
        <v>85</v>
      </c>
      <c r="AS53" s="9" t="s">
        <v>85</v>
      </c>
      <c r="AT53" s="9">
        <v>0.616667</v>
      </c>
      <c r="AU53" s="9" t="s">
        <v>85</v>
      </c>
      <c r="AV53" s="9" t="s">
        <v>85</v>
      </c>
      <c r="AW53" s="9">
        <v>0.65</v>
      </c>
      <c r="AX53" s="9" t="s">
        <v>85</v>
      </c>
      <c r="AY53" s="9" t="s">
        <v>85</v>
      </c>
      <c r="AZ53" s="9">
        <v>0.883333</v>
      </c>
      <c r="BA53" s="9" t="s">
        <v>85</v>
      </c>
      <c r="BB53" s="9" t="s">
        <v>85</v>
      </c>
      <c r="BC53" s="30">
        <v>0.616667</v>
      </c>
      <c r="BD53" s="9" t="s">
        <v>85</v>
      </c>
      <c r="BE53" s="9" t="s">
        <v>85</v>
      </c>
      <c r="BF53" s="9">
        <v>0.633333</v>
      </c>
      <c r="BG53" s="9" t="s">
        <v>85</v>
      </c>
      <c r="BH53" s="6"/>
      <c r="BI53" s="6" t="str">
        <f t="shared" si="1"/>
        <v>10BN_Fold_Median</v>
      </c>
      <c r="BJ53" s="6" t="str">
        <f t="shared" si="2"/>
        <v>5B_Fold_Median</v>
      </c>
      <c r="BK53" s="6" t="str">
        <f t="shared" si="3"/>
        <v>5B_Fold_Median</v>
      </c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</row>
    <row r="54" ht="15.75" customHeight="1">
      <c r="A54" s="1" t="s">
        <v>148</v>
      </c>
      <c r="B54" s="17">
        <v>10.0</v>
      </c>
      <c r="C54" s="9" t="s">
        <v>85</v>
      </c>
      <c r="D54" s="9">
        <v>0.521053</v>
      </c>
      <c r="E54" s="9" t="s">
        <v>85</v>
      </c>
      <c r="F54" s="9" t="s">
        <v>85</v>
      </c>
      <c r="G54" s="30">
        <v>0.514473677</v>
      </c>
      <c r="H54" s="9" t="s">
        <v>85</v>
      </c>
      <c r="I54" s="9" t="s">
        <v>85</v>
      </c>
      <c r="J54" s="9">
        <v>0.544737</v>
      </c>
      <c r="K54" s="9" t="s">
        <v>85</v>
      </c>
      <c r="L54" s="9" t="s">
        <v>85</v>
      </c>
      <c r="M54" s="9">
        <v>0.528947</v>
      </c>
      <c r="N54" s="9" t="s">
        <v>85</v>
      </c>
      <c r="O54" s="9" t="s">
        <v>85</v>
      </c>
      <c r="P54" s="9">
        <v>0.527632</v>
      </c>
      <c r="Q54" s="9" t="s">
        <v>85</v>
      </c>
      <c r="R54" s="9" t="s">
        <v>85</v>
      </c>
      <c r="S54" s="9">
        <v>0.526316</v>
      </c>
      <c r="T54" s="9" t="s">
        <v>85</v>
      </c>
      <c r="U54" s="9" t="s">
        <v>85</v>
      </c>
      <c r="V54" s="9">
        <v>0.551316</v>
      </c>
      <c r="W54" s="9" t="s">
        <v>85</v>
      </c>
      <c r="X54" s="9" t="s">
        <v>85</v>
      </c>
      <c r="Y54" s="9">
        <v>0.596053</v>
      </c>
      <c r="Z54" s="9" t="s">
        <v>85</v>
      </c>
      <c r="AA54" s="9" t="s">
        <v>85</v>
      </c>
      <c r="AB54" s="30">
        <v>0.542105</v>
      </c>
      <c r="AC54" s="9" t="s">
        <v>85</v>
      </c>
      <c r="AD54" s="9" t="s">
        <v>85</v>
      </c>
      <c r="AE54" s="30">
        <v>0.531579</v>
      </c>
      <c r="AF54" s="9" t="s">
        <v>85</v>
      </c>
      <c r="AG54" s="9" t="s">
        <v>85</v>
      </c>
      <c r="AH54" s="9">
        <v>0.517105</v>
      </c>
      <c r="AI54" s="9" t="s">
        <v>85</v>
      </c>
      <c r="AJ54" s="9" t="s">
        <v>85</v>
      </c>
      <c r="AK54" s="9">
        <v>0.530263</v>
      </c>
      <c r="AL54" s="9" t="s">
        <v>85</v>
      </c>
      <c r="AM54" s="9" t="s">
        <v>85</v>
      </c>
      <c r="AN54" s="9">
        <v>0.536842</v>
      </c>
      <c r="AO54" s="9" t="s">
        <v>85</v>
      </c>
      <c r="AP54" s="9" t="s">
        <v>85</v>
      </c>
      <c r="AQ54" s="30">
        <v>0.553947</v>
      </c>
      <c r="AR54" s="9" t="s">
        <v>85</v>
      </c>
      <c r="AS54" s="9" t="s">
        <v>85</v>
      </c>
      <c r="AT54" s="9">
        <v>0.536842</v>
      </c>
      <c r="AU54" s="9" t="s">
        <v>85</v>
      </c>
      <c r="AV54" s="9" t="s">
        <v>85</v>
      </c>
      <c r="AW54" s="9">
        <v>0.542105</v>
      </c>
      <c r="AX54" s="9" t="s">
        <v>85</v>
      </c>
      <c r="AY54" s="9" t="s">
        <v>85</v>
      </c>
      <c r="AZ54" s="9">
        <v>0.525</v>
      </c>
      <c r="BA54" s="9" t="s">
        <v>85</v>
      </c>
      <c r="BB54" s="9" t="s">
        <v>85</v>
      </c>
      <c r="BC54" s="30">
        <v>0.551316</v>
      </c>
      <c r="BD54" s="9" t="s">
        <v>85</v>
      </c>
      <c r="BE54" s="9" t="s">
        <v>85</v>
      </c>
      <c r="BF54" s="9">
        <v>0.514474</v>
      </c>
      <c r="BG54" s="9" t="s">
        <v>85</v>
      </c>
      <c r="BH54" s="6"/>
      <c r="BI54" s="6" t="str">
        <f t="shared" si="1"/>
        <v>8VB_Fold_Median</v>
      </c>
      <c r="BJ54" s="6" t="str">
        <f t="shared" si="2"/>
        <v>12BN_Fold_Median</v>
      </c>
      <c r="BK54" s="6" t="str">
        <f t="shared" si="3"/>
        <v>8V_Fold_Median</v>
      </c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</row>
    <row r="55" ht="15.75" customHeight="1">
      <c r="A55" s="1" t="s">
        <v>149</v>
      </c>
      <c r="B55" s="17">
        <v>3.0</v>
      </c>
      <c r="C55" s="9" t="s">
        <v>85</v>
      </c>
      <c r="D55" s="9">
        <v>0.564935</v>
      </c>
      <c r="E55" s="9" t="s">
        <v>85</v>
      </c>
      <c r="F55" s="9" t="s">
        <v>85</v>
      </c>
      <c r="G55" s="30">
        <v>0.558441579</v>
      </c>
      <c r="H55" s="9" t="s">
        <v>85</v>
      </c>
      <c r="I55" s="9" t="s">
        <v>85</v>
      </c>
      <c r="J55" s="9">
        <v>0.577922</v>
      </c>
      <c r="K55" s="9" t="s">
        <v>85</v>
      </c>
      <c r="L55" s="9" t="s">
        <v>85</v>
      </c>
      <c r="M55" s="9">
        <v>0.584416</v>
      </c>
      <c r="N55" s="9" t="s">
        <v>85</v>
      </c>
      <c r="O55" s="9" t="s">
        <v>85</v>
      </c>
      <c r="P55" s="9">
        <v>0.584416</v>
      </c>
      <c r="Q55" s="9" t="s">
        <v>85</v>
      </c>
      <c r="R55" s="9" t="s">
        <v>85</v>
      </c>
      <c r="S55" s="9">
        <v>0.584416</v>
      </c>
      <c r="T55" s="9" t="s">
        <v>85</v>
      </c>
      <c r="U55" s="9" t="s">
        <v>85</v>
      </c>
      <c r="V55" s="9">
        <v>0.577922</v>
      </c>
      <c r="W55" s="9" t="s">
        <v>85</v>
      </c>
      <c r="X55" s="9" t="s">
        <v>85</v>
      </c>
      <c r="Y55" s="9">
        <v>0.571429</v>
      </c>
      <c r="Z55" s="9" t="s">
        <v>85</v>
      </c>
      <c r="AA55" s="9" t="s">
        <v>85</v>
      </c>
      <c r="AB55" s="30">
        <v>0.584416</v>
      </c>
      <c r="AC55" s="9" t="s">
        <v>85</v>
      </c>
      <c r="AD55" s="9" t="s">
        <v>85</v>
      </c>
      <c r="AE55" s="30">
        <v>0.584416</v>
      </c>
      <c r="AF55" s="9" t="s">
        <v>85</v>
      </c>
      <c r="AG55" s="9" t="s">
        <v>85</v>
      </c>
      <c r="AH55" s="9">
        <v>0.571429</v>
      </c>
      <c r="AI55" s="9" t="s">
        <v>85</v>
      </c>
      <c r="AJ55" s="9" t="s">
        <v>85</v>
      </c>
      <c r="AK55" s="9">
        <v>0.564935</v>
      </c>
      <c r="AL55" s="9" t="s">
        <v>85</v>
      </c>
      <c r="AM55" s="9" t="s">
        <v>85</v>
      </c>
      <c r="AN55" s="9">
        <v>0.584416</v>
      </c>
      <c r="AO55" s="9" t="s">
        <v>85</v>
      </c>
      <c r="AP55" s="9" t="s">
        <v>85</v>
      </c>
      <c r="AQ55" s="30">
        <v>0.577922</v>
      </c>
      <c r="AR55" s="9" t="s">
        <v>85</v>
      </c>
      <c r="AS55" s="9" t="s">
        <v>85</v>
      </c>
      <c r="AT55" s="9">
        <v>0.577922</v>
      </c>
      <c r="AU55" s="9" t="s">
        <v>85</v>
      </c>
      <c r="AV55" s="9" t="s">
        <v>85</v>
      </c>
      <c r="AW55" s="9">
        <v>0.584416</v>
      </c>
      <c r="AX55" s="9" t="s">
        <v>85</v>
      </c>
      <c r="AY55" s="9" t="s">
        <v>85</v>
      </c>
      <c r="AZ55" s="9">
        <v>0.571429</v>
      </c>
      <c r="BA55" s="9" t="s">
        <v>85</v>
      </c>
      <c r="BB55" s="9" t="s">
        <v>85</v>
      </c>
      <c r="BC55" s="30">
        <v>0.584416</v>
      </c>
      <c r="BD55" s="9" t="s">
        <v>85</v>
      </c>
      <c r="BE55" s="9" t="s">
        <v>85</v>
      </c>
      <c r="BF55" s="9">
        <v>0.616883</v>
      </c>
      <c r="BG55" s="9" t="s">
        <v>85</v>
      </c>
      <c r="BH55" s="6"/>
      <c r="BI55" s="6" t="str">
        <f t="shared" si="1"/>
        <v>De_Fold_Median</v>
      </c>
      <c r="BJ55" s="6" t="str">
        <f t="shared" si="2"/>
        <v>5VB_Fold_Median</v>
      </c>
      <c r="BK55" s="6" t="str">
        <f t="shared" si="3"/>
        <v>5VB_Fold_Median</v>
      </c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</row>
    <row r="56" ht="15.75" customHeight="1">
      <c r="A56" s="1" t="s">
        <v>150</v>
      </c>
      <c r="B56" s="17">
        <v>2.0</v>
      </c>
      <c r="C56" s="9" t="s">
        <v>85</v>
      </c>
      <c r="D56" s="9">
        <v>0.714777</v>
      </c>
      <c r="E56" s="9" t="s">
        <v>85</v>
      </c>
      <c r="F56" s="9" t="s">
        <v>85</v>
      </c>
      <c r="G56" s="30">
        <v>0.676975965</v>
      </c>
      <c r="H56" s="9" t="s">
        <v>85</v>
      </c>
      <c r="I56" s="9" t="s">
        <v>85</v>
      </c>
      <c r="J56" s="9">
        <v>0.790378</v>
      </c>
      <c r="K56" s="9" t="s">
        <v>85</v>
      </c>
      <c r="L56" s="9" t="s">
        <v>85</v>
      </c>
      <c r="M56" s="9">
        <v>0.780069</v>
      </c>
      <c r="N56" s="9" t="s">
        <v>85</v>
      </c>
      <c r="O56" s="9" t="s">
        <v>85</v>
      </c>
      <c r="P56" s="9">
        <v>0.701031</v>
      </c>
      <c r="Q56" s="9" t="s">
        <v>85</v>
      </c>
      <c r="R56" s="9" t="s">
        <v>85</v>
      </c>
      <c r="S56" s="9">
        <v>0.752577</v>
      </c>
      <c r="T56" s="9" t="s">
        <v>85</v>
      </c>
      <c r="U56" s="9" t="s">
        <v>85</v>
      </c>
      <c r="V56" s="9">
        <v>0.766323</v>
      </c>
      <c r="W56" s="9" t="s">
        <v>85</v>
      </c>
      <c r="X56" s="9" t="s">
        <v>85</v>
      </c>
      <c r="Y56" s="9">
        <v>0.769759</v>
      </c>
      <c r="Z56" s="9" t="s">
        <v>85</v>
      </c>
      <c r="AA56" s="9" t="s">
        <v>85</v>
      </c>
      <c r="AB56" s="30">
        <v>0.749141</v>
      </c>
      <c r="AC56" s="9" t="s">
        <v>85</v>
      </c>
      <c r="AD56" s="9" t="s">
        <v>85</v>
      </c>
      <c r="AE56" s="30">
        <v>0.742268</v>
      </c>
      <c r="AF56" s="9" t="s">
        <v>85</v>
      </c>
      <c r="AG56" s="9" t="s">
        <v>85</v>
      </c>
      <c r="AH56" s="9">
        <v>0.756014</v>
      </c>
      <c r="AI56" s="9" t="s">
        <v>85</v>
      </c>
      <c r="AJ56" s="9" t="s">
        <v>85</v>
      </c>
      <c r="AK56" s="9">
        <v>0.776632</v>
      </c>
      <c r="AL56" s="9" t="s">
        <v>85</v>
      </c>
      <c r="AM56" s="9" t="s">
        <v>85</v>
      </c>
      <c r="AN56" s="9">
        <v>0.738832</v>
      </c>
      <c r="AO56" s="9" t="s">
        <v>85</v>
      </c>
      <c r="AP56" s="9" t="s">
        <v>85</v>
      </c>
      <c r="AQ56" s="30">
        <v>0.742268</v>
      </c>
      <c r="AR56" s="9" t="s">
        <v>85</v>
      </c>
      <c r="AS56" s="9" t="s">
        <v>85</v>
      </c>
      <c r="AT56" s="9">
        <v>0.790378</v>
      </c>
      <c r="AU56" s="9" t="s">
        <v>85</v>
      </c>
      <c r="AV56" s="9" t="s">
        <v>85</v>
      </c>
      <c r="AW56" s="9">
        <v>0.783505</v>
      </c>
      <c r="AX56" s="9" t="s">
        <v>85</v>
      </c>
      <c r="AY56" s="9" t="s">
        <v>85</v>
      </c>
      <c r="AZ56" s="9">
        <v>0.718213</v>
      </c>
      <c r="BA56" s="9" t="s">
        <v>85</v>
      </c>
      <c r="BB56" s="9" t="s">
        <v>85</v>
      </c>
      <c r="BC56" s="30">
        <v>0.804124</v>
      </c>
      <c r="BD56" s="9" t="s">
        <v>85</v>
      </c>
      <c r="BE56" s="9" t="s">
        <v>85</v>
      </c>
      <c r="BF56" s="9">
        <v>0.704467</v>
      </c>
      <c r="BG56" s="9" t="s">
        <v>85</v>
      </c>
      <c r="BH56" s="6"/>
      <c r="BI56" s="6" t="str">
        <f t="shared" si="1"/>
        <v>20V_Fold_Median</v>
      </c>
      <c r="BJ56" s="6" t="str">
        <f t="shared" si="2"/>
        <v>5V_Fold_Median</v>
      </c>
      <c r="BK56" s="6" t="str">
        <f t="shared" si="3"/>
        <v>5V_Fold_Median</v>
      </c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ht="15.75" customHeight="1">
      <c r="A57" s="1" t="s">
        <v>151</v>
      </c>
      <c r="B57" s="17">
        <v>6.0</v>
      </c>
      <c r="C57" s="9" t="s">
        <v>85</v>
      </c>
      <c r="D57" s="9">
        <v>0.558442</v>
      </c>
      <c r="E57" s="9" t="s">
        <v>85</v>
      </c>
      <c r="F57" s="9" t="s">
        <v>85</v>
      </c>
      <c r="G57" s="30">
        <v>0.558441579</v>
      </c>
      <c r="H57" s="9" t="s">
        <v>85</v>
      </c>
      <c r="I57" s="9" t="s">
        <v>85</v>
      </c>
      <c r="J57" s="9">
        <v>0.577922</v>
      </c>
      <c r="K57" s="9" t="s">
        <v>85</v>
      </c>
      <c r="L57" s="9" t="s">
        <v>85</v>
      </c>
      <c r="M57" s="9">
        <v>0.558442</v>
      </c>
      <c r="N57" s="9" t="s">
        <v>85</v>
      </c>
      <c r="O57" s="9" t="s">
        <v>85</v>
      </c>
      <c r="P57" s="9">
        <v>0.551948</v>
      </c>
      <c r="Q57" s="9" t="s">
        <v>85</v>
      </c>
      <c r="R57" s="9" t="s">
        <v>85</v>
      </c>
      <c r="S57" s="9">
        <v>0.558442</v>
      </c>
      <c r="T57" s="9" t="s">
        <v>85</v>
      </c>
      <c r="U57" s="9" t="s">
        <v>85</v>
      </c>
      <c r="V57" s="9">
        <v>0.558442</v>
      </c>
      <c r="W57" s="9" t="s">
        <v>85</v>
      </c>
      <c r="X57" s="9" t="s">
        <v>85</v>
      </c>
      <c r="Y57" s="9">
        <v>0.558442</v>
      </c>
      <c r="Z57" s="9" t="s">
        <v>85</v>
      </c>
      <c r="AA57" s="9" t="s">
        <v>85</v>
      </c>
      <c r="AB57" s="30">
        <v>0.558442</v>
      </c>
      <c r="AC57" s="9" t="s">
        <v>85</v>
      </c>
      <c r="AD57" s="9" t="s">
        <v>85</v>
      </c>
      <c r="AE57" s="30">
        <v>0.558442</v>
      </c>
      <c r="AF57" s="9" t="s">
        <v>85</v>
      </c>
      <c r="AG57" s="9" t="s">
        <v>85</v>
      </c>
      <c r="AH57" s="9">
        <v>0.558442</v>
      </c>
      <c r="AI57" s="9" t="s">
        <v>85</v>
      </c>
      <c r="AJ57" s="9" t="s">
        <v>85</v>
      </c>
      <c r="AK57" s="9">
        <v>0.558442</v>
      </c>
      <c r="AL57" s="9" t="s">
        <v>85</v>
      </c>
      <c r="AM57" s="9" t="s">
        <v>85</v>
      </c>
      <c r="AN57" s="9">
        <v>0.558442</v>
      </c>
      <c r="AO57" s="9" t="s">
        <v>85</v>
      </c>
      <c r="AP57" s="9" t="s">
        <v>85</v>
      </c>
      <c r="AQ57" s="30">
        <v>0.558442</v>
      </c>
      <c r="AR57" s="9" t="s">
        <v>85</v>
      </c>
      <c r="AS57" s="9" t="s">
        <v>85</v>
      </c>
      <c r="AT57" s="9">
        <v>0.558442</v>
      </c>
      <c r="AU57" s="9" t="s">
        <v>85</v>
      </c>
      <c r="AV57" s="9" t="s">
        <v>85</v>
      </c>
      <c r="AW57" s="9">
        <v>0.558442</v>
      </c>
      <c r="AX57" s="9" t="s">
        <v>85</v>
      </c>
      <c r="AY57" s="9" t="s">
        <v>85</v>
      </c>
      <c r="AZ57" s="9">
        <v>0.558442</v>
      </c>
      <c r="BA57" s="9" t="s">
        <v>85</v>
      </c>
      <c r="BB57" s="9" t="s">
        <v>85</v>
      </c>
      <c r="BC57" s="30">
        <v>0.558442</v>
      </c>
      <c r="BD57" s="9" t="s">
        <v>85</v>
      </c>
      <c r="BE57" s="9" t="s">
        <v>85</v>
      </c>
      <c r="BF57" s="9">
        <v>0.558442</v>
      </c>
      <c r="BG57" s="9" t="s">
        <v>85</v>
      </c>
      <c r="BH57" s="6"/>
      <c r="BI57" s="6" t="str">
        <f t="shared" si="1"/>
        <v>5V_Fold_Median</v>
      </c>
      <c r="BJ57" s="6" t="str">
        <f t="shared" si="2"/>
        <v>5B_Fold_Median</v>
      </c>
      <c r="BK57" s="6" t="str">
        <f t="shared" si="3"/>
        <v>5B_Fold_Median</v>
      </c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</row>
    <row r="58" ht="15.75" customHeight="1">
      <c r="A58" s="1" t="s">
        <v>152</v>
      </c>
      <c r="B58" s="17">
        <v>5.0</v>
      </c>
      <c r="C58" s="9" t="s">
        <v>85</v>
      </c>
      <c r="D58" s="9">
        <v>0.822268</v>
      </c>
      <c r="E58" s="9" t="s">
        <v>85</v>
      </c>
      <c r="F58" s="9" t="s">
        <v>85</v>
      </c>
      <c r="G58" s="30">
        <v>0.824742258</v>
      </c>
      <c r="H58" s="9" t="s">
        <v>85</v>
      </c>
      <c r="I58" s="9" t="s">
        <v>85</v>
      </c>
      <c r="J58" s="9">
        <v>0.851134</v>
      </c>
      <c r="K58" s="9" t="s">
        <v>85</v>
      </c>
      <c r="L58" s="9" t="s">
        <v>85</v>
      </c>
      <c r="M58" s="9">
        <v>0.856082</v>
      </c>
      <c r="N58" s="9" t="s">
        <v>85</v>
      </c>
      <c r="O58" s="9" t="s">
        <v>85</v>
      </c>
      <c r="P58" s="9">
        <v>0.856082</v>
      </c>
      <c r="Q58" s="9" t="s">
        <v>85</v>
      </c>
      <c r="R58" s="9" t="s">
        <v>85</v>
      </c>
      <c r="S58" s="9">
        <v>0.859381</v>
      </c>
      <c r="T58" s="9" t="s">
        <v>85</v>
      </c>
      <c r="U58" s="9" t="s">
        <v>85</v>
      </c>
      <c r="V58" s="9">
        <v>0.866804</v>
      </c>
      <c r="W58" s="9" t="s">
        <v>85</v>
      </c>
      <c r="X58" s="9" t="s">
        <v>85</v>
      </c>
      <c r="Y58" s="9">
        <v>0.875052</v>
      </c>
      <c r="Z58" s="9" t="s">
        <v>85</v>
      </c>
      <c r="AA58" s="9" t="s">
        <v>85</v>
      </c>
      <c r="AB58" s="30">
        <v>0.854433</v>
      </c>
      <c r="AC58" s="9" t="s">
        <v>85</v>
      </c>
      <c r="AD58" s="9" t="s">
        <v>85</v>
      </c>
      <c r="AE58" s="30">
        <v>0.852784</v>
      </c>
      <c r="AF58" s="9" t="s">
        <v>85</v>
      </c>
      <c r="AG58" s="9" t="s">
        <v>85</v>
      </c>
      <c r="AH58" s="9">
        <v>0.863505</v>
      </c>
      <c r="AI58" s="9" t="s">
        <v>85</v>
      </c>
      <c r="AJ58" s="9" t="s">
        <v>85</v>
      </c>
      <c r="AK58" s="9">
        <v>0.867629</v>
      </c>
      <c r="AL58" s="9" t="s">
        <v>85</v>
      </c>
      <c r="AM58" s="9" t="s">
        <v>85</v>
      </c>
      <c r="AN58" s="9">
        <v>0.852784</v>
      </c>
      <c r="AO58" s="9" t="s">
        <v>85</v>
      </c>
      <c r="AP58" s="9" t="s">
        <v>85</v>
      </c>
      <c r="AQ58" s="30">
        <v>0.856495</v>
      </c>
      <c r="AR58" s="9" t="s">
        <v>85</v>
      </c>
      <c r="AS58" s="9" t="s">
        <v>85</v>
      </c>
      <c r="AT58" s="9">
        <v>0.863918</v>
      </c>
      <c r="AU58" s="9" t="s">
        <v>85</v>
      </c>
      <c r="AV58" s="9" t="s">
        <v>85</v>
      </c>
      <c r="AW58" s="9">
        <v>0.861443</v>
      </c>
      <c r="AX58" s="9" t="s">
        <v>85</v>
      </c>
      <c r="AY58" s="9" t="s">
        <v>85</v>
      </c>
      <c r="AZ58" s="9">
        <v>0.858969</v>
      </c>
      <c r="BA58" s="9" t="s">
        <v>85</v>
      </c>
      <c r="BB58" s="9" t="s">
        <v>85</v>
      </c>
      <c r="BC58" s="30">
        <v>0.874227</v>
      </c>
      <c r="BD58" s="9" t="s">
        <v>85</v>
      </c>
      <c r="BE58" s="9" t="s">
        <v>85</v>
      </c>
      <c r="BF58" s="9">
        <v>0.779794</v>
      </c>
      <c r="BG58" s="9" t="s">
        <v>85</v>
      </c>
      <c r="BH58" s="6"/>
      <c r="BI58" s="6" t="str">
        <f t="shared" si="1"/>
        <v>8VB_Fold_Median</v>
      </c>
      <c r="BJ58" s="6" t="str">
        <f t="shared" si="2"/>
        <v>20V_Fold_Median</v>
      </c>
      <c r="BK58" s="6" t="str">
        <f t="shared" si="3"/>
        <v>10VB_Fold_Median</v>
      </c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</row>
    <row r="59" ht="15.75" customHeight="1">
      <c r="A59" s="1" t="s">
        <v>153</v>
      </c>
      <c r="B59" s="17">
        <v>5.0</v>
      </c>
      <c r="C59" s="9" t="s">
        <v>85</v>
      </c>
      <c r="D59" s="9">
        <v>0.764948</v>
      </c>
      <c r="E59" s="9" t="s">
        <v>85</v>
      </c>
      <c r="F59" s="9" t="s">
        <v>85</v>
      </c>
      <c r="G59" s="30">
        <v>0.748865962</v>
      </c>
      <c r="H59" s="9" t="s">
        <v>85</v>
      </c>
      <c r="I59" s="9" t="s">
        <v>85</v>
      </c>
      <c r="J59" s="9">
        <v>0.789278</v>
      </c>
      <c r="K59" s="9" t="s">
        <v>85</v>
      </c>
      <c r="L59" s="9" t="s">
        <v>85</v>
      </c>
      <c r="M59" s="9">
        <v>0.798763</v>
      </c>
      <c r="N59" s="9" t="s">
        <v>85</v>
      </c>
      <c r="O59" s="9" t="s">
        <v>85</v>
      </c>
      <c r="P59" s="9">
        <v>0.783918</v>
      </c>
      <c r="Q59" s="9" t="s">
        <v>85</v>
      </c>
      <c r="R59" s="9" t="s">
        <v>85</v>
      </c>
      <c r="S59" s="9">
        <v>0.796289</v>
      </c>
      <c r="T59" s="9" t="s">
        <v>85</v>
      </c>
      <c r="U59" s="9" t="s">
        <v>85</v>
      </c>
      <c r="V59" s="9">
        <v>0.793402</v>
      </c>
      <c r="W59" s="9" t="s">
        <v>85</v>
      </c>
      <c r="X59" s="9" t="s">
        <v>85</v>
      </c>
      <c r="Y59" s="9">
        <v>0.816495</v>
      </c>
      <c r="Z59" s="9" t="s">
        <v>85</v>
      </c>
      <c r="AA59" s="9" t="s">
        <v>85</v>
      </c>
      <c r="AB59" s="30">
        <v>0.794639</v>
      </c>
      <c r="AC59" s="9" t="s">
        <v>85</v>
      </c>
      <c r="AD59" s="9" t="s">
        <v>85</v>
      </c>
      <c r="AE59" s="30">
        <v>0.802887</v>
      </c>
      <c r="AF59" s="9" t="s">
        <v>85</v>
      </c>
      <c r="AG59" s="9" t="s">
        <v>85</v>
      </c>
      <c r="AH59" s="9">
        <v>0.803299</v>
      </c>
      <c r="AI59" s="9" t="s">
        <v>85</v>
      </c>
      <c r="AJ59" s="9" t="s">
        <v>85</v>
      </c>
      <c r="AK59" s="9">
        <v>0.82268</v>
      </c>
      <c r="AL59" s="9" t="s">
        <v>85</v>
      </c>
      <c r="AM59" s="9" t="s">
        <v>85</v>
      </c>
      <c r="AN59" s="9">
        <v>0.782268</v>
      </c>
      <c r="AO59" s="9" t="s">
        <v>85</v>
      </c>
      <c r="AP59" s="9" t="s">
        <v>85</v>
      </c>
      <c r="AQ59" s="30">
        <v>0.782268</v>
      </c>
      <c r="AR59" s="9" t="s">
        <v>85</v>
      </c>
      <c r="AS59" s="9" t="s">
        <v>85</v>
      </c>
      <c r="AT59" s="9">
        <v>0.812783</v>
      </c>
      <c r="AU59" s="9" t="s">
        <v>85</v>
      </c>
      <c r="AV59" s="9" t="s">
        <v>85</v>
      </c>
      <c r="AW59" s="9">
        <v>0.807835</v>
      </c>
      <c r="AX59" s="9" t="s">
        <v>85</v>
      </c>
      <c r="AY59" s="9" t="s">
        <v>85</v>
      </c>
      <c r="AZ59" s="9">
        <v>0.80701</v>
      </c>
      <c r="BA59" s="9" t="s">
        <v>85</v>
      </c>
      <c r="BB59" s="9" t="s">
        <v>85</v>
      </c>
      <c r="BC59" s="30">
        <v>0.81732</v>
      </c>
      <c r="BD59" s="9" t="s">
        <v>85</v>
      </c>
      <c r="BE59" s="9" t="s">
        <v>85</v>
      </c>
      <c r="BF59" s="9">
        <v>0.723711</v>
      </c>
      <c r="BG59" s="9" t="s">
        <v>85</v>
      </c>
      <c r="BH59" s="6"/>
      <c r="BI59" s="6" t="str">
        <f t="shared" si="1"/>
        <v>10VB_Fold_Median</v>
      </c>
      <c r="BJ59" s="6" t="str">
        <f t="shared" si="2"/>
        <v>20V_Fold_Median</v>
      </c>
      <c r="BK59" s="6" t="str">
        <f t="shared" si="3"/>
        <v>8VB_Fold_Median</v>
      </c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</row>
    <row r="60" ht="15.75" customHeight="1">
      <c r="A60" s="1" t="s">
        <v>154</v>
      </c>
      <c r="B60" s="17">
        <v>2.0</v>
      </c>
      <c r="C60" s="9" t="s">
        <v>85</v>
      </c>
      <c r="D60" s="9">
        <v>0.722045</v>
      </c>
      <c r="E60" s="9" t="s">
        <v>85</v>
      </c>
      <c r="F60" s="9" t="s">
        <v>85</v>
      </c>
      <c r="G60" s="30">
        <v>0.809105456</v>
      </c>
      <c r="H60" s="9" t="s">
        <v>85</v>
      </c>
      <c r="I60" s="9" t="s">
        <v>85</v>
      </c>
      <c r="J60" s="9">
        <v>0.826677</v>
      </c>
      <c r="K60" s="9" t="s">
        <v>85</v>
      </c>
      <c r="L60" s="9" t="s">
        <v>85</v>
      </c>
      <c r="M60" s="9">
        <v>0.8123</v>
      </c>
      <c r="N60" s="9" t="s">
        <v>85</v>
      </c>
      <c r="O60" s="9" t="s">
        <v>85</v>
      </c>
      <c r="P60" s="9">
        <v>0.748403</v>
      </c>
      <c r="Q60" s="9" t="s">
        <v>85</v>
      </c>
      <c r="R60" s="9" t="s">
        <v>85</v>
      </c>
      <c r="S60" s="9">
        <v>0.780351</v>
      </c>
      <c r="T60" s="9" t="s">
        <v>85</v>
      </c>
      <c r="U60" s="9" t="s">
        <v>85</v>
      </c>
      <c r="V60" s="9">
        <v>0.82508</v>
      </c>
      <c r="W60" s="9" t="s">
        <v>85</v>
      </c>
      <c r="X60" s="9" t="s">
        <v>85</v>
      </c>
      <c r="Y60" s="9">
        <v>0.802716</v>
      </c>
      <c r="Z60" s="9" t="s">
        <v>85</v>
      </c>
      <c r="AA60" s="9" t="s">
        <v>85</v>
      </c>
      <c r="AB60" s="30">
        <v>0.735623</v>
      </c>
      <c r="AC60" s="9" t="s">
        <v>85</v>
      </c>
      <c r="AD60" s="9" t="s">
        <v>85</v>
      </c>
      <c r="AE60" s="30">
        <v>0.783546</v>
      </c>
      <c r="AF60" s="9" t="s">
        <v>85</v>
      </c>
      <c r="AG60" s="9" t="s">
        <v>85</v>
      </c>
      <c r="AH60" s="9">
        <v>0.820288</v>
      </c>
      <c r="AI60" s="9" t="s">
        <v>85</v>
      </c>
      <c r="AJ60" s="9" t="s">
        <v>85</v>
      </c>
      <c r="AK60" s="9">
        <v>0.83147</v>
      </c>
      <c r="AL60" s="9" t="s">
        <v>85</v>
      </c>
      <c r="AM60" s="9" t="s">
        <v>85</v>
      </c>
      <c r="AN60" s="9">
        <v>0.753195</v>
      </c>
      <c r="AO60" s="9" t="s">
        <v>85</v>
      </c>
      <c r="AP60" s="9" t="s">
        <v>85</v>
      </c>
      <c r="AQ60" s="30">
        <v>0.739617</v>
      </c>
      <c r="AR60" s="9" t="s">
        <v>85</v>
      </c>
      <c r="AS60" s="9" t="s">
        <v>85</v>
      </c>
      <c r="AT60" s="9">
        <v>0.82508</v>
      </c>
      <c r="AU60" s="9" t="s">
        <v>85</v>
      </c>
      <c r="AV60" s="9" t="s">
        <v>85</v>
      </c>
      <c r="AW60" s="9">
        <v>0.81869</v>
      </c>
      <c r="AX60" s="9" t="s">
        <v>85</v>
      </c>
      <c r="AY60" s="9" t="s">
        <v>85</v>
      </c>
      <c r="AZ60" s="9">
        <v>0.759585</v>
      </c>
      <c r="BA60" s="9" t="s">
        <v>85</v>
      </c>
      <c r="BB60" s="9" t="s">
        <v>85</v>
      </c>
      <c r="BC60" s="30">
        <v>0.791534</v>
      </c>
      <c r="BD60" s="9" t="s">
        <v>85</v>
      </c>
      <c r="BE60" s="9" t="s">
        <v>85</v>
      </c>
      <c r="BF60" s="9">
        <v>0.852236</v>
      </c>
      <c r="BG60" s="9" t="s">
        <v>85</v>
      </c>
      <c r="BH60" s="6"/>
      <c r="BI60" s="6" t="str">
        <f t="shared" si="1"/>
        <v>De_Fold_Median</v>
      </c>
      <c r="BJ60" s="6" t="str">
        <f t="shared" si="2"/>
        <v>10VB_Fold_Median</v>
      </c>
      <c r="BK60" s="6" t="str">
        <f t="shared" si="3"/>
        <v>5V_Fold_Median</v>
      </c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</row>
    <row r="61" ht="15.75" customHeight="1">
      <c r="A61" s="1" t="s">
        <v>155</v>
      </c>
      <c r="B61" s="17">
        <v>4.0</v>
      </c>
      <c r="C61" s="9" t="s">
        <v>85</v>
      </c>
      <c r="D61" s="9">
        <v>0.533333</v>
      </c>
      <c r="E61" s="9" t="s">
        <v>85</v>
      </c>
      <c r="F61" s="9" t="s">
        <v>85</v>
      </c>
      <c r="G61" s="30">
        <v>0.400000006</v>
      </c>
      <c r="H61" s="9" t="s">
        <v>85</v>
      </c>
      <c r="I61" s="9" t="s">
        <v>85</v>
      </c>
      <c r="J61" s="9">
        <v>0.4</v>
      </c>
      <c r="K61" s="9" t="s">
        <v>85</v>
      </c>
      <c r="L61" s="9" t="s">
        <v>85</v>
      </c>
      <c r="M61" s="9">
        <v>0.4</v>
      </c>
      <c r="N61" s="9" t="s">
        <v>85</v>
      </c>
      <c r="O61" s="9" t="s">
        <v>85</v>
      </c>
      <c r="P61" s="9">
        <v>0.466667</v>
      </c>
      <c r="Q61" s="9" t="s">
        <v>85</v>
      </c>
      <c r="R61" s="9" t="s">
        <v>85</v>
      </c>
      <c r="S61" s="9">
        <v>0.4</v>
      </c>
      <c r="T61" s="9" t="s">
        <v>85</v>
      </c>
      <c r="U61" s="9" t="s">
        <v>85</v>
      </c>
      <c r="V61" s="9">
        <v>0.4</v>
      </c>
      <c r="W61" s="9" t="s">
        <v>85</v>
      </c>
      <c r="X61" s="9" t="s">
        <v>85</v>
      </c>
      <c r="Y61" s="9">
        <v>0.4</v>
      </c>
      <c r="Z61" s="9" t="s">
        <v>85</v>
      </c>
      <c r="AA61" s="9" t="s">
        <v>85</v>
      </c>
      <c r="AB61" s="30">
        <v>0.4</v>
      </c>
      <c r="AC61" s="9" t="s">
        <v>85</v>
      </c>
      <c r="AD61" s="9" t="s">
        <v>85</v>
      </c>
      <c r="AE61" s="30">
        <v>0.4</v>
      </c>
      <c r="AF61" s="9" t="s">
        <v>85</v>
      </c>
      <c r="AG61" s="9" t="s">
        <v>85</v>
      </c>
      <c r="AH61" s="9">
        <v>0.4</v>
      </c>
      <c r="AI61" s="9" t="s">
        <v>85</v>
      </c>
      <c r="AJ61" s="9" t="s">
        <v>85</v>
      </c>
      <c r="AK61" s="9">
        <v>0.4</v>
      </c>
      <c r="AL61" s="9" t="s">
        <v>85</v>
      </c>
      <c r="AM61" s="9" t="s">
        <v>85</v>
      </c>
      <c r="AN61" s="9">
        <v>0.4</v>
      </c>
      <c r="AO61" s="9" t="s">
        <v>85</v>
      </c>
      <c r="AP61" s="9" t="s">
        <v>85</v>
      </c>
      <c r="AQ61" s="30">
        <v>0.4</v>
      </c>
      <c r="AR61" s="9" t="s">
        <v>85</v>
      </c>
      <c r="AS61" s="9" t="s">
        <v>85</v>
      </c>
      <c r="AT61" s="9">
        <v>0.4</v>
      </c>
      <c r="AU61" s="9" t="s">
        <v>85</v>
      </c>
      <c r="AV61" s="9" t="s">
        <v>85</v>
      </c>
      <c r="AW61" s="9">
        <v>0.4</v>
      </c>
      <c r="AX61" s="9" t="s">
        <v>85</v>
      </c>
      <c r="AY61" s="9" t="s">
        <v>85</v>
      </c>
      <c r="AZ61" s="9">
        <v>0.4</v>
      </c>
      <c r="BA61" s="9" t="s">
        <v>85</v>
      </c>
      <c r="BB61" s="9" t="s">
        <v>85</v>
      </c>
      <c r="BC61" s="30">
        <v>0.4</v>
      </c>
      <c r="BD61" s="9" t="s">
        <v>85</v>
      </c>
      <c r="BE61" s="9" t="s">
        <v>85</v>
      </c>
      <c r="BF61" s="9">
        <v>0.4</v>
      </c>
      <c r="BG61" s="9" t="s">
        <v>85</v>
      </c>
      <c r="BH61" s="6"/>
      <c r="BI61" s="6" t="str">
        <f t="shared" si="1"/>
        <v>5B_Fold_Median</v>
      </c>
      <c r="BJ61" s="6" t="str">
        <f t="shared" si="2"/>
        <v>8B_Fold_Median</v>
      </c>
      <c r="BK61" s="6" t="str">
        <f t="shared" si="3"/>
        <v>5BN_Fold_Median</v>
      </c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</row>
    <row r="62" ht="15.75" customHeight="1">
      <c r="A62" s="1" t="s">
        <v>156</v>
      </c>
      <c r="B62" s="17">
        <v>6.0</v>
      </c>
      <c r="C62" s="9" t="s">
        <v>85</v>
      </c>
      <c r="D62" s="9">
        <v>0.413223</v>
      </c>
      <c r="E62" s="9" t="s">
        <v>85</v>
      </c>
      <c r="F62" s="9" t="s">
        <v>85</v>
      </c>
      <c r="G62" s="30">
        <v>0.446280986</v>
      </c>
      <c r="H62" s="9" t="s">
        <v>85</v>
      </c>
      <c r="I62" s="9" t="s">
        <v>85</v>
      </c>
      <c r="J62" s="9">
        <v>0.450413</v>
      </c>
      <c r="K62" s="9" t="s">
        <v>85</v>
      </c>
      <c r="L62" s="9" t="s">
        <v>85</v>
      </c>
      <c r="M62" s="9">
        <v>0.400826</v>
      </c>
      <c r="N62" s="9" t="s">
        <v>85</v>
      </c>
      <c r="O62" s="9" t="s">
        <v>85</v>
      </c>
      <c r="P62" s="9">
        <v>0.38843</v>
      </c>
      <c r="Q62" s="9" t="s">
        <v>85</v>
      </c>
      <c r="R62" s="9" t="s">
        <v>85</v>
      </c>
      <c r="S62" s="9">
        <v>0.413223</v>
      </c>
      <c r="T62" s="9" t="s">
        <v>85</v>
      </c>
      <c r="U62" s="9" t="s">
        <v>85</v>
      </c>
      <c r="V62" s="9">
        <v>0.446281</v>
      </c>
      <c r="W62" s="9" t="s">
        <v>85</v>
      </c>
      <c r="X62" s="9" t="s">
        <v>85</v>
      </c>
      <c r="Y62" s="9">
        <v>0.429752</v>
      </c>
      <c r="Z62" s="9" t="s">
        <v>85</v>
      </c>
      <c r="AA62" s="9" t="s">
        <v>85</v>
      </c>
      <c r="AB62" s="30">
        <v>0.46281</v>
      </c>
      <c r="AC62" s="9" t="s">
        <v>85</v>
      </c>
      <c r="AD62" s="9" t="s">
        <v>85</v>
      </c>
      <c r="AE62" s="30">
        <v>0.458678</v>
      </c>
      <c r="AF62" s="9" t="s">
        <v>85</v>
      </c>
      <c r="AG62" s="9" t="s">
        <v>85</v>
      </c>
      <c r="AH62" s="9">
        <v>0.417355</v>
      </c>
      <c r="AI62" s="9" t="s">
        <v>85</v>
      </c>
      <c r="AJ62" s="9" t="s">
        <v>85</v>
      </c>
      <c r="AK62" s="9">
        <v>0.429752</v>
      </c>
      <c r="AL62" s="9" t="s">
        <v>85</v>
      </c>
      <c r="AM62" s="9" t="s">
        <v>85</v>
      </c>
      <c r="AN62" s="9">
        <v>0.454545</v>
      </c>
      <c r="AO62" s="9" t="s">
        <v>85</v>
      </c>
      <c r="AP62" s="9" t="s">
        <v>85</v>
      </c>
      <c r="AQ62" s="30">
        <v>0.466942</v>
      </c>
      <c r="AR62" s="9" t="s">
        <v>85</v>
      </c>
      <c r="AS62" s="9" t="s">
        <v>85</v>
      </c>
      <c r="AT62" s="9">
        <v>0.487603</v>
      </c>
      <c r="AU62" s="9" t="s">
        <v>85</v>
      </c>
      <c r="AV62" s="9" t="s">
        <v>85</v>
      </c>
      <c r="AW62" s="9">
        <v>0.495868</v>
      </c>
      <c r="AX62" s="9" t="s">
        <v>85</v>
      </c>
      <c r="AY62" s="9" t="s">
        <v>85</v>
      </c>
      <c r="AZ62" s="9">
        <v>0.458678</v>
      </c>
      <c r="BA62" s="9" t="s">
        <v>85</v>
      </c>
      <c r="BB62" s="9" t="s">
        <v>85</v>
      </c>
      <c r="BC62" s="30">
        <v>0.471074</v>
      </c>
      <c r="BD62" s="9" t="s">
        <v>85</v>
      </c>
      <c r="BE62" s="9" t="s">
        <v>85</v>
      </c>
      <c r="BF62" s="9">
        <v>0.322314</v>
      </c>
      <c r="BG62" s="9" t="s">
        <v>85</v>
      </c>
      <c r="BH62" s="6"/>
      <c r="BI62" s="6" t="str">
        <f t="shared" si="1"/>
        <v>12VB_Fold_Median</v>
      </c>
      <c r="BJ62" s="6" t="str">
        <f t="shared" si="2"/>
        <v>12V_Fold_Median</v>
      </c>
      <c r="BK62" s="6" t="str">
        <f t="shared" si="3"/>
        <v>20V_Fold_Median</v>
      </c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</row>
    <row r="63" ht="15.75" customHeight="1">
      <c r="A63" s="1" t="s">
        <v>157</v>
      </c>
      <c r="B63" s="17">
        <v>2.0</v>
      </c>
      <c r="C63" s="9" t="s">
        <v>85</v>
      </c>
      <c r="D63" s="9">
        <v>0.613054</v>
      </c>
      <c r="E63" s="9" t="s">
        <v>85</v>
      </c>
      <c r="F63" s="9" t="s">
        <v>85</v>
      </c>
      <c r="G63" s="30">
        <v>0.692307711</v>
      </c>
      <c r="H63" s="9" t="s">
        <v>85</v>
      </c>
      <c r="I63" s="9" t="s">
        <v>85</v>
      </c>
      <c r="J63" s="9">
        <v>0.731935</v>
      </c>
      <c r="K63" s="9" t="s">
        <v>85</v>
      </c>
      <c r="L63" s="9" t="s">
        <v>85</v>
      </c>
      <c r="M63" s="9">
        <v>0.748252</v>
      </c>
      <c r="N63" s="9" t="s">
        <v>85</v>
      </c>
      <c r="O63" s="9" t="s">
        <v>85</v>
      </c>
      <c r="P63" s="9">
        <v>0.715618</v>
      </c>
      <c r="Q63" s="9" t="s">
        <v>85</v>
      </c>
      <c r="R63" s="9" t="s">
        <v>85</v>
      </c>
      <c r="S63" s="9">
        <v>0.713287</v>
      </c>
      <c r="T63" s="9" t="s">
        <v>85</v>
      </c>
      <c r="U63" s="9" t="s">
        <v>85</v>
      </c>
      <c r="V63" s="9">
        <v>0.772727</v>
      </c>
      <c r="W63" s="9" t="s">
        <v>85</v>
      </c>
      <c r="X63" s="9" t="s">
        <v>85</v>
      </c>
      <c r="Y63" s="9">
        <v>0.758741</v>
      </c>
      <c r="Z63" s="9" t="s">
        <v>85</v>
      </c>
      <c r="AA63" s="9" t="s">
        <v>85</v>
      </c>
      <c r="AB63" s="30">
        <v>0.722611</v>
      </c>
      <c r="AC63" s="9" t="s">
        <v>85</v>
      </c>
      <c r="AD63" s="9" t="s">
        <v>85</v>
      </c>
      <c r="AE63" s="30">
        <v>0.740093</v>
      </c>
      <c r="AF63" s="9" t="s">
        <v>85</v>
      </c>
      <c r="AG63" s="9" t="s">
        <v>85</v>
      </c>
      <c r="AH63" s="9">
        <v>0.762238</v>
      </c>
      <c r="AI63" s="9" t="s">
        <v>85</v>
      </c>
      <c r="AJ63" s="9" t="s">
        <v>85</v>
      </c>
      <c r="AK63" s="9">
        <v>0.764569</v>
      </c>
      <c r="AL63" s="9" t="s">
        <v>85</v>
      </c>
      <c r="AM63" s="9" t="s">
        <v>85</v>
      </c>
      <c r="AN63" s="9">
        <v>0.75641</v>
      </c>
      <c r="AO63" s="9" t="s">
        <v>85</v>
      </c>
      <c r="AP63" s="9" t="s">
        <v>85</v>
      </c>
      <c r="AQ63" s="30">
        <v>0.757576</v>
      </c>
      <c r="AR63" s="9" t="s">
        <v>85</v>
      </c>
      <c r="AS63" s="9" t="s">
        <v>85</v>
      </c>
      <c r="AT63" s="9">
        <v>0.784382</v>
      </c>
      <c r="AU63" s="9" t="s">
        <v>85</v>
      </c>
      <c r="AV63" s="9" t="s">
        <v>85</v>
      </c>
      <c r="AW63" s="9">
        <v>0.780886</v>
      </c>
      <c r="AX63" s="9" t="s">
        <v>85</v>
      </c>
      <c r="AY63" s="9" t="s">
        <v>85</v>
      </c>
      <c r="AZ63" s="9">
        <v>0.745921</v>
      </c>
      <c r="BA63" s="9" t="s">
        <v>85</v>
      </c>
      <c r="BB63" s="9" t="s">
        <v>85</v>
      </c>
      <c r="BC63" s="30">
        <v>0.613054</v>
      </c>
      <c r="BD63" s="9" t="s">
        <v>85</v>
      </c>
      <c r="BE63" s="9" t="s">
        <v>85</v>
      </c>
      <c r="BF63" s="9">
        <v>0.664336</v>
      </c>
      <c r="BG63" s="9" t="s">
        <v>85</v>
      </c>
      <c r="BH63" s="6"/>
      <c r="BI63" s="6" t="str">
        <f t="shared" si="1"/>
        <v>12V_Fold_Median</v>
      </c>
      <c r="BJ63" s="6" t="str">
        <f t="shared" si="2"/>
        <v>12VB_Fold_Median</v>
      </c>
      <c r="BK63" s="6" t="str">
        <f t="shared" si="3"/>
        <v>8V_Fold_Median</v>
      </c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</row>
    <row r="64" ht="15.75" customHeight="1">
      <c r="A64" s="1" t="s">
        <v>158</v>
      </c>
      <c r="B64" s="17">
        <v>39.0</v>
      </c>
      <c r="C64" s="9" t="s">
        <v>85</v>
      </c>
      <c r="D64" s="9">
        <v>0.141878</v>
      </c>
      <c r="E64" s="9" t="s">
        <v>85</v>
      </c>
      <c r="F64" s="9" t="s">
        <v>85</v>
      </c>
      <c r="G64" s="30">
        <v>0.145569623</v>
      </c>
      <c r="H64" s="9" t="s">
        <v>85</v>
      </c>
      <c r="I64" s="9" t="s">
        <v>85</v>
      </c>
      <c r="J64" s="9">
        <v>0.1577</v>
      </c>
      <c r="K64" s="9" t="s">
        <v>85</v>
      </c>
      <c r="L64" s="9" t="s">
        <v>85</v>
      </c>
      <c r="M64" s="9">
        <v>0.156118</v>
      </c>
      <c r="N64" s="9" t="s">
        <v>85</v>
      </c>
      <c r="O64" s="9" t="s">
        <v>85</v>
      </c>
      <c r="P64" s="9">
        <v>0.151899</v>
      </c>
      <c r="Q64" s="9" t="s">
        <v>85</v>
      </c>
      <c r="R64" s="9" t="s">
        <v>85</v>
      </c>
      <c r="S64" s="9">
        <v>0.149789</v>
      </c>
      <c r="T64" s="9" t="s">
        <v>85</v>
      </c>
      <c r="U64" s="9" t="s">
        <v>85</v>
      </c>
      <c r="V64" s="9">
        <v>0.152426</v>
      </c>
      <c r="W64" s="9" t="s">
        <v>85</v>
      </c>
      <c r="X64" s="9" t="s">
        <v>85</v>
      </c>
      <c r="Y64" s="9">
        <v>0.153481</v>
      </c>
      <c r="Z64" s="9" t="s">
        <v>85</v>
      </c>
      <c r="AA64" s="9" t="s">
        <v>85</v>
      </c>
      <c r="AB64" s="30">
        <v>0.149789</v>
      </c>
      <c r="AC64" s="9" t="s">
        <v>85</v>
      </c>
      <c r="AD64" s="9" t="s">
        <v>85</v>
      </c>
      <c r="AE64" s="30">
        <v>0.152426</v>
      </c>
      <c r="AF64" s="9" t="s">
        <v>85</v>
      </c>
      <c r="AG64" s="9" t="s">
        <v>85</v>
      </c>
      <c r="AH64" s="9">
        <v>0.149262</v>
      </c>
      <c r="AI64" s="9" t="s">
        <v>85</v>
      </c>
      <c r="AJ64" s="9" t="s">
        <v>85</v>
      </c>
      <c r="AK64" s="9">
        <v>0.150844</v>
      </c>
      <c r="AL64" s="9" t="s">
        <v>85</v>
      </c>
      <c r="AM64" s="9" t="s">
        <v>85</v>
      </c>
      <c r="AN64" s="9">
        <v>0.167194</v>
      </c>
      <c r="AO64" s="9" t="s">
        <v>85</v>
      </c>
      <c r="AP64" s="9" t="s">
        <v>85</v>
      </c>
      <c r="AQ64" s="30">
        <v>0.156646</v>
      </c>
      <c r="AR64" s="9" t="s">
        <v>85</v>
      </c>
      <c r="AS64" s="9" t="s">
        <v>85</v>
      </c>
      <c r="AT64" s="9">
        <v>0.149262</v>
      </c>
      <c r="AU64" s="9" t="s">
        <v>85</v>
      </c>
      <c r="AV64" s="9" t="s">
        <v>85</v>
      </c>
      <c r="AW64" s="9">
        <v>0.149262</v>
      </c>
      <c r="AX64" s="9" t="s">
        <v>85</v>
      </c>
      <c r="AY64" s="9" t="s">
        <v>85</v>
      </c>
      <c r="AZ64" s="9">
        <v>0.150844</v>
      </c>
      <c r="BA64" s="9" t="s">
        <v>85</v>
      </c>
      <c r="BB64" s="9" t="s">
        <v>85</v>
      </c>
      <c r="BC64" s="30">
        <v>0.120781</v>
      </c>
      <c r="BD64" s="9" t="s">
        <v>85</v>
      </c>
      <c r="BE64" s="9" t="s">
        <v>85</v>
      </c>
      <c r="BF64" s="9">
        <v>0.112869</v>
      </c>
      <c r="BG64" s="9" t="s">
        <v>85</v>
      </c>
      <c r="BH64" s="6"/>
      <c r="BI64" s="6" t="str">
        <f t="shared" si="1"/>
        <v>12B_Fold_Median</v>
      </c>
      <c r="BJ64" s="6" t="str">
        <f t="shared" si="2"/>
        <v>5V_Fold_Median</v>
      </c>
      <c r="BK64" s="6" t="str">
        <f t="shared" si="3"/>
        <v>12BN_Fold_Median</v>
      </c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</row>
    <row r="65" ht="15.75" customHeight="1">
      <c r="A65" s="1" t="s">
        <v>159</v>
      </c>
      <c r="B65" s="17">
        <v>52.0</v>
      </c>
      <c r="C65" s="9" t="s">
        <v>85</v>
      </c>
      <c r="D65" s="9">
        <v>0.028846</v>
      </c>
      <c r="E65" s="9" t="s">
        <v>85</v>
      </c>
      <c r="F65" s="9" t="s">
        <v>85</v>
      </c>
      <c r="G65" s="30">
        <v>0.033653848</v>
      </c>
      <c r="H65" s="9" t="s">
        <v>85</v>
      </c>
      <c r="I65" s="9" t="s">
        <v>85</v>
      </c>
      <c r="J65" s="9">
        <v>0.052885</v>
      </c>
      <c r="K65" s="9" t="s">
        <v>85</v>
      </c>
      <c r="L65" s="9" t="s">
        <v>85</v>
      </c>
      <c r="M65" s="9">
        <v>0.024038</v>
      </c>
      <c r="N65" s="9" t="s">
        <v>85</v>
      </c>
      <c r="O65" s="9" t="s">
        <v>85</v>
      </c>
      <c r="P65" s="9">
        <v>0.019231</v>
      </c>
      <c r="Q65" s="9" t="s">
        <v>85</v>
      </c>
      <c r="R65" s="9" t="s">
        <v>85</v>
      </c>
      <c r="S65" s="9">
        <v>0.024038</v>
      </c>
      <c r="T65" s="9" t="s">
        <v>85</v>
      </c>
      <c r="U65" s="9" t="s">
        <v>85</v>
      </c>
      <c r="V65" s="9">
        <v>0.028846</v>
      </c>
      <c r="W65" s="9" t="s">
        <v>85</v>
      </c>
      <c r="X65" s="9" t="s">
        <v>85</v>
      </c>
      <c r="Y65" s="9">
        <v>0.019231</v>
      </c>
      <c r="Z65" s="9" t="s">
        <v>85</v>
      </c>
      <c r="AA65" s="9" t="s">
        <v>85</v>
      </c>
      <c r="AB65" s="30">
        <v>0.033654</v>
      </c>
      <c r="AC65" s="9" t="s">
        <v>85</v>
      </c>
      <c r="AD65" s="9" t="s">
        <v>85</v>
      </c>
      <c r="AE65" s="30">
        <v>0.028846</v>
      </c>
      <c r="AF65" s="9" t="s">
        <v>85</v>
      </c>
      <c r="AG65" s="9" t="s">
        <v>85</v>
      </c>
      <c r="AH65" s="9">
        <v>0.038462</v>
      </c>
      <c r="AI65" s="9" t="s">
        <v>85</v>
      </c>
      <c r="AJ65" s="9" t="s">
        <v>85</v>
      </c>
      <c r="AK65" s="9">
        <v>0.014423</v>
      </c>
      <c r="AL65" s="9" t="s">
        <v>85</v>
      </c>
      <c r="AM65" s="9" t="s">
        <v>85</v>
      </c>
      <c r="AN65" s="9">
        <v>0.024038</v>
      </c>
      <c r="AO65" s="9" t="s">
        <v>85</v>
      </c>
      <c r="AP65" s="9" t="s">
        <v>85</v>
      </c>
      <c r="AQ65" s="30">
        <v>0.024038</v>
      </c>
      <c r="AR65" s="9" t="s">
        <v>85</v>
      </c>
      <c r="AS65" s="9" t="s">
        <v>85</v>
      </c>
      <c r="AT65" s="9">
        <v>0.033654</v>
      </c>
      <c r="AU65" s="9" t="s">
        <v>85</v>
      </c>
      <c r="AV65" s="9" t="s">
        <v>85</v>
      </c>
      <c r="AW65" s="9">
        <v>0.033654</v>
      </c>
      <c r="AX65" s="9" t="s">
        <v>85</v>
      </c>
      <c r="AY65" s="9" t="s">
        <v>85</v>
      </c>
      <c r="AZ65" s="9">
        <v>0.019231</v>
      </c>
      <c r="BA65" s="9" t="s">
        <v>85</v>
      </c>
      <c r="BB65" s="9" t="s">
        <v>85</v>
      </c>
      <c r="BC65" s="30">
        <v>0.038462</v>
      </c>
      <c r="BD65" s="9" t="s">
        <v>85</v>
      </c>
      <c r="BE65" s="9" t="s">
        <v>85</v>
      </c>
      <c r="BF65" s="9">
        <v>0.019231</v>
      </c>
      <c r="BG65" s="9" t="s">
        <v>85</v>
      </c>
      <c r="BH65" s="6"/>
      <c r="BI65" s="6" t="str">
        <f t="shared" si="1"/>
        <v>5V_Fold_Median</v>
      </c>
      <c r="BJ65" s="6" t="str">
        <f t="shared" si="2"/>
        <v>10V_Fold_Median</v>
      </c>
      <c r="BK65" s="6" t="str">
        <f t="shared" si="3"/>
        <v>10V_Fold_Median</v>
      </c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</row>
    <row r="66" ht="15.75" customHeight="1">
      <c r="A66" s="1" t="s">
        <v>160</v>
      </c>
      <c r="B66" s="17">
        <v>52.0</v>
      </c>
      <c r="C66" s="9" t="s">
        <v>85</v>
      </c>
      <c r="D66" s="9">
        <v>0.019231</v>
      </c>
      <c r="E66" s="9" t="s">
        <v>85</v>
      </c>
      <c r="F66" s="9" t="s">
        <v>85</v>
      </c>
      <c r="G66" s="30">
        <v>0.024038462</v>
      </c>
      <c r="H66" s="9" t="s">
        <v>85</v>
      </c>
      <c r="I66" s="9" t="s">
        <v>85</v>
      </c>
      <c r="J66" s="9">
        <v>0.033654</v>
      </c>
      <c r="K66" s="9" t="s">
        <v>85</v>
      </c>
      <c r="L66" s="9" t="s">
        <v>85</v>
      </c>
      <c r="M66" s="9">
        <v>0.028846</v>
      </c>
      <c r="N66" s="9" t="s">
        <v>85</v>
      </c>
      <c r="O66" s="9" t="s">
        <v>85</v>
      </c>
      <c r="P66" s="9">
        <v>0.019231</v>
      </c>
      <c r="Q66" s="9" t="s">
        <v>85</v>
      </c>
      <c r="R66" s="9" t="s">
        <v>85</v>
      </c>
      <c r="S66" s="9">
        <v>0.019231</v>
      </c>
      <c r="T66" s="9" t="s">
        <v>85</v>
      </c>
      <c r="U66" s="9" t="s">
        <v>85</v>
      </c>
      <c r="V66" s="9">
        <v>0.019231</v>
      </c>
      <c r="W66" s="9" t="s">
        <v>85</v>
      </c>
      <c r="X66" s="9" t="s">
        <v>85</v>
      </c>
      <c r="Y66" s="9">
        <v>0.019231</v>
      </c>
      <c r="Z66" s="9" t="s">
        <v>85</v>
      </c>
      <c r="AA66" s="9" t="s">
        <v>85</v>
      </c>
      <c r="AB66" s="30">
        <v>0.028846</v>
      </c>
      <c r="AC66" s="9" t="s">
        <v>85</v>
      </c>
      <c r="AD66" s="9" t="s">
        <v>85</v>
      </c>
      <c r="AE66" s="30">
        <v>0.019231</v>
      </c>
      <c r="AF66" s="9" t="s">
        <v>85</v>
      </c>
      <c r="AG66" s="9" t="s">
        <v>85</v>
      </c>
      <c r="AH66" s="9">
        <v>0.033654</v>
      </c>
      <c r="AI66" s="9" t="s">
        <v>85</v>
      </c>
      <c r="AJ66" s="9" t="s">
        <v>85</v>
      </c>
      <c r="AK66" s="9">
        <v>0.019231</v>
      </c>
      <c r="AL66" s="9" t="s">
        <v>85</v>
      </c>
      <c r="AM66" s="9" t="s">
        <v>85</v>
      </c>
      <c r="AN66" s="9">
        <v>0.019231</v>
      </c>
      <c r="AO66" s="9" t="s">
        <v>85</v>
      </c>
      <c r="AP66" s="9" t="s">
        <v>85</v>
      </c>
      <c r="AQ66" s="30">
        <v>0.024038</v>
      </c>
      <c r="AR66" s="9" t="s">
        <v>85</v>
      </c>
      <c r="AS66" s="9" t="s">
        <v>85</v>
      </c>
      <c r="AT66" s="9">
        <v>0.019231</v>
      </c>
      <c r="AU66" s="9" t="s">
        <v>85</v>
      </c>
      <c r="AV66" s="9" t="s">
        <v>85</v>
      </c>
      <c r="AW66" s="9">
        <v>0.019231</v>
      </c>
      <c r="AX66" s="9" t="s">
        <v>85</v>
      </c>
      <c r="AY66" s="9" t="s">
        <v>85</v>
      </c>
      <c r="AZ66" s="9">
        <v>0.019231</v>
      </c>
      <c r="BA66" s="9" t="s">
        <v>85</v>
      </c>
      <c r="BB66" s="9" t="s">
        <v>85</v>
      </c>
      <c r="BC66" s="30">
        <v>0.019231</v>
      </c>
      <c r="BD66" s="9" t="s">
        <v>85</v>
      </c>
      <c r="BE66" s="9" t="s">
        <v>85</v>
      </c>
      <c r="BF66" s="9">
        <v>0.019231</v>
      </c>
      <c r="BG66" s="9" t="s">
        <v>85</v>
      </c>
      <c r="BH66" s="6"/>
      <c r="BI66" s="6" t="str">
        <f t="shared" si="1"/>
        <v>5V_Fold_Median</v>
      </c>
      <c r="BJ66" s="6" t="str">
        <f t="shared" si="2"/>
        <v>5V_Fold_Median</v>
      </c>
      <c r="BK66" s="6" t="str">
        <f t="shared" si="3"/>
        <v>5VB_Fold_Median</v>
      </c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</row>
    <row r="67" ht="15.75" customHeight="1">
      <c r="A67" s="1" t="s">
        <v>161</v>
      </c>
      <c r="B67" s="17">
        <v>52.0</v>
      </c>
      <c r="C67" s="9" t="s">
        <v>85</v>
      </c>
      <c r="D67" s="9">
        <v>0.019231</v>
      </c>
      <c r="E67" s="9" t="s">
        <v>85</v>
      </c>
      <c r="F67" s="9" t="s">
        <v>85</v>
      </c>
      <c r="G67" s="30">
        <v>0.01923077</v>
      </c>
      <c r="H67" s="9" t="s">
        <v>85</v>
      </c>
      <c r="I67" s="9" t="s">
        <v>85</v>
      </c>
      <c r="J67" s="9">
        <v>0.019231</v>
      </c>
      <c r="K67" s="9" t="s">
        <v>85</v>
      </c>
      <c r="L67" s="9" t="s">
        <v>85</v>
      </c>
      <c r="M67" s="9">
        <v>0.019231</v>
      </c>
      <c r="N67" s="9" t="s">
        <v>85</v>
      </c>
      <c r="O67" s="9" t="s">
        <v>85</v>
      </c>
      <c r="P67" s="9">
        <v>0.024038</v>
      </c>
      <c r="Q67" s="9" t="s">
        <v>85</v>
      </c>
      <c r="R67" s="9" t="s">
        <v>85</v>
      </c>
      <c r="S67" s="9">
        <v>0.028846</v>
      </c>
      <c r="T67" s="9" t="s">
        <v>85</v>
      </c>
      <c r="U67" s="9" t="s">
        <v>85</v>
      </c>
      <c r="V67" s="9">
        <v>0.028846</v>
      </c>
      <c r="W67" s="9" t="s">
        <v>85</v>
      </c>
      <c r="X67" s="9" t="s">
        <v>85</v>
      </c>
      <c r="Y67" s="9">
        <v>0.024038</v>
      </c>
      <c r="Z67" s="9" t="s">
        <v>85</v>
      </c>
      <c r="AA67" s="9" t="s">
        <v>85</v>
      </c>
      <c r="AB67" s="30">
        <v>0.019231</v>
      </c>
      <c r="AC67" s="9" t="s">
        <v>85</v>
      </c>
      <c r="AD67" s="9" t="s">
        <v>85</v>
      </c>
      <c r="AE67" s="30">
        <v>0.024038</v>
      </c>
      <c r="AF67" s="9" t="s">
        <v>85</v>
      </c>
      <c r="AG67" s="9" t="s">
        <v>85</v>
      </c>
      <c r="AH67" s="9">
        <v>0.019231</v>
      </c>
      <c r="AI67" s="9" t="s">
        <v>85</v>
      </c>
      <c r="AJ67" s="9" t="s">
        <v>85</v>
      </c>
      <c r="AK67" s="9">
        <v>0.028846</v>
      </c>
      <c r="AL67" s="9" t="s">
        <v>85</v>
      </c>
      <c r="AM67" s="9" t="s">
        <v>85</v>
      </c>
      <c r="AN67" s="9">
        <v>0.024038</v>
      </c>
      <c r="AO67" s="9" t="s">
        <v>85</v>
      </c>
      <c r="AP67" s="9" t="s">
        <v>85</v>
      </c>
      <c r="AQ67" s="30">
        <v>0.019231</v>
      </c>
      <c r="AR67" s="9" t="s">
        <v>85</v>
      </c>
      <c r="AS67" s="9" t="s">
        <v>85</v>
      </c>
      <c r="AT67" s="9">
        <v>0.024038</v>
      </c>
      <c r="AU67" s="9" t="s">
        <v>85</v>
      </c>
      <c r="AV67" s="9" t="s">
        <v>85</v>
      </c>
      <c r="AW67" s="9">
        <v>0.019231</v>
      </c>
      <c r="AX67" s="9" t="s">
        <v>85</v>
      </c>
      <c r="AY67" s="9" t="s">
        <v>85</v>
      </c>
      <c r="AZ67" s="9">
        <v>0.019231</v>
      </c>
      <c r="BA67" s="9" t="s">
        <v>85</v>
      </c>
      <c r="BB67" s="9" t="s">
        <v>85</v>
      </c>
      <c r="BC67" s="30">
        <v>0.019231</v>
      </c>
      <c r="BD67" s="9" t="s">
        <v>85</v>
      </c>
      <c r="BE67" s="9" t="s">
        <v>85</v>
      </c>
      <c r="BF67" s="9">
        <v>0.019231</v>
      </c>
      <c r="BG67" s="9" t="s">
        <v>85</v>
      </c>
      <c r="BH67" s="6"/>
      <c r="BI67" s="6" t="str">
        <f t="shared" si="1"/>
        <v>8BN_Fold_Median</v>
      </c>
      <c r="BJ67" s="6" t="str">
        <f t="shared" si="2"/>
        <v>8BN_Fold_Median</v>
      </c>
      <c r="BK67" s="6" t="str">
        <f t="shared" si="3"/>
        <v>8BN_Fold_Median</v>
      </c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</row>
    <row r="68" ht="15.75" customHeight="1">
      <c r="A68" s="1" t="s">
        <v>162</v>
      </c>
      <c r="B68" s="17">
        <v>7.0</v>
      </c>
      <c r="C68" s="9" t="s">
        <v>85</v>
      </c>
      <c r="D68" s="9">
        <v>0.942857</v>
      </c>
      <c r="E68" s="9" t="s">
        <v>85</v>
      </c>
      <c r="F68" s="9" t="s">
        <v>85</v>
      </c>
      <c r="G68" s="30">
        <v>0.942857146</v>
      </c>
      <c r="H68" s="9" t="s">
        <v>85</v>
      </c>
      <c r="I68" s="9" t="s">
        <v>85</v>
      </c>
      <c r="J68" s="9">
        <v>0.990476</v>
      </c>
      <c r="K68" s="9" t="s">
        <v>85</v>
      </c>
      <c r="L68" s="9" t="s">
        <v>85</v>
      </c>
      <c r="M68" s="9">
        <v>0.990476</v>
      </c>
      <c r="N68" s="9" t="s">
        <v>85</v>
      </c>
      <c r="O68" s="9" t="s">
        <v>85</v>
      </c>
      <c r="P68" s="9">
        <v>0.990476</v>
      </c>
      <c r="Q68" s="9" t="s">
        <v>85</v>
      </c>
      <c r="R68" s="9" t="s">
        <v>85</v>
      </c>
      <c r="S68" s="9">
        <v>1.0</v>
      </c>
      <c r="T68" s="9" t="s">
        <v>85</v>
      </c>
      <c r="U68" s="9" t="s">
        <v>85</v>
      </c>
      <c r="V68" s="9">
        <v>0.971429</v>
      </c>
      <c r="W68" s="9" t="s">
        <v>85</v>
      </c>
      <c r="X68" s="9" t="s">
        <v>85</v>
      </c>
      <c r="Y68" s="9">
        <v>0.980952</v>
      </c>
      <c r="Z68" s="9" t="s">
        <v>85</v>
      </c>
      <c r="AA68" s="9" t="s">
        <v>85</v>
      </c>
      <c r="AB68" s="30">
        <v>0.990476</v>
      </c>
      <c r="AC68" s="9" t="s">
        <v>85</v>
      </c>
      <c r="AD68" s="9" t="s">
        <v>85</v>
      </c>
      <c r="AE68" s="30">
        <v>0.990476</v>
      </c>
      <c r="AF68" s="9" t="s">
        <v>85</v>
      </c>
      <c r="AG68" s="9" t="s">
        <v>85</v>
      </c>
      <c r="AH68" s="9">
        <v>0.990476</v>
      </c>
      <c r="AI68" s="9" t="s">
        <v>85</v>
      </c>
      <c r="AJ68" s="9" t="s">
        <v>85</v>
      </c>
      <c r="AK68" s="9">
        <v>0.961905</v>
      </c>
      <c r="AL68" s="9" t="s">
        <v>85</v>
      </c>
      <c r="AM68" s="9" t="s">
        <v>85</v>
      </c>
      <c r="AN68" s="9">
        <v>1.0</v>
      </c>
      <c r="AO68" s="9" t="s">
        <v>85</v>
      </c>
      <c r="AP68" s="9" t="s">
        <v>85</v>
      </c>
      <c r="AQ68" s="30">
        <v>1.0</v>
      </c>
      <c r="AR68" s="9" t="s">
        <v>85</v>
      </c>
      <c r="AS68" s="9" t="s">
        <v>85</v>
      </c>
      <c r="AT68" s="9">
        <v>0.980952</v>
      </c>
      <c r="AU68" s="9" t="s">
        <v>85</v>
      </c>
      <c r="AV68" s="9" t="s">
        <v>85</v>
      </c>
      <c r="AW68" s="9">
        <v>0.980952</v>
      </c>
      <c r="AX68" s="9" t="s">
        <v>85</v>
      </c>
      <c r="AY68" s="9" t="s">
        <v>85</v>
      </c>
      <c r="AZ68" s="9">
        <v>1.0</v>
      </c>
      <c r="BA68" s="9" t="s">
        <v>85</v>
      </c>
      <c r="BB68" s="9" t="s">
        <v>85</v>
      </c>
      <c r="BC68" s="30">
        <v>0.980952</v>
      </c>
      <c r="BD68" s="9" t="s">
        <v>85</v>
      </c>
      <c r="BE68" s="9" t="s">
        <v>85</v>
      </c>
      <c r="BF68" s="9">
        <v>0.971429</v>
      </c>
      <c r="BG68" s="9" t="s">
        <v>85</v>
      </c>
      <c r="BH68" s="6"/>
      <c r="BI68" s="6" t="str">
        <f t="shared" si="1"/>
        <v>8BN_Fold_Median</v>
      </c>
      <c r="BJ68" s="6" t="str">
        <f t="shared" si="2"/>
        <v>8BN_Fold_Median</v>
      </c>
      <c r="BK68" s="6" t="str">
        <f t="shared" si="3"/>
        <v>8BN_Fold_Median</v>
      </c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</row>
    <row r="69" ht="15.75" customHeight="1">
      <c r="A69" s="1" t="s">
        <v>163</v>
      </c>
      <c r="B69" s="17">
        <v>3.0</v>
      </c>
      <c r="C69" s="9" t="s">
        <v>85</v>
      </c>
      <c r="D69" s="9">
        <v>0.848781</v>
      </c>
      <c r="E69" s="9" t="s">
        <v>85</v>
      </c>
      <c r="F69" s="9" t="s">
        <v>85</v>
      </c>
      <c r="G69" s="30">
        <v>0.829268277</v>
      </c>
      <c r="H69" s="9" t="s">
        <v>85</v>
      </c>
      <c r="I69" s="9" t="s">
        <v>85</v>
      </c>
      <c r="J69" s="9">
        <v>0.848781</v>
      </c>
      <c r="K69" s="9" t="s">
        <v>85</v>
      </c>
      <c r="L69" s="9" t="s">
        <v>85</v>
      </c>
      <c r="M69" s="9">
        <v>0.848781</v>
      </c>
      <c r="N69" s="9" t="s">
        <v>85</v>
      </c>
      <c r="O69" s="9" t="s">
        <v>85</v>
      </c>
      <c r="P69" s="9">
        <v>0.843902</v>
      </c>
      <c r="Q69" s="9" t="s">
        <v>85</v>
      </c>
      <c r="R69" s="9" t="s">
        <v>85</v>
      </c>
      <c r="S69" s="9">
        <v>0.848781</v>
      </c>
      <c r="T69" s="9" t="s">
        <v>85</v>
      </c>
      <c r="U69" s="9" t="s">
        <v>85</v>
      </c>
      <c r="V69" s="9">
        <v>0.829268</v>
      </c>
      <c r="W69" s="9" t="s">
        <v>85</v>
      </c>
      <c r="X69" s="9" t="s">
        <v>85</v>
      </c>
      <c r="Y69" s="9">
        <v>0.848781</v>
      </c>
      <c r="Z69" s="9" t="s">
        <v>85</v>
      </c>
      <c r="AA69" s="9" t="s">
        <v>85</v>
      </c>
      <c r="AB69" s="30">
        <v>0.834146</v>
      </c>
      <c r="AC69" s="9" t="s">
        <v>85</v>
      </c>
      <c r="AD69" s="9" t="s">
        <v>85</v>
      </c>
      <c r="AE69" s="30">
        <v>0.843902</v>
      </c>
      <c r="AF69" s="9" t="s">
        <v>85</v>
      </c>
      <c r="AG69" s="9" t="s">
        <v>85</v>
      </c>
      <c r="AH69" s="9">
        <v>0.839024</v>
      </c>
      <c r="AI69" s="9" t="s">
        <v>85</v>
      </c>
      <c r="AJ69" s="9" t="s">
        <v>85</v>
      </c>
      <c r="AK69" s="9">
        <v>0.848781</v>
      </c>
      <c r="AL69" s="9" t="s">
        <v>85</v>
      </c>
      <c r="AM69" s="9" t="s">
        <v>85</v>
      </c>
      <c r="AN69" s="9">
        <v>0.829268</v>
      </c>
      <c r="AO69" s="9" t="s">
        <v>85</v>
      </c>
      <c r="AP69" s="9" t="s">
        <v>85</v>
      </c>
      <c r="AQ69" s="30">
        <v>0.848781</v>
      </c>
      <c r="AR69" s="9" t="s">
        <v>85</v>
      </c>
      <c r="AS69" s="9" t="s">
        <v>85</v>
      </c>
      <c r="AT69" s="9">
        <v>0.863415</v>
      </c>
      <c r="AU69" s="9" t="s">
        <v>85</v>
      </c>
      <c r="AV69" s="9" t="s">
        <v>85</v>
      </c>
      <c r="AW69" s="9">
        <v>0.848781</v>
      </c>
      <c r="AX69" s="9" t="s">
        <v>85</v>
      </c>
      <c r="AY69" s="9" t="s">
        <v>85</v>
      </c>
      <c r="AZ69" s="9">
        <v>0.843902</v>
      </c>
      <c r="BA69" s="9" t="s">
        <v>85</v>
      </c>
      <c r="BB69" s="9" t="s">
        <v>85</v>
      </c>
      <c r="BC69" s="30">
        <v>0.848781</v>
      </c>
      <c r="BD69" s="9" t="s">
        <v>85</v>
      </c>
      <c r="BE69" s="9" t="s">
        <v>85</v>
      </c>
      <c r="BF69" s="9">
        <v>0.843902</v>
      </c>
      <c r="BG69" s="9" t="s">
        <v>85</v>
      </c>
      <c r="BH69" s="6"/>
      <c r="BI69" s="6" t="str">
        <f t="shared" si="1"/>
        <v>12V_Fold_Median</v>
      </c>
      <c r="BJ69" s="6" t="str">
        <f t="shared" si="2"/>
        <v>5B_Fold_Median</v>
      </c>
      <c r="BK69" s="6" t="str">
        <f t="shared" si="3"/>
        <v>5B_Fold_Median</v>
      </c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</row>
    <row r="70" ht="15.75" customHeight="1">
      <c r="A70" s="1" t="s">
        <v>164</v>
      </c>
      <c r="B70" s="17">
        <v>2.0</v>
      </c>
      <c r="C70" s="9" t="s">
        <v>85</v>
      </c>
      <c r="D70" s="9">
        <v>0.800687</v>
      </c>
      <c r="E70" s="9" t="s">
        <v>85</v>
      </c>
      <c r="F70" s="9" t="s">
        <v>85</v>
      </c>
      <c r="G70" s="30">
        <v>0.786941588</v>
      </c>
      <c r="H70" s="9" t="s">
        <v>85</v>
      </c>
      <c r="I70" s="9" t="s">
        <v>85</v>
      </c>
      <c r="J70" s="9">
        <v>0.814433</v>
      </c>
      <c r="K70" s="9" t="s">
        <v>85</v>
      </c>
      <c r="L70" s="9" t="s">
        <v>85</v>
      </c>
      <c r="M70" s="9">
        <v>0.831615</v>
      </c>
      <c r="N70" s="9" t="s">
        <v>85</v>
      </c>
      <c r="O70" s="9" t="s">
        <v>85</v>
      </c>
      <c r="P70" s="9">
        <v>0.800687</v>
      </c>
      <c r="Q70" s="9" t="s">
        <v>85</v>
      </c>
      <c r="R70" s="9" t="s">
        <v>85</v>
      </c>
      <c r="S70" s="9">
        <v>0.800687</v>
      </c>
      <c r="T70" s="9" t="s">
        <v>85</v>
      </c>
      <c r="U70" s="9" t="s">
        <v>85</v>
      </c>
      <c r="V70" s="9">
        <v>0.828179</v>
      </c>
      <c r="W70" s="9" t="s">
        <v>85</v>
      </c>
      <c r="X70" s="9" t="s">
        <v>85</v>
      </c>
      <c r="Y70" s="9">
        <v>0.821306</v>
      </c>
      <c r="Z70" s="9" t="s">
        <v>85</v>
      </c>
      <c r="AA70" s="9" t="s">
        <v>85</v>
      </c>
      <c r="AB70" s="30">
        <v>0.817869</v>
      </c>
      <c r="AC70" s="9" t="s">
        <v>85</v>
      </c>
      <c r="AD70" s="9" t="s">
        <v>85</v>
      </c>
      <c r="AE70" s="30">
        <v>0.810997</v>
      </c>
      <c r="AF70" s="9" t="s">
        <v>85</v>
      </c>
      <c r="AG70" s="9" t="s">
        <v>85</v>
      </c>
      <c r="AH70" s="9">
        <v>0.835052</v>
      </c>
      <c r="AI70" s="9" t="s">
        <v>85</v>
      </c>
      <c r="AJ70" s="9" t="s">
        <v>85</v>
      </c>
      <c r="AK70" s="9">
        <v>0.838488</v>
      </c>
      <c r="AL70" s="9" t="s">
        <v>85</v>
      </c>
      <c r="AM70" s="9" t="s">
        <v>85</v>
      </c>
      <c r="AN70" s="9">
        <v>0.817869</v>
      </c>
      <c r="AO70" s="9" t="s">
        <v>85</v>
      </c>
      <c r="AP70" s="9" t="s">
        <v>85</v>
      </c>
      <c r="AQ70" s="30">
        <v>0.797251</v>
      </c>
      <c r="AR70" s="9" t="s">
        <v>85</v>
      </c>
      <c r="AS70" s="9" t="s">
        <v>85</v>
      </c>
      <c r="AT70" s="9">
        <v>0.852234</v>
      </c>
      <c r="AU70" s="9" t="s">
        <v>85</v>
      </c>
      <c r="AV70" s="9" t="s">
        <v>85</v>
      </c>
      <c r="AW70" s="9">
        <v>0.852234</v>
      </c>
      <c r="AX70" s="9" t="s">
        <v>85</v>
      </c>
      <c r="AY70" s="9" t="s">
        <v>85</v>
      </c>
      <c r="AZ70" s="9">
        <v>0.797251</v>
      </c>
      <c r="BA70" s="9" t="s">
        <v>85</v>
      </c>
      <c r="BB70" s="9" t="s">
        <v>85</v>
      </c>
      <c r="BC70" s="30">
        <v>0.821306</v>
      </c>
      <c r="BD70" s="9" t="s">
        <v>85</v>
      </c>
      <c r="BE70" s="9" t="s">
        <v>85</v>
      </c>
      <c r="BF70" s="9">
        <v>0.683849</v>
      </c>
      <c r="BG70" s="9" t="s">
        <v>85</v>
      </c>
      <c r="BH70" s="6"/>
      <c r="BI70" s="6" t="str">
        <f t="shared" si="1"/>
        <v>12V_Fold_Median</v>
      </c>
      <c r="BJ70" s="6" t="str">
        <f t="shared" si="2"/>
        <v>12V_Fold_Median</v>
      </c>
      <c r="BK70" s="6" t="str">
        <f t="shared" si="3"/>
        <v>10VB_Fold_Median</v>
      </c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</row>
    <row r="71" ht="15.75" customHeight="1">
      <c r="A71" s="1" t="s">
        <v>165</v>
      </c>
      <c r="B71" s="17">
        <v>6.0</v>
      </c>
      <c r="C71" s="9" t="s">
        <v>85</v>
      </c>
      <c r="D71" s="9">
        <v>0.765854</v>
      </c>
      <c r="E71" s="9" t="s">
        <v>85</v>
      </c>
      <c r="F71" s="9" t="s">
        <v>85</v>
      </c>
      <c r="G71" s="30">
        <v>0.67804879</v>
      </c>
      <c r="H71" s="9" t="s">
        <v>85</v>
      </c>
      <c r="I71" s="9" t="s">
        <v>85</v>
      </c>
      <c r="J71" s="9">
        <v>0.77561</v>
      </c>
      <c r="K71" s="9" t="s">
        <v>85</v>
      </c>
      <c r="L71" s="9" t="s">
        <v>85</v>
      </c>
      <c r="M71" s="9">
        <v>0.795122</v>
      </c>
      <c r="N71" s="9" t="s">
        <v>85</v>
      </c>
      <c r="O71" s="9" t="s">
        <v>85</v>
      </c>
      <c r="P71" s="9">
        <v>0.756098</v>
      </c>
      <c r="Q71" s="9" t="s">
        <v>85</v>
      </c>
      <c r="R71" s="9" t="s">
        <v>85</v>
      </c>
      <c r="S71" s="9">
        <v>0.77561</v>
      </c>
      <c r="T71" s="9" t="s">
        <v>85</v>
      </c>
      <c r="U71" s="9" t="s">
        <v>85</v>
      </c>
      <c r="V71" s="9">
        <v>0.804878</v>
      </c>
      <c r="W71" s="9" t="s">
        <v>85</v>
      </c>
      <c r="X71" s="9" t="s">
        <v>85</v>
      </c>
      <c r="Y71" s="9">
        <v>0.678049</v>
      </c>
      <c r="Z71" s="9" t="s">
        <v>85</v>
      </c>
      <c r="AA71" s="9" t="s">
        <v>85</v>
      </c>
      <c r="AB71" s="30">
        <v>0.770732</v>
      </c>
      <c r="AC71" s="9" t="s">
        <v>85</v>
      </c>
      <c r="AD71" s="9" t="s">
        <v>85</v>
      </c>
      <c r="AE71" s="30">
        <v>0.678049</v>
      </c>
      <c r="AF71" s="9" t="s">
        <v>85</v>
      </c>
      <c r="AG71" s="9" t="s">
        <v>85</v>
      </c>
      <c r="AH71" s="9">
        <v>0.765854</v>
      </c>
      <c r="AI71" s="9" t="s">
        <v>85</v>
      </c>
      <c r="AJ71" s="9" t="s">
        <v>85</v>
      </c>
      <c r="AK71" s="9">
        <v>0.780488</v>
      </c>
      <c r="AL71" s="9" t="s">
        <v>85</v>
      </c>
      <c r="AM71" s="9" t="s">
        <v>85</v>
      </c>
      <c r="AN71" s="9">
        <v>0.765854</v>
      </c>
      <c r="AO71" s="9" t="s">
        <v>85</v>
      </c>
      <c r="AP71" s="9" t="s">
        <v>85</v>
      </c>
      <c r="AQ71" s="30">
        <v>0.780488</v>
      </c>
      <c r="AR71" s="9" t="s">
        <v>85</v>
      </c>
      <c r="AS71" s="9" t="s">
        <v>85</v>
      </c>
      <c r="AT71" s="9">
        <v>0.760976</v>
      </c>
      <c r="AU71" s="9" t="s">
        <v>85</v>
      </c>
      <c r="AV71" s="9" t="s">
        <v>85</v>
      </c>
      <c r="AW71" s="9">
        <v>0.785366</v>
      </c>
      <c r="AX71" s="9" t="s">
        <v>85</v>
      </c>
      <c r="AY71" s="9" t="s">
        <v>85</v>
      </c>
      <c r="AZ71" s="9">
        <v>0.756098</v>
      </c>
      <c r="BA71" s="9" t="s">
        <v>85</v>
      </c>
      <c r="BB71" s="9" t="s">
        <v>85</v>
      </c>
      <c r="BC71" s="30">
        <v>0.790244</v>
      </c>
      <c r="BD71" s="9" t="s">
        <v>85</v>
      </c>
      <c r="BE71" s="9" t="s">
        <v>85</v>
      </c>
      <c r="BF71" s="9">
        <v>0.795122</v>
      </c>
      <c r="BG71" s="9" t="s">
        <v>85</v>
      </c>
      <c r="BH71" s="6"/>
      <c r="BI71" s="6" t="str">
        <f t="shared" si="1"/>
        <v>8V_Fold_Median</v>
      </c>
      <c r="BJ71" s="6" t="str">
        <f t="shared" si="2"/>
        <v>5VB_Fold_Median</v>
      </c>
      <c r="BK71" s="6" t="str">
        <f t="shared" si="3"/>
        <v>5VB_Fold_Median</v>
      </c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</row>
    <row r="72" ht="15.75" customHeight="1">
      <c r="A72" s="1" t="s">
        <v>166</v>
      </c>
      <c r="B72" s="17">
        <v>4.0</v>
      </c>
      <c r="C72" s="9" t="s">
        <v>85</v>
      </c>
      <c r="D72" s="9">
        <v>0.48</v>
      </c>
      <c r="E72" s="9" t="s">
        <v>85</v>
      </c>
      <c r="F72" s="9" t="s">
        <v>85</v>
      </c>
      <c r="G72" s="30">
        <v>0.519999981</v>
      </c>
      <c r="H72" s="9" t="s">
        <v>85</v>
      </c>
      <c r="I72" s="9" t="s">
        <v>85</v>
      </c>
      <c r="J72" s="9">
        <v>0.5</v>
      </c>
      <c r="K72" s="9" t="s">
        <v>85</v>
      </c>
      <c r="L72" s="9" t="s">
        <v>85</v>
      </c>
      <c r="M72" s="9">
        <v>0.58</v>
      </c>
      <c r="N72" s="9" t="s">
        <v>85</v>
      </c>
      <c r="O72" s="9" t="s">
        <v>85</v>
      </c>
      <c r="P72" s="9">
        <v>0.48</v>
      </c>
      <c r="Q72" s="9" t="s">
        <v>85</v>
      </c>
      <c r="R72" s="9" t="s">
        <v>85</v>
      </c>
      <c r="S72" s="9">
        <v>0.54</v>
      </c>
      <c r="T72" s="9" t="s">
        <v>85</v>
      </c>
      <c r="U72" s="9" t="s">
        <v>85</v>
      </c>
      <c r="V72" s="9">
        <v>0.54</v>
      </c>
      <c r="W72" s="9" t="s">
        <v>85</v>
      </c>
      <c r="X72" s="9" t="s">
        <v>85</v>
      </c>
      <c r="Y72" s="9">
        <v>0.58</v>
      </c>
      <c r="Z72" s="9" t="s">
        <v>85</v>
      </c>
      <c r="AA72" s="9" t="s">
        <v>85</v>
      </c>
      <c r="AB72" s="30">
        <v>0.62</v>
      </c>
      <c r="AC72" s="9" t="s">
        <v>85</v>
      </c>
      <c r="AD72" s="9" t="s">
        <v>85</v>
      </c>
      <c r="AE72" s="30">
        <v>0.54</v>
      </c>
      <c r="AF72" s="9" t="s">
        <v>85</v>
      </c>
      <c r="AG72" s="9" t="s">
        <v>85</v>
      </c>
      <c r="AH72" s="9">
        <v>0.6</v>
      </c>
      <c r="AI72" s="9" t="s">
        <v>85</v>
      </c>
      <c r="AJ72" s="9" t="s">
        <v>85</v>
      </c>
      <c r="AK72" s="9">
        <v>0.7</v>
      </c>
      <c r="AL72" s="9" t="s">
        <v>85</v>
      </c>
      <c r="AM72" s="9" t="s">
        <v>85</v>
      </c>
      <c r="AN72" s="9">
        <v>0.54</v>
      </c>
      <c r="AO72" s="9" t="s">
        <v>85</v>
      </c>
      <c r="AP72" s="9" t="s">
        <v>85</v>
      </c>
      <c r="AQ72" s="30">
        <v>0.54</v>
      </c>
      <c r="AR72" s="9" t="s">
        <v>85</v>
      </c>
      <c r="AS72" s="9" t="s">
        <v>85</v>
      </c>
      <c r="AT72" s="9">
        <v>0.6</v>
      </c>
      <c r="AU72" s="9" t="s">
        <v>85</v>
      </c>
      <c r="AV72" s="9" t="s">
        <v>85</v>
      </c>
      <c r="AW72" s="9">
        <v>0.52</v>
      </c>
      <c r="AX72" s="9" t="s">
        <v>85</v>
      </c>
      <c r="AY72" s="9" t="s">
        <v>85</v>
      </c>
      <c r="AZ72" s="9">
        <v>0.6</v>
      </c>
      <c r="BA72" s="9" t="s">
        <v>85</v>
      </c>
      <c r="BB72" s="9" t="s">
        <v>85</v>
      </c>
      <c r="BC72" s="30">
        <v>0.64</v>
      </c>
      <c r="BD72" s="9" t="s">
        <v>85</v>
      </c>
      <c r="BE72" s="9" t="s">
        <v>85</v>
      </c>
      <c r="BF72" s="9">
        <v>0.18</v>
      </c>
      <c r="BG72" s="9" t="s">
        <v>85</v>
      </c>
      <c r="BH72" s="6"/>
      <c r="BI72" s="6" t="str">
        <f t="shared" si="1"/>
        <v>10VB_Fold_Median</v>
      </c>
      <c r="BJ72" s="6" t="str">
        <f t="shared" si="2"/>
        <v>20V_Fold_Median</v>
      </c>
      <c r="BK72" s="6" t="str">
        <f t="shared" si="3"/>
        <v>10B_Fold_Median</v>
      </c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</row>
    <row r="73" ht="15.75" customHeight="1">
      <c r="A73" s="1" t="s">
        <v>167</v>
      </c>
      <c r="B73" s="17">
        <v>3.0</v>
      </c>
      <c r="C73" s="9" t="s">
        <v>85</v>
      </c>
      <c r="D73" s="9">
        <v>0.554667</v>
      </c>
      <c r="E73" s="9" t="s">
        <v>85</v>
      </c>
      <c r="F73" s="9" t="s">
        <v>85</v>
      </c>
      <c r="G73" s="30">
        <v>0.527999997</v>
      </c>
      <c r="H73" s="9" t="s">
        <v>85</v>
      </c>
      <c r="I73" s="9" t="s">
        <v>85</v>
      </c>
      <c r="J73" s="9">
        <v>0.450667</v>
      </c>
      <c r="K73" s="9" t="s">
        <v>85</v>
      </c>
      <c r="L73" s="9" t="s">
        <v>85</v>
      </c>
      <c r="M73" s="9">
        <v>0.434667</v>
      </c>
      <c r="N73" s="9" t="s">
        <v>85</v>
      </c>
      <c r="O73" s="9" t="s">
        <v>85</v>
      </c>
      <c r="P73" s="9">
        <v>0.570667</v>
      </c>
      <c r="Q73" s="9" t="s">
        <v>85</v>
      </c>
      <c r="R73" s="9" t="s">
        <v>85</v>
      </c>
      <c r="S73" s="1" t="s">
        <v>85</v>
      </c>
      <c r="T73" s="9" t="s">
        <v>85</v>
      </c>
      <c r="U73" s="9" t="s">
        <v>85</v>
      </c>
      <c r="V73" s="9">
        <v>0.416</v>
      </c>
      <c r="W73" s="9" t="s">
        <v>85</v>
      </c>
      <c r="X73" s="9" t="s">
        <v>85</v>
      </c>
      <c r="Y73" s="9">
        <v>0.426667</v>
      </c>
      <c r="Z73" s="9" t="s">
        <v>85</v>
      </c>
      <c r="AA73" s="9" t="s">
        <v>85</v>
      </c>
      <c r="AB73" s="30">
        <v>0.573333</v>
      </c>
      <c r="AC73" s="9" t="s">
        <v>85</v>
      </c>
      <c r="AD73" s="9" t="s">
        <v>85</v>
      </c>
      <c r="AE73" s="30">
        <v>0.589333</v>
      </c>
      <c r="AF73" s="9" t="s">
        <v>85</v>
      </c>
      <c r="AG73" s="9" t="s">
        <v>85</v>
      </c>
      <c r="AH73" s="9">
        <v>0.421333</v>
      </c>
      <c r="AI73" s="9" t="s">
        <v>85</v>
      </c>
      <c r="AJ73" s="9" t="s">
        <v>85</v>
      </c>
      <c r="AK73" s="9">
        <v>0.461333</v>
      </c>
      <c r="AL73" s="9" t="s">
        <v>85</v>
      </c>
      <c r="AM73" s="9" t="s">
        <v>85</v>
      </c>
      <c r="AN73" s="9">
        <v>0.56</v>
      </c>
      <c r="AO73" s="9" t="s">
        <v>85</v>
      </c>
      <c r="AP73" s="9" t="s">
        <v>85</v>
      </c>
      <c r="AQ73" s="30">
        <v>0.538667</v>
      </c>
      <c r="AR73" s="9" t="s">
        <v>85</v>
      </c>
      <c r="AS73" s="9" t="s">
        <v>85</v>
      </c>
      <c r="AT73" s="9">
        <v>0.445333</v>
      </c>
      <c r="AU73" s="9" t="s">
        <v>85</v>
      </c>
      <c r="AV73" s="9" t="s">
        <v>85</v>
      </c>
      <c r="AW73" s="9">
        <v>0.48</v>
      </c>
      <c r="AX73" s="9" t="s">
        <v>85</v>
      </c>
      <c r="AY73" s="9" t="s">
        <v>85</v>
      </c>
      <c r="AZ73" s="9">
        <v>0.525333</v>
      </c>
      <c r="BA73" s="9" t="s">
        <v>85</v>
      </c>
      <c r="BB73" s="9" t="s">
        <v>85</v>
      </c>
      <c r="BC73" s="30">
        <v>0.469333</v>
      </c>
      <c r="BD73" s="9" t="s">
        <v>85</v>
      </c>
      <c r="BE73" s="9" t="s">
        <v>85</v>
      </c>
      <c r="BF73" s="9">
        <v>0.413333</v>
      </c>
      <c r="BG73" s="9" t="s">
        <v>85</v>
      </c>
      <c r="BH73" s="6"/>
      <c r="BI73" s="6" t="str">
        <f t="shared" si="1"/>
        <v>10BN_Fold_Median</v>
      </c>
      <c r="BJ73" s="6" t="str">
        <f t="shared" si="2"/>
        <v>10B_Fold_Median</v>
      </c>
      <c r="BK73" s="6" t="str">
        <f t="shared" si="3"/>
        <v>8B_Fold_Median</v>
      </c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</row>
    <row r="74" ht="15.75" customHeight="1">
      <c r="A74" s="1" t="s">
        <v>168</v>
      </c>
      <c r="B74" s="17">
        <v>2.0</v>
      </c>
      <c r="C74" s="9" t="s">
        <v>85</v>
      </c>
      <c r="D74" s="9">
        <v>0.8</v>
      </c>
      <c r="E74" s="9" t="s">
        <v>85</v>
      </c>
      <c r="F74" s="9" t="s">
        <v>85</v>
      </c>
      <c r="G74" s="30">
        <v>0.711666644</v>
      </c>
      <c r="H74" s="9" t="s">
        <v>85</v>
      </c>
      <c r="I74" s="9" t="s">
        <v>85</v>
      </c>
      <c r="J74" s="9">
        <v>0.873333</v>
      </c>
      <c r="K74" s="9" t="s">
        <v>85</v>
      </c>
      <c r="L74" s="9" t="s">
        <v>85</v>
      </c>
      <c r="M74" s="9">
        <v>0.878333</v>
      </c>
      <c r="N74" s="9" t="s">
        <v>85</v>
      </c>
      <c r="O74" s="9" t="s">
        <v>85</v>
      </c>
      <c r="P74" s="9">
        <v>0.85</v>
      </c>
      <c r="Q74" s="9" t="s">
        <v>85</v>
      </c>
      <c r="R74" s="9" t="s">
        <v>85</v>
      </c>
      <c r="S74" s="9">
        <v>0.845</v>
      </c>
      <c r="T74" s="9" t="s">
        <v>85</v>
      </c>
      <c r="U74" s="9" t="s">
        <v>85</v>
      </c>
      <c r="V74" s="9">
        <v>0.913333</v>
      </c>
      <c r="W74" s="9" t="s">
        <v>85</v>
      </c>
      <c r="X74" s="9" t="s">
        <v>85</v>
      </c>
      <c r="Y74" s="9">
        <v>0.901667</v>
      </c>
      <c r="Z74" s="9" t="s">
        <v>85</v>
      </c>
      <c r="AA74" s="9" t="s">
        <v>85</v>
      </c>
      <c r="AB74" s="30">
        <v>0.843333</v>
      </c>
      <c r="AC74" s="9" t="s">
        <v>85</v>
      </c>
      <c r="AD74" s="9" t="s">
        <v>85</v>
      </c>
      <c r="AE74" s="30">
        <v>0.84</v>
      </c>
      <c r="AF74" s="9" t="s">
        <v>85</v>
      </c>
      <c r="AG74" s="9" t="s">
        <v>85</v>
      </c>
      <c r="AH74" s="9">
        <v>0.896667</v>
      </c>
      <c r="AI74" s="9" t="s">
        <v>85</v>
      </c>
      <c r="AJ74" s="9" t="s">
        <v>85</v>
      </c>
      <c r="AK74" s="9">
        <v>0.903333</v>
      </c>
      <c r="AL74" s="9" t="s">
        <v>85</v>
      </c>
      <c r="AM74" s="9" t="s">
        <v>85</v>
      </c>
      <c r="AN74" s="9">
        <v>0.843333</v>
      </c>
      <c r="AO74" s="9" t="s">
        <v>85</v>
      </c>
      <c r="AP74" s="9" t="s">
        <v>85</v>
      </c>
      <c r="AQ74" s="30">
        <v>0.85</v>
      </c>
      <c r="AR74" s="9" t="s">
        <v>85</v>
      </c>
      <c r="AS74" s="9" t="s">
        <v>85</v>
      </c>
      <c r="AT74" s="9">
        <v>0.906667</v>
      </c>
      <c r="AU74" s="9" t="s">
        <v>85</v>
      </c>
      <c r="AV74" s="9" t="s">
        <v>85</v>
      </c>
      <c r="AW74" s="9">
        <v>0.911667</v>
      </c>
      <c r="AX74" s="9" t="s">
        <v>85</v>
      </c>
      <c r="AY74" s="9" t="s">
        <v>85</v>
      </c>
      <c r="AZ74" s="9">
        <v>0.85</v>
      </c>
      <c r="BA74" s="9" t="s">
        <v>85</v>
      </c>
      <c r="BB74" s="9" t="s">
        <v>85</v>
      </c>
      <c r="BC74" s="30">
        <v>0.916667</v>
      </c>
      <c r="BD74" s="9" t="s">
        <v>85</v>
      </c>
      <c r="BE74" s="9" t="s">
        <v>85</v>
      </c>
      <c r="BF74" s="9">
        <v>0.841667</v>
      </c>
      <c r="BG74" s="9" t="s">
        <v>85</v>
      </c>
      <c r="BH74" s="6"/>
      <c r="BI74" s="6" t="str">
        <f t="shared" si="1"/>
        <v>20V_Fold_Median</v>
      </c>
      <c r="BJ74" s="6" t="str">
        <f t="shared" si="2"/>
        <v>8V_Fold_Median</v>
      </c>
      <c r="BK74" s="6" t="str">
        <f t="shared" si="3"/>
        <v>12VB_Fold_Median</v>
      </c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</row>
    <row r="75" ht="15.75" customHeight="1">
      <c r="A75" s="1" t="s">
        <v>169</v>
      </c>
      <c r="B75" s="17">
        <v>6.0</v>
      </c>
      <c r="C75" s="9" t="s">
        <v>85</v>
      </c>
      <c r="D75" s="9">
        <v>0.382222</v>
      </c>
      <c r="E75" s="9" t="s">
        <v>85</v>
      </c>
      <c r="F75" s="9" t="s">
        <v>85</v>
      </c>
      <c r="G75" s="30">
        <v>0.395555556</v>
      </c>
      <c r="H75" s="9" t="s">
        <v>85</v>
      </c>
      <c r="I75" s="9" t="s">
        <v>85</v>
      </c>
      <c r="J75" s="9">
        <v>0.602222</v>
      </c>
      <c r="K75" s="9" t="s">
        <v>85</v>
      </c>
      <c r="L75" s="9" t="s">
        <v>85</v>
      </c>
      <c r="M75" s="9">
        <v>0.582222</v>
      </c>
      <c r="N75" s="9" t="s">
        <v>85</v>
      </c>
      <c r="O75" s="9" t="s">
        <v>85</v>
      </c>
      <c r="P75" s="9">
        <v>0.431111</v>
      </c>
      <c r="Q75" s="9" t="s">
        <v>85</v>
      </c>
      <c r="R75" s="9" t="s">
        <v>85</v>
      </c>
      <c r="S75" s="9">
        <v>0.377778</v>
      </c>
      <c r="T75" s="9" t="s">
        <v>85</v>
      </c>
      <c r="U75" s="9" t="s">
        <v>85</v>
      </c>
      <c r="V75" s="9">
        <v>0.46</v>
      </c>
      <c r="W75" s="9" t="s">
        <v>85</v>
      </c>
      <c r="X75" s="9" t="s">
        <v>85</v>
      </c>
      <c r="Y75" s="9">
        <v>0.455556</v>
      </c>
      <c r="Z75" s="9" t="s">
        <v>85</v>
      </c>
      <c r="AA75" s="9" t="s">
        <v>85</v>
      </c>
      <c r="AB75" s="30">
        <v>0.44</v>
      </c>
      <c r="AC75" s="9" t="s">
        <v>85</v>
      </c>
      <c r="AD75" s="9" t="s">
        <v>85</v>
      </c>
      <c r="AE75" s="30">
        <v>0.44</v>
      </c>
      <c r="AF75" s="9" t="s">
        <v>85</v>
      </c>
      <c r="AG75" s="9" t="s">
        <v>85</v>
      </c>
      <c r="AH75" s="9">
        <v>0.455556</v>
      </c>
      <c r="AI75" s="9" t="s">
        <v>85</v>
      </c>
      <c r="AJ75" s="9" t="s">
        <v>85</v>
      </c>
      <c r="AK75" s="9">
        <v>0.424444</v>
      </c>
      <c r="AL75" s="9" t="s">
        <v>85</v>
      </c>
      <c r="AM75" s="9" t="s">
        <v>85</v>
      </c>
      <c r="AN75" s="9">
        <v>0.4</v>
      </c>
      <c r="AO75" s="9" t="s">
        <v>85</v>
      </c>
      <c r="AP75" s="9" t="s">
        <v>85</v>
      </c>
      <c r="AQ75" s="30">
        <v>0.391111</v>
      </c>
      <c r="AR75" s="9" t="s">
        <v>85</v>
      </c>
      <c r="AS75" s="9" t="s">
        <v>85</v>
      </c>
      <c r="AT75" s="9">
        <v>0.357778</v>
      </c>
      <c r="AU75" s="9" t="s">
        <v>85</v>
      </c>
      <c r="AV75" s="9" t="s">
        <v>85</v>
      </c>
      <c r="AW75" s="9">
        <v>0.462222</v>
      </c>
      <c r="AX75" s="9" t="s">
        <v>85</v>
      </c>
      <c r="AY75" s="9" t="s">
        <v>85</v>
      </c>
      <c r="AZ75" s="9">
        <v>0.388889</v>
      </c>
      <c r="BA75" s="9" t="s">
        <v>85</v>
      </c>
      <c r="BB75" s="9" t="s">
        <v>85</v>
      </c>
      <c r="BC75" s="30">
        <v>0.322222</v>
      </c>
      <c r="BD75" s="9" t="s">
        <v>85</v>
      </c>
      <c r="BE75" s="9" t="s">
        <v>85</v>
      </c>
      <c r="BF75" s="9">
        <v>0.451111</v>
      </c>
      <c r="BG75" s="9" t="s">
        <v>85</v>
      </c>
      <c r="BH75" s="6"/>
      <c r="BI75" s="6" t="str">
        <f t="shared" si="1"/>
        <v>5V_Fold_Median</v>
      </c>
      <c r="BJ75" s="6" t="str">
        <f t="shared" si="2"/>
        <v>5VB_Fold_Median</v>
      </c>
      <c r="BK75" s="6" t="str">
        <f t="shared" si="3"/>
        <v>12VB_Fold_Median</v>
      </c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</row>
    <row r="76" ht="15.75" customHeight="1">
      <c r="A76" s="1" t="s">
        <v>170</v>
      </c>
      <c r="B76" s="17">
        <v>5.0</v>
      </c>
      <c r="C76" s="9" t="s">
        <v>85</v>
      </c>
      <c r="D76" s="9">
        <v>0.704444</v>
      </c>
      <c r="E76" s="9" t="s">
        <v>85</v>
      </c>
      <c r="F76" s="9" t="s">
        <v>85</v>
      </c>
      <c r="G76" s="30">
        <v>0.680000007</v>
      </c>
      <c r="H76" s="9" t="s">
        <v>85</v>
      </c>
      <c r="I76" s="9" t="s">
        <v>85</v>
      </c>
      <c r="J76" s="9">
        <v>0.833333</v>
      </c>
      <c r="K76" s="9" t="s">
        <v>85</v>
      </c>
      <c r="L76" s="9" t="s">
        <v>85</v>
      </c>
      <c r="M76" s="9">
        <v>0.817778</v>
      </c>
      <c r="N76" s="9" t="s">
        <v>85</v>
      </c>
      <c r="O76" s="9" t="s">
        <v>85</v>
      </c>
      <c r="P76" s="9">
        <v>0.753333</v>
      </c>
      <c r="Q76" s="9" t="s">
        <v>85</v>
      </c>
      <c r="R76" s="9" t="s">
        <v>85</v>
      </c>
      <c r="S76" s="9">
        <v>0.757778</v>
      </c>
      <c r="T76" s="9" t="s">
        <v>85</v>
      </c>
      <c r="U76" s="9" t="s">
        <v>85</v>
      </c>
      <c r="V76" s="9">
        <v>0.82</v>
      </c>
      <c r="W76" s="9" t="s">
        <v>85</v>
      </c>
      <c r="X76" s="9" t="s">
        <v>85</v>
      </c>
      <c r="Y76" s="9">
        <v>0.831111</v>
      </c>
      <c r="Z76" s="9" t="s">
        <v>85</v>
      </c>
      <c r="AA76" s="9" t="s">
        <v>85</v>
      </c>
      <c r="AB76" s="30">
        <v>0.762222</v>
      </c>
      <c r="AC76" s="9" t="s">
        <v>85</v>
      </c>
      <c r="AD76" s="9" t="s">
        <v>85</v>
      </c>
      <c r="AE76" s="30">
        <v>0.74</v>
      </c>
      <c r="AF76" s="9" t="s">
        <v>85</v>
      </c>
      <c r="AG76" s="9" t="s">
        <v>85</v>
      </c>
      <c r="AH76" s="9">
        <v>0.824444</v>
      </c>
      <c r="AI76" s="9" t="s">
        <v>85</v>
      </c>
      <c r="AJ76" s="9" t="s">
        <v>85</v>
      </c>
      <c r="AK76" s="9">
        <v>0.824444</v>
      </c>
      <c r="AL76" s="9" t="s">
        <v>85</v>
      </c>
      <c r="AM76" s="9" t="s">
        <v>85</v>
      </c>
      <c r="AN76" s="9">
        <v>0.74</v>
      </c>
      <c r="AO76" s="9" t="s">
        <v>85</v>
      </c>
      <c r="AP76" s="9" t="s">
        <v>85</v>
      </c>
      <c r="AQ76" s="30">
        <v>0.76</v>
      </c>
      <c r="AR76" s="9" t="s">
        <v>85</v>
      </c>
      <c r="AS76" s="9" t="s">
        <v>85</v>
      </c>
      <c r="AT76" s="9">
        <v>0.813333</v>
      </c>
      <c r="AU76" s="9" t="s">
        <v>85</v>
      </c>
      <c r="AV76" s="9" t="s">
        <v>85</v>
      </c>
      <c r="AW76" s="9">
        <v>0.844444</v>
      </c>
      <c r="AX76" s="9" t="s">
        <v>85</v>
      </c>
      <c r="AY76" s="9" t="s">
        <v>85</v>
      </c>
      <c r="AZ76" s="9">
        <v>0.724444</v>
      </c>
      <c r="BA76" s="9" t="s">
        <v>85</v>
      </c>
      <c r="BB76" s="9" t="s">
        <v>85</v>
      </c>
      <c r="BC76" s="30">
        <v>0.831111</v>
      </c>
      <c r="BD76" s="9" t="s">
        <v>85</v>
      </c>
      <c r="BE76" s="9" t="s">
        <v>85</v>
      </c>
      <c r="BF76" s="9">
        <v>0.784444</v>
      </c>
      <c r="BG76" s="9" t="s">
        <v>85</v>
      </c>
      <c r="BH76" s="6"/>
      <c r="BI76" s="6" t="str">
        <f t="shared" si="1"/>
        <v>12VB_Fold_Median</v>
      </c>
      <c r="BJ76" s="6" t="str">
        <f t="shared" si="2"/>
        <v>5V_Fold_Median</v>
      </c>
      <c r="BK76" s="6" t="str">
        <f t="shared" si="3"/>
        <v>8VB_Fold_Median</v>
      </c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</row>
    <row r="77" ht="15.75" customHeight="1">
      <c r="A77" s="1" t="s">
        <v>171</v>
      </c>
      <c r="B77" s="17">
        <v>2.0</v>
      </c>
      <c r="C77" s="9" t="s">
        <v>85</v>
      </c>
      <c r="D77" s="9">
        <v>0.5</v>
      </c>
      <c r="E77" s="9" t="s">
        <v>85</v>
      </c>
      <c r="F77" s="9" t="s">
        <v>85</v>
      </c>
      <c r="G77" s="30">
        <v>0.5</v>
      </c>
      <c r="H77" s="9" t="s">
        <v>85</v>
      </c>
      <c r="I77" s="9" t="s">
        <v>85</v>
      </c>
      <c r="J77" s="9">
        <v>0.5</v>
      </c>
      <c r="K77" s="9" t="s">
        <v>85</v>
      </c>
      <c r="L77" s="9" t="s">
        <v>85</v>
      </c>
      <c r="M77" s="9">
        <v>0.5</v>
      </c>
      <c r="N77" s="9" t="s">
        <v>85</v>
      </c>
      <c r="O77" s="9" t="s">
        <v>85</v>
      </c>
      <c r="P77" s="9">
        <v>0.5</v>
      </c>
      <c r="Q77" s="9" t="s">
        <v>85</v>
      </c>
      <c r="R77" s="9" t="s">
        <v>85</v>
      </c>
      <c r="S77" s="9">
        <v>0.538889</v>
      </c>
      <c r="T77" s="9" t="s">
        <v>85</v>
      </c>
      <c r="U77" s="9" t="s">
        <v>85</v>
      </c>
      <c r="V77" s="9">
        <v>0.505556</v>
      </c>
      <c r="W77" s="9" t="s">
        <v>85</v>
      </c>
      <c r="X77" s="9" t="s">
        <v>85</v>
      </c>
      <c r="Y77" s="9">
        <v>0.5</v>
      </c>
      <c r="Z77" s="9" t="s">
        <v>85</v>
      </c>
      <c r="AA77" s="9" t="s">
        <v>85</v>
      </c>
      <c r="AB77" s="30">
        <v>0.5</v>
      </c>
      <c r="AC77" s="9" t="s">
        <v>85</v>
      </c>
      <c r="AD77" s="9" t="s">
        <v>85</v>
      </c>
      <c r="AE77" s="30">
        <v>0.5</v>
      </c>
      <c r="AF77" s="9" t="s">
        <v>85</v>
      </c>
      <c r="AG77" s="9" t="s">
        <v>85</v>
      </c>
      <c r="AH77" s="9">
        <v>0.5</v>
      </c>
      <c r="AI77" s="9" t="s">
        <v>85</v>
      </c>
      <c r="AJ77" s="9" t="s">
        <v>85</v>
      </c>
      <c r="AK77" s="9">
        <v>0.5</v>
      </c>
      <c r="AL77" s="9" t="s">
        <v>85</v>
      </c>
      <c r="AM77" s="9" t="s">
        <v>85</v>
      </c>
      <c r="AN77" s="9">
        <v>0.5</v>
      </c>
      <c r="AO77" s="9" t="s">
        <v>85</v>
      </c>
      <c r="AP77" s="9" t="s">
        <v>85</v>
      </c>
      <c r="AQ77" s="30">
        <v>0.5</v>
      </c>
      <c r="AR77" s="9" t="s">
        <v>85</v>
      </c>
      <c r="AS77" s="9" t="s">
        <v>85</v>
      </c>
      <c r="AT77" s="9">
        <v>0.483333</v>
      </c>
      <c r="AU77" s="9" t="s">
        <v>85</v>
      </c>
      <c r="AV77" s="9" t="s">
        <v>85</v>
      </c>
      <c r="AW77" s="9">
        <v>0.5</v>
      </c>
      <c r="AX77" s="9" t="s">
        <v>85</v>
      </c>
      <c r="AY77" s="9" t="s">
        <v>85</v>
      </c>
      <c r="AZ77" s="9">
        <v>0.5</v>
      </c>
      <c r="BA77" s="9" t="s">
        <v>85</v>
      </c>
      <c r="BB77" s="9" t="s">
        <v>85</v>
      </c>
      <c r="BC77" s="30">
        <v>0.516667</v>
      </c>
      <c r="BD77" s="9" t="s">
        <v>85</v>
      </c>
      <c r="BE77" s="9" t="s">
        <v>85</v>
      </c>
      <c r="BF77" s="9">
        <v>0.5</v>
      </c>
      <c r="BG77" s="9" t="s">
        <v>85</v>
      </c>
      <c r="BH77" s="6"/>
      <c r="BI77" s="6" t="str">
        <f t="shared" si="1"/>
        <v>8BN_Fold_Median</v>
      </c>
      <c r="BJ77" s="6" t="str">
        <f t="shared" si="2"/>
        <v>20V_Fold_Median</v>
      </c>
      <c r="BK77" s="6" t="str">
        <f t="shared" si="3"/>
        <v>8V_Fold_Median</v>
      </c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</row>
    <row r="78" ht="15.75" customHeight="1">
      <c r="A78" s="1" t="s">
        <v>172</v>
      </c>
      <c r="B78" s="17">
        <v>60.0</v>
      </c>
      <c r="C78" s="9" t="s">
        <v>85</v>
      </c>
      <c r="D78" s="9">
        <v>0.37</v>
      </c>
      <c r="E78" s="9" t="s">
        <v>85</v>
      </c>
      <c r="F78" s="9" t="s">
        <v>85</v>
      </c>
      <c r="G78" s="30">
        <v>0.280000001</v>
      </c>
      <c r="H78" s="9" t="s">
        <v>85</v>
      </c>
      <c r="I78" s="9" t="s">
        <v>85</v>
      </c>
      <c r="J78" s="9">
        <v>0.468333</v>
      </c>
      <c r="K78" s="9" t="s">
        <v>85</v>
      </c>
      <c r="L78" s="9" t="s">
        <v>85</v>
      </c>
      <c r="M78" s="9">
        <v>0.308333</v>
      </c>
      <c r="N78" s="9" t="s">
        <v>85</v>
      </c>
      <c r="O78" s="9" t="s">
        <v>85</v>
      </c>
      <c r="P78" s="9">
        <v>0.455</v>
      </c>
      <c r="Q78" s="9" t="s">
        <v>85</v>
      </c>
      <c r="R78" s="9" t="s">
        <v>85</v>
      </c>
      <c r="S78" s="9">
        <v>0.416667</v>
      </c>
      <c r="T78" s="9" t="s">
        <v>85</v>
      </c>
      <c r="U78" s="9" t="s">
        <v>85</v>
      </c>
      <c r="V78" s="9">
        <v>0.35</v>
      </c>
      <c r="W78" s="9" t="s">
        <v>85</v>
      </c>
      <c r="X78" s="9" t="s">
        <v>85</v>
      </c>
      <c r="Y78" s="9">
        <v>0.273333</v>
      </c>
      <c r="Z78" s="9" t="s">
        <v>85</v>
      </c>
      <c r="AA78" s="9" t="s">
        <v>85</v>
      </c>
      <c r="AB78" s="30">
        <v>0.38</v>
      </c>
      <c r="AC78" s="9" t="s">
        <v>85</v>
      </c>
      <c r="AD78" s="9" t="s">
        <v>85</v>
      </c>
      <c r="AE78" s="30">
        <v>0.371667</v>
      </c>
      <c r="AF78" s="9" t="s">
        <v>85</v>
      </c>
      <c r="AG78" s="9" t="s">
        <v>85</v>
      </c>
      <c r="AH78" s="9">
        <v>0.346667</v>
      </c>
      <c r="AI78" s="9" t="s">
        <v>85</v>
      </c>
      <c r="AJ78" s="9" t="s">
        <v>85</v>
      </c>
      <c r="AK78" s="9">
        <v>0.328333</v>
      </c>
      <c r="AL78" s="9" t="s">
        <v>85</v>
      </c>
      <c r="AM78" s="9" t="s">
        <v>85</v>
      </c>
      <c r="AN78" s="9">
        <v>0.336667</v>
      </c>
      <c r="AO78" s="9" t="s">
        <v>85</v>
      </c>
      <c r="AP78" s="9" t="s">
        <v>85</v>
      </c>
      <c r="AQ78" s="30">
        <v>0.456667</v>
      </c>
      <c r="AR78" s="9" t="s">
        <v>85</v>
      </c>
      <c r="AS78" s="9" t="s">
        <v>85</v>
      </c>
      <c r="AT78" s="9">
        <v>0.356667</v>
      </c>
      <c r="AU78" s="9" t="s">
        <v>85</v>
      </c>
      <c r="AV78" s="9" t="s">
        <v>85</v>
      </c>
      <c r="AW78" s="9">
        <v>0.416667</v>
      </c>
      <c r="AX78" s="9" t="s">
        <v>85</v>
      </c>
      <c r="AY78" s="9" t="s">
        <v>85</v>
      </c>
      <c r="AZ78" s="9">
        <v>0.466667</v>
      </c>
      <c r="BA78" s="9" t="s">
        <v>85</v>
      </c>
      <c r="BB78" s="9" t="s">
        <v>85</v>
      </c>
      <c r="BC78" s="30">
        <v>0.46</v>
      </c>
      <c r="BD78" s="9" t="s">
        <v>85</v>
      </c>
      <c r="BE78" s="9" t="s">
        <v>85</v>
      </c>
      <c r="BF78" s="9">
        <v>0.285</v>
      </c>
      <c r="BG78" s="9" t="s">
        <v>85</v>
      </c>
      <c r="BH78" s="6"/>
      <c r="BI78" s="6" t="str">
        <f t="shared" si="1"/>
        <v>5V_Fold_Median</v>
      </c>
      <c r="BJ78" s="6" t="str">
        <f t="shared" si="2"/>
        <v>20B_Fold_Median</v>
      </c>
      <c r="BK78" s="6" t="str">
        <f t="shared" si="3"/>
        <v>20V_Fold_Median</v>
      </c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</row>
    <row r="79" ht="15.75" customHeight="1">
      <c r="A79" s="1" t="s">
        <v>173</v>
      </c>
      <c r="B79" s="17">
        <v>3.0</v>
      </c>
      <c r="C79" s="9" t="s">
        <v>85</v>
      </c>
      <c r="D79" s="9">
        <v>0.602667</v>
      </c>
      <c r="E79" s="9" t="s">
        <v>85</v>
      </c>
      <c r="F79" s="9" t="s">
        <v>85</v>
      </c>
      <c r="G79" s="30">
        <v>0.437333345</v>
      </c>
      <c r="H79" s="9" t="s">
        <v>85</v>
      </c>
      <c r="I79" s="9" t="s">
        <v>85</v>
      </c>
      <c r="J79" s="9">
        <v>0.786667</v>
      </c>
      <c r="K79" s="9" t="s">
        <v>85</v>
      </c>
      <c r="L79" s="9" t="s">
        <v>85</v>
      </c>
      <c r="M79" s="9">
        <v>0.773333</v>
      </c>
      <c r="N79" s="9" t="s">
        <v>85</v>
      </c>
      <c r="O79" s="9" t="s">
        <v>85</v>
      </c>
      <c r="P79" s="9">
        <v>0.653333</v>
      </c>
      <c r="Q79" s="9" t="s">
        <v>85</v>
      </c>
      <c r="R79" s="9" t="s">
        <v>85</v>
      </c>
      <c r="S79" s="9">
        <v>0.565333</v>
      </c>
      <c r="T79" s="9" t="s">
        <v>85</v>
      </c>
      <c r="U79" s="9" t="s">
        <v>85</v>
      </c>
      <c r="V79" s="9">
        <v>0.818667</v>
      </c>
      <c r="W79" s="9" t="s">
        <v>85</v>
      </c>
      <c r="X79" s="9" t="s">
        <v>85</v>
      </c>
      <c r="Y79" s="9">
        <v>0.792</v>
      </c>
      <c r="Z79" s="9" t="s">
        <v>85</v>
      </c>
      <c r="AA79" s="9" t="s">
        <v>85</v>
      </c>
      <c r="AB79" s="30">
        <v>0.634667</v>
      </c>
      <c r="AC79" s="9" t="s">
        <v>85</v>
      </c>
      <c r="AD79" s="9" t="s">
        <v>85</v>
      </c>
      <c r="AE79" s="30">
        <v>0.645333</v>
      </c>
      <c r="AF79" s="9" t="s">
        <v>85</v>
      </c>
      <c r="AG79" s="9" t="s">
        <v>85</v>
      </c>
      <c r="AH79" s="9">
        <v>0.805333</v>
      </c>
      <c r="AI79" s="9" t="s">
        <v>85</v>
      </c>
      <c r="AJ79" s="9" t="s">
        <v>85</v>
      </c>
      <c r="AK79" s="9">
        <v>0.802667</v>
      </c>
      <c r="AL79" s="9" t="s">
        <v>85</v>
      </c>
      <c r="AM79" s="9" t="s">
        <v>85</v>
      </c>
      <c r="AN79" s="9">
        <v>0.602667</v>
      </c>
      <c r="AO79" s="9" t="s">
        <v>85</v>
      </c>
      <c r="AP79" s="9" t="s">
        <v>85</v>
      </c>
      <c r="AQ79" s="30">
        <v>0.618667</v>
      </c>
      <c r="AR79" s="9" t="s">
        <v>85</v>
      </c>
      <c r="AS79" s="9" t="s">
        <v>85</v>
      </c>
      <c r="AT79" s="9">
        <v>0.792</v>
      </c>
      <c r="AU79" s="9" t="s">
        <v>85</v>
      </c>
      <c r="AV79" s="9" t="s">
        <v>85</v>
      </c>
      <c r="AW79" s="9">
        <v>0.784</v>
      </c>
      <c r="AX79" s="9" t="s">
        <v>85</v>
      </c>
      <c r="AY79" s="9" t="s">
        <v>85</v>
      </c>
      <c r="AZ79" s="9">
        <v>0.413333</v>
      </c>
      <c r="BA79" s="9" t="s">
        <v>85</v>
      </c>
      <c r="BB79" s="9" t="s">
        <v>85</v>
      </c>
      <c r="BC79" s="30">
        <v>0.773333</v>
      </c>
      <c r="BD79" s="9" t="s">
        <v>85</v>
      </c>
      <c r="BE79" s="9" t="s">
        <v>85</v>
      </c>
      <c r="BF79" s="9">
        <v>0.528</v>
      </c>
      <c r="BG79" s="9" t="s">
        <v>85</v>
      </c>
      <c r="BH79" s="6"/>
      <c r="BI79" s="6" t="str">
        <f t="shared" si="1"/>
        <v>8V_Fold_Median</v>
      </c>
      <c r="BJ79" s="6" t="str">
        <f t="shared" si="2"/>
        <v>10V_Fold_Median</v>
      </c>
      <c r="BK79" s="6" t="str">
        <f t="shared" si="3"/>
        <v>10VB_Fold_Median</v>
      </c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</row>
    <row r="80" ht="15.75" customHeight="1">
      <c r="A80" s="1" t="s">
        <v>174</v>
      </c>
      <c r="B80" s="17">
        <v>3.0</v>
      </c>
      <c r="C80" s="9" t="s">
        <v>85</v>
      </c>
      <c r="D80" s="9">
        <v>0.953333</v>
      </c>
      <c r="E80" s="9" t="s">
        <v>85</v>
      </c>
      <c r="F80" s="9" t="s">
        <v>85</v>
      </c>
      <c r="G80" s="30">
        <v>0.959999979</v>
      </c>
      <c r="H80" s="9" t="s">
        <v>85</v>
      </c>
      <c r="I80" s="9" t="s">
        <v>85</v>
      </c>
      <c r="J80" s="9">
        <v>0.906667</v>
      </c>
      <c r="K80" s="9" t="s">
        <v>85</v>
      </c>
      <c r="L80" s="9" t="s">
        <v>85</v>
      </c>
      <c r="M80" s="9">
        <v>0.933333</v>
      </c>
      <c r="N80" s="9" t="s">
        <v>85</v>
      </c>
      <c r="O80" s="9" t="s">
        <v>85</v>
      </c>
      <c r="P80" s="9">
        <v>0.926667</v>
      </c>
      <c r="Q80" s="9" t="s">
        <v>85</v>
      </c>
      <c r="R80" s="9" t="s">
        <v>85</v>
      </c>
      <c r="S80" s="9">
        <v>0.94</v>
      </c>
      <c r="T80" s="9" t="s">
        <v>85</v>
      </c>
      <c r="U80" s="9" t="s">
        <v>85</v>
      </c>
      <c r="V80" s="9">
        <v>0.333333</v>
      </c>
      <c r="W80" s="9" t="s">
        <v>85</v>
      </c>
      <c r="X80" s="9" t="s">
        <v>85</v>
      </c>
      <c r="Y80" s="9">
        <v>0.92</v>
      </c>
      <c r="Z80" s="9" t="s">
        <v>85</v>
      </c>
      <c r="AA80" s="9" t="s">
        <v>85</v>
      </c>
      <c r="AB80" s="30">
        <v>0.92</v>
      </c>
      <c r="AC80" s="9" t="s">
        <v>85</v>
      </c>
      <c r="AD80" s="9" t="s">
        <v>85</v>
      </c>
      <c r="AE80" s="30">
        <v>0.913333</v>
      </c>
      <c r="AF80" s="9" t="s">
        <v>85</v>
      </c>
      <c r="AG80" s="9" t="s">
        <v>85</v>
      </c>
      <c r="AH80" s="9">
        <v>0.333333</v>
      </c>
      <c r="AI80" s="9" t="s">
        <v>85</v>
      </c>
      <c r="AJ80" s="9" t="s">
        <v>85</v>
      </c>
      <c r="AK80" s="9">
        <v>0.92</v>
      </c>
      <c r="AL80" s="9" t="s">
        <v>85</v>
      </c>
      <c r="AM80" s="9" t="s">
        <v>85</v>
      </c>
      <c r="AN80" s="9">
        <v>0.926667</v>
      </c>
      <c r="AO80" s="9" t="s">
        <v>85</v>
      </c>
      <c r="AP80" s="9" t="s">
        <v>85</v>
      </c>
      <c r="AQ80" s="30">
        <v>0.92</v>
      </c>
      <c r="AR80" s="9" t="s">
        <v>85</v>
      </c>
      <c r="AS80" s="9" t="s">
        <v>85</v>
      </c>
      <c r="AT80" s="9">
        <v>0.333333</v>
      </c>
      <c r="AU80" s="9" t="s">
        <v>85</v>
      </c>
      <c r="AV80" s="9" t="s">
        <v>85</v>
      </c>
      <c r="AW80" s="9">
        <v>0.94</v>
      </c>
      <c r="AX80" s="9" t="s">
        <v>85</v>
      </c>
      <c r="AY80" s="9" t="s">
        <v>85</v>
      </c>
      <c r="AZ80" s="9">
        <v>0.726667</v>
      </c>
      <c r="BA80" s="9" t="s">
        <v>85</v>
      </c>
      <c r="BB80" s="9" t="s">
        <v>85</v>
      </c>
      <c r="BC80" s="30">
        <v>0.813333</v>
      </c>
      <c r="BD80" s="9" t="s">
        <v>85</v>
      </c>
      <c r="BE80" s="9" t="s">
        <v>85</v>
      </c>
      <c r="BF80" s="9">
        <v>0.9</v>
      </c>
      <c r="BG80" s="9" t="s">
        <v>85</v>
      </c>
      <c r="BH80" s="6"/>
      <c r="BI80" s="6" t="str">
        <f t="shared" si="1"/>
        <v>5BN_Fold_Median</v>
      </c>
      <c r="BJ80" s="6" t="str">
        <f t="shared" si="2"/>
        <v>5B_Fold_Median</v>
      </c>
      <c r="BK80" s="6" t="str">
        <f t="shared" si="3"/>
        <v>8BN_Fold_Median</v>
      </c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</row>
    <row r="81" ht="15.75" customHeight="1">
      <c r="A81" s="1" t="s">
        <v>175</v>
      </c>
      <c r="B81" s="17">
        <v>2.0</v>
      </c>
      <c r="C81" s="9" t="s">
        <v>85</v>
      </c>
      <c r="D81" s="9">
        <v>0.494176</v>
      </c>
      <c r="E81" s="9" t="s">
        <v>85</v>
      </c>
      <c r="F81" s="9" t="s">
        <v>85</v>
      </c>
      <c r="G81" s="30">
        <v>0.555740416</v>
      </c>
      <c r="H81" s="9" t="s">
        <v>85</v>
      </c>
      <c r="I81" s="9" t="s">
        <v>85</v>
      </c>
      <c r="J81" s="9">
        <v>0.429285</v>
      </c>
      <c r="K81" s="9" t="s">
        <v>85</v>
      </c>
      <c r="L81" s="9" t="s">
        <v>85</v>
      </c>
      <c r="M81" s="9">
        <v>0.429285</v>
      </c>
      <c r="N81" s="9" t="s">
        <v>85</v>
      </c>
      <c r="O81" s="9" t="s">
        <v>85</v>
      </c>
      <c r="P81" s="9">
        <v>0.464226</v>
      </c>
      <c r="Q81" s="9" t="s">
        <v>85</v>
      </c>
      <c r="R81" s="9" t="s">
        <v>85</v>
      </c>
      <c r="S81" s="9">
        <v>0.570715</v>
      </c>
      <c r="T81" s="9" t="s">
        <v>85</v>
      </c>
      <c r="U81" s="9" t="s">
        <v>85</v>
      </c>
      <c r="V81" s="9">
        <v>0.429285</v>
      </c>
      <c r="W81" s="9" t="s">
        <v>85</v>
      </c>
      <c r="X81" s="9" t="s">
        <v>85</v>
      </c>
      <c r="Y81" s="9">
        <v>0.487521</v>
      </c>
      <c r="Z81" s="9" t="s">
        <v>85</v>
      </c>
      <c r="AA81" s="9" t="s">
        <v>85</v>
      </c>
      <c r="AB81" s="30">
        <v>0.454243</v>
      </c>
      <c r="AC81" s="9" t="s">
        <v>85</v>
      </c>
      <c r="AD81" s="9" t="s">
        <v>85</v>
      </c>
      <c r="AE81" s="30">
        <v>0.442596</v>
      </c>
      <c r="AF81" s="9" t="s">
        <v>85</v>
      </c>
      <c r="AG81" s="9" t="s">
        <v>85</v>
      </c>
      <c r="AH81" s="9">
        <v>0.429285</v>
      </c>
      <c r="AI81" s="9" t="s">
        <v>85</v>
      </c>
      <c r="AJ81" s="9" t="s">
        <v>85</v>
      </c>
      <c r="AK81" s="9">
        <v>0.462562</v>
      </c>
      <c r="AL81" s="9" t="s">
        <v>85</v>
      </c>
      <c r="AM81" s="9" t="s">
        <v>85</v>
      </c>
      <c r="AN81" s="9">
        <v>0.487521</v>
      </c>
      <c r="AO81" s="9" t="s">
        <v>85</v>
      </c>
      <c r="AP81" s="9" t="s">
        <v>85</v>
      </c>
      <c r="AQ81" s="30">
        <v>0.459235</v>
      </c>
      <c r="AR81" s="9" t="s">
        <v>85</v>
      </c>
      <c r="AS81" s="9" t="s">
        <v>85</v>
      </c>
      <c r="AT81" s="9">
        <v>0.638935</v>
      </c>
      <c r="AU81" s="9" t="s">
        <v>85</v>
      </c>
      <c r="AV81" s="9" t="s">
        <v>85</v>
      </c>
      <c r="AW81" s="9">
        <v>0.497504</v>
      </c>
      <c r="AX81" s="9" t="s">
        <v>85</v>
      </c>
      <c r="AY81" s="9" t="s">
        <v>85</v>
      </c>
      <c r="AZ81" s="9">
        <v>0.459235</v>
      </c>
      <c r="BA81" s="9" t="s">
        <v>85</v>
      </c>
      <c r="BB81" s="9" t="s">
        <v>85</v>
      </c>
      <c r="BC81" s="30">
        <v>0.434276</v>
      </c>
      <c r="BD81" s="9" t="s">
        <v>85</v>
      </c>
      <c r="BE81" s="9" t="s">
        <v>85</v>
      </c>
      <c r="BF81" s="9">
        <v>0.727121</v>
      </c>
      <c r="BG81" s="9" t="s">
        <v>85</v>
      </c>
      <c r="BH81" s="6"/>
      <c r="BI81" s="6" t="str">
        <f t="shared" si="1"/>
        <v>De_Fold_Median</v>
      </c>
      <c r="BJ81" s="6" t="str">
        <f t="shared" si="2"/>
        <v>12V_Fold_Median</v>
      </c>
      <c r="BK81" s="6" t="str">
        <f t="shared" si="3"/>
        <v>8BN_Fold_Median</v>
      </c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ht="15.75" customHeight="1">
      <c r="A82" s="1" t="s">
        <v>176</v>
      </c>
      <c r="B82" s="17">
        <v>2.0</v>
      </c>
      <c r="C82" s="9" t="s">
        <v>85</v>
      </c>
      <c r="D82" s="9">
        <v>0.735572</v>
      </c>
      <c r="E82" s="9" t="s">
        <v>85</v>
      </c>
      <c r="F82" s="9" t="s">
        <v>85</v>
      </c>
      <c r="G82" s="30">
        <v>0.731374621</v>
      </c>
      <c r="H82" s="9" t="s">
        <v>85</v>
      </c>
      <c r="I82" s="9" t="s">
        <v>85</v>
      </c>
      <c r="J82" s="9">
        <v>0.758657</v>
      </c>
      <c r="K82" s="9" t="s">
        <v>85</v>
      </c>
      <c r="L82" s="9" t="s">
        <v>85</v>
      </c>
      <c r="M82" s="9">
        <v>0.759706</v>
      </c>
      <c r="N82" s="9" t="s">
        <v>85</v>
      </c>
      <c r="O82" s="9" t="s">
        <v>85</v>
      </c>
      <c r="P82" s="9">
        <v>0.777545</v>
      </c>
      <c r="Q82" s="9" t="s">
        <v>85</v>
      </c>
      <c r="R82" s="9" t="s">
        <v>85</v>
      </c>
      <c r="S82" s="9">
        <v>0.774397</v>
      </c>
      <c r="T82" s="9" t="s">
        <v>85</v>
      </c>
      <c r="U82" s="9" t="s">
        <v>85</v>
      </c>
      <c r="V82" s="9">
        <v>0.76915</v>
      </c>
      <c r="W82" s="9" t="s">
        <v>85</v>
      </c>
      <c r="X82" s="9" t="s">
        <v>85</v>
      </c>
      <c r="Y82" s="9">
        <v>0.770199</v>
      </c>
      <c r="Z82" s="9" t="s">
        <v>85</v>
      </c>
      <c r="AA82" s="9" t="s">
        <v>85</v>
      </c>
      <c r="AB82" s="30">
        <v>0.764953</v>
      </c>
      <c r="AC82" s="9" t="s">
        <v>85</v>
      </c>
      <c r="AD82" s="9" t="s">
        <v>85</v>
      </c>
      <c r="AE82" s="30">
        <v>0.767051</v>
      </c>
      <c r="AF82" s="9" t="s">
        <v>85</v>
      </c>
      <c r="AG82" s="9" t="s">
        <v>85</v>
      </c>
      <c r="AH82" s="9">
        <v>0.755509</v>
      </c>
      <c r="AI82" s="9" t="s">
        <v>85</v>
      </c>
      <c r="AJ82" s="9" t="s">
        <v>85</v>
      </c>
      <c r="AK82" s="9">
        <v>0.758657</v>
      </c>
      <c r="AL82" s="9" t="s">
        <v>85</v>
      </c>
      <c r="AM82" s="9" t="s">
        <v>85</v>
      </c>
      <c r="AN82" s="9">
        <v>0.786988</v>
      </c>
      <c r="AO82" s="9" t="s">
        <v>85</v>
      </c>
      <c r="AP82" s="9" t="s">
        <v>85</v>
      </c>
      <c r="AQ82" s="30">
        <v>0.781742</v>
      </c>
      <c r="AR82" s="9" t="s">
        <v>85</v>
      </c>
      <c r="AS82" s="9" t="s">
        <v>85</v>
      </c>
      <c r="AT82" s="9">
        <v>0.786988</v>
      </c>
      <c r="AU82" s="9" t="s">
        <v>85</v>
      </c>
      <c r="AV82" s="9" t="s">
        <v>85</v>
      </c>
      <c r="AW82" s="9">
        <v>0.792235</v>
      </c>
      <c r="AX82" s="9" t="s">
        <v>85</v>
      </c>
      <c r="AY82" s="9" t="s">
        <v>85</v>
      </c>
      <c r="AZ82" s="9">
        <v>0.767051</v>
      </c>
      <c r="BA82" s="9" t="s">
        <v>85</v>
      </c>
      <c r="BB82" s="9" t="s">
        <v>85</v>
      </c>
      <c r="BC82" s="30">
        <v>0.780693</v>
      </c>
      <c r="BD82" s="9" t="s">
        <v>85</v>
      </c>
      <c r="BE82" s="9" t="s">
        <v>85</v>
      </c>
      <c r="BF82" s="9">
        <v>0.81532</v>
      </c>
      <c r="BG82" s="9" t="s">
        <v>85</v>
      </c>
      <c r="BH82" s="6"/>
      <c r="BI82" s="6" t="str">
        <f t="shared" si="1"/>
        <v>De_Fold_Median</v>
      </c>
      <c r="BJ82" s="6" t="str">
        <f t="shared" si="2"/>
        <v>12VB_Fold_Median</v>
      </c>
      <c r="BK82" s="6" t="str">
        <f t="shared" si="3"/>
        <v>12B_Fold_Median</v>
      </c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</row>
    <row r="83" ht="15.75" customHeight="1">
      <c r="A83" s="1" t="s">
        <v>177</v>
      </c>
      <c r="B83" s="17">
        <v>3.0</v>
      </c>
      <c r="C83" s="9" t="s">
        <v>85</v>
      </c>
      <c r="D83" s="9">
        <v>0.918893</v>
      </c>
      <c r="E83" s="9" t="s">
        <v>85</v>
      </c>
      <c r="F83" s="9" t="s">
        <v>85</v>
      </c>
      <c r="G83" s="30">
        <v>0.919014096</v>
      </c>
      <c r="H83" s="9" t="s">
        <v>85</v>
      </c>
      <c r="I83" s="9" t="s">
        <v>85</v>
      </c>
      <c r="J83" s="9">
        <v>0.930063</v>
      </c>
      <c r="K83" s="9" t="s">
        <v>85</v>
      </c>
      <c r="L83" s="9" t="s">
        <v>85</v>
      </c>
      <c r="M83" s="9">
        <v>0.923992</v>
      </c>
      <c r="N83" s="9" t="s">
        <v>85</v>
      </c>
      <c r="O83" s="9" t="s">
        <v>85</v>
      </c>
      <c r="P83" s="9">
        <v>0.929335</v>
      </c>
      <c r="Q83" s="9" t="s">
        <v>85</v>
      </c>
      <c r="R83" s="9" t="s">
        <v>85</v>
      </c>
      <c r="S83" s="9">
        <v>0.927635</v>
      </c>
      <c r="T83" s="9" t="s">
        <v>85</v>
      </c>
      <c r="U83" s="9" t="s">
        <v>85</v>
      </c>
      <c r="V83" s="9">
        <v>0.927635</v>
      </c>
      <c r="W83" s="9" t="s">
        <v>85</v>
      </c>
      <c r="X83" s="9" t="s">
        <v>85</v>
      </c>
      <c r="Y83" s="9">
        <v>0.92812</v>
      </c>
      <c r="Z83" s="9" t="s">
        <v>85</v>
      </c>
      <c r="AA83" s="9" t="s">
        <v>85</v>
      </c>
      <c r="AB83" s="30">
        <v>0.922292</v>
      </c>
      <c r="AC83" s="9" t="s">
        <v>85</v>
      </c>
      <c r="AD83" s="9" t="s">
        <v>85</v>
      </c>
      <c r="AE83" s="30">
        <v>0.924964</v>
      </c>
      <c r="AF83" s="9" t="s">
        <v>85</v>
      </c>
      <c r="AG83" s="9" t="s">
        <v>85</v>
      </c>
      <c r="AH83" s="9">
        <v>0.932734</v>
      </c>
      <c r="AI83" s="9" t="s">
        <v>85</v>
      </c>
      <c r="AJ83" s="9" t="s">
        <v>85</v>
      </c>
      <c r="AK83" s="9">
        <v>0.932491</v>
      </c>
      <c r="AL83" s="9" t="s">
        <v>85</v>
      </c>
      <c r="AM83" s="9" t="s">
        <v>85</v>
      </c>
      <c r="AN83" s="9">
        <v>0.931642</v>
      </c>
      <c r="AO83" s="9" t="s">
        <v>85</v>
      </c>
      <c r="AP83" s="9" t="s">
        <v>85</v>
      </c>
      <c r="AQ83" s="30">
        <v>0.926906</v>
      </c>
      <c r="AR83" s="9" t="s">
        <v>85</v>
      </c>
      <c r="AS83" s="9" t="s">
        <v>85</v>
      </c>
      <c r="AT83" s="9">
        <v>0.936863</v>
      </c>
      <c r="AU83" s="9" t="s">
        <v>85</v>
      </c>
      <c r="AV83" s="9" t="s">
        <v>85</v>
      </c>
      <c r="AW83" s="9">
        <v>0.940748</v>
      </c>
      <c r="AX83" s="9" t="s">
        <v>85</v>
      </c>
      <c r="AY83" s="9" t="s">
        <v>85</v>
      </c>
      <c r="AZ83" s="9">
        <v>0.93407</v>
      </c>
      <c r="BA83" s="9" t="s">
        <v>85</v>
      </c>
      <c r="BB83" s="9" t="s">
        <v>85</v>
      </c>
      <c r="BC83" s="30">
        <v>0.946576</v>
      </c>
      <c r="BD83" s="9" t="s">
        <v>85</v>
      </c>
      <c r="BE83" s="9" t="s">
        <v>85</v>
      </c>
      <c r="BF83" s="9">
        <v>0.894245</v>
      </c>
      <c r="BG83" s="9" t="s">
        <v>85</v>
      </c>
      <c r="BH83" s="6"/>
      <c r="BI83" s="6" t="str">
        <f t="shared" si="1"/>
        <v>20V_Fold_Median</v>
      </c>
      <c r="BJ83" s="6" t="str">
        <f t="shared" si="2"/>
        <v>12VB_Fold_Median</v>
      </c>
      <c r="BK83" s="6" t="str">
        <f t="shared" si="3"/>
        <v>12V_Fold_Median</v>
      </c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</row>
    <row r="84" ht="15.75" customHeight="1">
      <c r="A84" s="1" t="s">
        <v>178</v>
      </c>
      <c r="B84" s="17">
        <v>2.0</v>
      </c>
      <c r="C84" s="9" t="s">
        <v>85</v>
      </c>
      <c r="D84" s="9">
        <v>0.9</v>
      </c>
      <c r="E84" s="9" t="s">
        <v>85</v>
      </c>
      <c r="F84" s="9" t="s">
        <v>85</v>
      </c>
      <c r="G84" s="30">
        <v>0.891891897</v>
      </c>
      <c r="H84" s="9" t="s">
        <v>85</v>
      </c>
      <c r="I84" s="9" t="s">
        <v>85</v>
      </c>
      <c r="J84" s="9">
        <v>0.908108</v>
      </c>
      <c r="K84" s="9" t="s">
        <v>85</v>
      </c>
      <c r="L84" s="9" t="s">
        <v>85</v>
      </c>
      <c r="M84" s="9">
        <v>0.905405</v>
      </c>
      <c r="N84" s="9" t="s">
        <v>85</v>
      </c>
      <c r="O84" s="9" t="s">
        <v>85</v>
      </c>
      <c r="P84" s="9">
        <v>0.894595</v>
      </c>
      <c r="Q84" s="9" t="s">
        <v>85</v>
      </c>
      <c r="R84" s="9" t="s">
        <v>85</v>
      </c>
      <c r="S84" s="9">
        <v>0.897297</v>
      </c>
      <c r="T84" s="9" t="s">
        <v>85</v>
      </c>
      <c r="U84" s="9" t="s">
        <v>85</v>
      </c>
      <c r="V84" s="9">
        <v>0.886486</v>
      </c>
      <c r="W84" s="9" t="s">
        <v>85</v>
      </c>
      <c r="X84" s="9" t="s">
        <v>85</v>
      </c>
      <c r="Y84" s="9">
        <v>0.905405</v>
      </c>
      <c r="Z84" s="9" t="s">
        <v>85</v>
      </c>
      <c r="AA84" s="9" t="s">
        <v>85</v>
      </c>
      <c r="AB84" s="30">
        <v>0.910811</v>
      </c>
      <c r="AC84" s="9" t="s">
        <v>85</v>
      </c>
      <c r="AD84" s="9" t="s">
        <v>85</v>
      </c>
      <c r="AE84" s="30">
        <v>0.908108</v>
      </c>
      <c r="AF84" s="9" t="s">
        <v>85</v>
      </c>
      <c r="AG84" s="9" t="s">
        <v>85</v>
      </c>
      <c r="AH84" s="9">
        <v>0.910811</v>
      </c>
      <c r="AI84" s="9" t="s">
        <v>85</v>
      </c>
      <c r="AJ84" s="9" t="s">
        <v>85</v>
      </c>
      <c r="AK84" s="9">
        <v>0.918919</v>
      </c>
      <c r="AL84" s="9" t="s">
        <v>85</v>
      </c>
      <c r="AM84" s="9" t="s">
        <v>85</v>
      </c>
      <c r="AN84" s="9">
        <v>0.913514</v>
      </c>
      <c r="AO84" s="9" t="s">
        <v>85</v>
      </c>
      <c r="AP84" s="9" t="s">
        <v>85</v>
      </c>
      <c r="AQ84" s="30">
        <v>0.910811</v>
      </c>
      <c r="AR84" s="9" t="s">
        <v>85</v>
      </c>
      <c r="AS84" s="9" t="s">
        <v>85</v>
      </c>
      <c r="AT84" s="9">
        <v>0.92973</v>
      </c>
      <c r="AU84" s="9" t="s">
        <v>85</v>
      </c>
      <c r="AV84" s="9" t="s">
        <v>85</v>
      </c>
      <c r="AW84" s="9">
        <v>0.932432</v>
      </c>
      <c r="AX84" s="9" t="s">
        <v>85</v>
      </c>
      <c r="AY84" s="9" t="s">
        <v>85</v>
      </c>
      <c r="AZ84" s="9">
        <v>0.921622</v>
      </c>
      <c r="BA84" s="9" t="s">
        <v>85</v>
      </c>
      <c r="BB84" s="9" t="s">
        <v>85</v>
      </c>
      <c r="BC84" s="30">
        <v>0.924324</v>
      </c>
      <c r="BD84" s="9" t="s">
        <v>85</v>
      </c>
      <c r="BE84" s="9" t="s">
        <v>85</v>
      </c>
      <c r="BF84" s="9">
        <v>0.945946</v>
      </c>
      <c r="BG84" s="9" t="s">
        <v>85</v>
      </c>
      <c r="BH84" s="6"/>
      <c r="BI84" s="6" t="str">
        <f t="shared" si="1"/>
        <v>De_Fold_Median</v>
      </c>
      <c r="BJ84" s="6" t="str">
        <f t="shared" si="2"/>
        <v>12VB_Fold_Median</v>
      </c>
      <c r="BK84" s="6" t="str">
        <f t="shared" si="3"/>
        <v>12V_Fold_Median</v>
      </c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</row>
    <row r="85" ht="15.75" customHeight="1">
      <c r="A85" s="1" t="s">
        <v>179</v>
      </c>
      <c r="B85" s="17">
        <v>15.0</v>
      </c>
      <c r="C85" s="9" t="s">
        <v>85</v>
      </c>
      <c r="D85" s="9">
        <v>0.6848</v>
      </c>
      <c r="E85" s="9" t="s">
        <v>85</v>
      </c>
      <c r="F85" s="9" t="s">
        <v>85</v>
      </c>
      <c r="G85" s="30">
        <v>0.673600018</v>
      </c>
      <c r="H85" s="9" t="s">
        <v>85</v>
      </c>
      <c r="I85" s="9" t="s">
        <v>85</v>
      </c>
      <c r="J85" s="9">
        <v>0.696</v>
      </c>
      <c r="K85" s="9" t="s">
        <v>85</v>
      </c>
      <c r="L85" s="9" t="s">
        <v>85</v>
      </c>
      <c r="M85" s="9">
        <v>0.6208</v>
      </c>
      <c r="N85" s="9" t="s">
        <v>85</v>
      </c>
      <c r="O85" s="9" t="s">
        <v>85</v>
      </c>
      <c r="P85" s="9">
        <v>0.7824</v>
      </c>
      <c r="Q85" s="9" t="s">
        <v>85</v>
      </c>
      <c r="R85" s="9" t="s">
        <v>85</v>
      </c>
      <c r="S85" s="9">
        <v>0.7488</v>
      </c>
      <c r="T85" s="9" t="s">
        <v>85</v>
      </c>
      <c r="U85" s="9" t="s">
        <v>85</v>
      </c>
      <c r="V85" s="9">
        <v>0.768</v>
      </c>
      <c r="W85" s="9" t="s">
        <v>85</v>
      </c>
      <c r="X85" s="9" t="s">
        <v>85</v>
      </c>
      <c r="Y85" s="9">
        <v>0.6256</v>
      </c>
      <c r="Z85" s="9" t="s">
        <v>85</v>
      </c>
      <c r="AA85" s="9" t="s">
        <v>85</v>
      </c>
      <c r="AB85" s="30">
        <v>0.808</v>
      </c>
      <c r="AC85" s="9" t="s">
        <v>85</v>
      </c>
      <c r="AD85" s="9" t="s">
        <v>85</v>
      </c>
      <c r="AE85" s="30">
        <v>0.7728</v>
      </c>
      <c r="AF85" s="9" t="s">
        <v>85</v>
      </c>
      <c r="AG85" s="9" t="s">
        <v>85</v>
      </c>
      <c r="AH85" s="9">
        <v>0.7488</v>
      </c>
      <c r="AI85" s="9" t="s">
        <v>85</v>
      </c>
      <c r="AJ85" s="9" t="s">
        <v>85</v>
      </c>
      <c r="AK85" s="9">
        <v>0.68</v>
      </c>
      <c r="AL85" s="9" t="s">
        <v>85</v>
      </c>
      <c r="AM85" s="9" t="s">
        <v>85</v>
      </c>
      <c r="AN85" s="9">
        <v>0.7648</v>
      </c>
      <c r="AO85" s="9" t="s">
        <v>85</v>
      </c>
      <c r="AP85" s="9" t="s">
        <v>85</v>
      </c>
      <c r="AQ85" s="30">
        <v>0.7904</v>
      </c>
      <c r="AR85" s="9" t="s">
        <v>85</v>
      </c>
      <c r="AS85" s="9" t="s">
        <v>85</v>
      </c>
      <c r="AT85" s="9">
        <v>0.704</v>
      </c>
      <c r="AU85" s="9" t="s">
        <v>85</v>
      </c>
      <c r="AV85" s="9" t="s">
        <v>85</v>
      </c>
      <c r="AW85" s="9">
        <v>0.7776</v>
      </c>
      <c r="AX85" s="9" t="s">
        <v>85</v>
      </c>
      <c r="AY85" s="9" t="s">
        <v>85</v>
      </c>
      <c r="AZ85" s="9">
        <v>0.7536</v>
      </c>
      <c r="BA85" s="9" t="s">
        <v>85</v>
      </c>
      <c r="BB85" s="9" t="s">
        <v>85</v>
      </c>
      <c r="BC85" s="30">
        <v>0.6752</v>
      </c>
      <c r="BD85" s="9" t="s">
        <v>85</v>
      </c>
      <c r="BE85" s="9" t="s">
        <v>85</v>
      </c>
      <c r="BF85" s="9">
        <v>0.6064</v>
      </c>
      <c r="BG85" s="9" t="s">
        <v>85</v>
      </c>
      <c r="BH85" s="6"/>
      <c r="BI85" s="6" t="str">
        <f t="shared" si="1"/>
        <v>10B_Fold_Median</v>
      </c>
      <c r="BJ85" s="6" t="str">
        <f t="shared" si="2"/>
        <v>12BN_Fold_Median</v>
      </c>
      <c r="BK85" s="6" t="str">
        <f t="shared" si="3"/>
        <v>8B_Fold_Median</v>
      </c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</row>
    <row r="86" ht="15.75" customHeight="1">
      <c r="A86" s="1" t="s">
        <v>180</v>
      </c>
      <c r="B86" s="17">
        <v>6.0</v>
      </c>
      <c r="C86" s="9" t="s">
        <v>85</v>
      </c>
      <c r="D86" s="9">
        <v>0.744724</v>
      </c>
      <c r="E86" s="9" t="s">
        <v>85</v>
      </c>
      <c r="F86" s="9" t="s">
        <v>85</v>
      </c>
      <c r="G86" s="30">
        <v>0.703517616</v>
      </c>
      <c r="H86" s="9" t="s">
        <v>85</v>
      </c>
      <c r="I86" s="9" t="s">
        <v>85</v>
      </c>
      <c r="J86" s="9">
        <v>0.767839</v>
      </c>
      <c r="K86" s="9" t="s">
        <v>85</v>
      </c>
      <c r="L86" s="9" t="s">
        <v>85</v>
      </c>
      <c r="M86" s="9">
        <v>0.78794</v>
      </c>
      <c r="N86" s="9" t="s">
        <v>85</v>
      </c>
      <c r="O86" s="9" t="s">
        <v>85</v>
      </c>
      <c r="P86" s="9">
        <v>0.745729</v>
      </c>
      <c r="Q86" s="9" t="s">
        <v>85</v>
      </c>
      <c r="R86" s="9" t="s">
        <v>85</v>
      </c>
      <c r="S86" s="9">
        <v>0.742714</v>
      </c>
      <c r="T86" s="9" t="s">
        <v>85</v>
      </c>
      <c r="U86" s="9" t="s">
        <v>85</v>
      </c>
      <c r="V86" s="9">
        <v>0.78191</v>
      </c>
      <c r="W86" s="9" t="s">
        <v>85</v>
      </c>
      <c r="X86" s="9" t="s">
        <v>85</v>
      </c>
      <c r="Y86" s="9">
        <v>0.722613</v>
      </c>
      <c r="Z86" s="9" t="s">
        <v>85</v>
      </c>
      <c r="AA86" s="9" t="s">
        <v>85</v>
      </c>
      <c r="AB86" s="30">
        <v>0.747739</v>
      </c>
      <c r="AC86" s="9" t="s">
        <v>85</v>
      </c>
      <c r="AD86" s="9" t="s">
        <v>85</v>
      </c>
      <c r="AE86" s="30">
        <v>0.728643</v>
      </c>
      <c r="AF86" s="9" t="s">
        <v>85</v>
      </c>
      <c r="AG86" s="9" t="s">
        <v>85</v>
      </c>
      <c r="AH86" s="9">
        <v>0.736683</v>
      </c>
      <c r="AI86" s="9" t="s">
        <v>85</v>
      </c>
      <c r="AJ86" s="9" t="s">
        <v>85</v>
      </c>
      <c r="AK86" s="9">
        <v>0.777889</v>
      </c>
      <c r="AL86" s="9" t="s">
        <v>85</v>
      </c>
      <c r="AM86" s="9" t="s">
        <v>85</v>
      </c>
      <c r="AN86" s="9">
        <v>0.686432</v>
      </c>
      <c r="AO86" s="9" t="s">
        <v>85</v>
      </c>
      <c r="AP86" s="9" t="s">
        <v>85</v>
      </c>
      <c r="AQ86" s="30">
        <v>0.712563</v>
      </c>
      <c r="AR86" s="9" t="s">
        <v>85</v>
      </c>
      <c r="AS86" s="9" t="s">
        <v>85</v>
      </c>
      <c r="AT86" s="9">
        <v>0.750754</v>
      </c>
      <c r="AU86" s="9" t="s">
        <v>85</v>
      </c>
      <c r="AV86" s="9" t="s">
        <v>85</v>
      </c>
      <c r="AW86" s="9">
        <v>0.722613</v>
      </c>
      <c r="AX86" s="9" t="s">
        <v>85</v>
      </c>
      <c r="AY86" s="9" t="s">
        <v>85</v>
      </c>
      <c r="AZ86" s="9">
        <v>0.619096</v>
      </c>
      <c r="BA86" s="9" t="s">
        <v>85</v>
      </c>
      <c r="BB86" s="9" t="s">
        <v>85</v>
      </c>
      <c r="BC86" s="30">
        <v>0.695477</v>
      </c>
      <c r="BD86" s="9" t="s">
        <v>85</v>
      </c>
      <c r="BE86" s="9" t="s">
        <v>85</v>
      </c>
      <c r="BF86" s="9">
        <v>0.662312</v>
      </c>
      <c r="BG86" s="9" t="s">
        <v>85</v>
      </c>
      <c r="BH86" s="6"/>
      <c r="BI86" s="6" t="str">
        <f t="shared" si="1"/>
        <v>5VB_Fold_Median</v>
      </c>
      <c r="BJ86" s="6" t="str">
        <f t="shared" si="2"/>
        <v>8V_Fold_Median</v>
      </c>
      <c r="BK86" s="6" t="str">
        <f t="shared" si="3"/>
        <v>10VB_Fold_Median</v>
      </c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</row>
    <row r="87" ht="15.75" customHeight="1">
      <c r="A87" s="1" t="s">
        <v>181</v>
      </c>
      <c r="B87" s="17">
        <v>6.0</v>
      </c>
      <c r="C87" s="9" t="s">
        <v>85</v>
      </c>
      <c r="D87" s="9">
        <v>0.963333</v>
      </c>
      <c r="E87" s="9" t="s">
        <v>85</v>
      </c>
      <c r="F87" s="9" t="s">
        <v>85</v>
      </c>
      <c r="G87" s="30">
        <v>0.956666648</v>
      </c>
      <c r="H87" s="9" t="s">
        <v>85</v>
      </c>
      <c r="I87" s="9" t="s">
        <v>85</v>
      </c>
      <c r="J87" s="9">
        <v>0.94</v>
      </c>
      <c r="K87" s="9" t="s">
        <v>85</v>
      </c>
      <c r="L87" s="9" t="s">
        <v>85</v>
      </c>
      <c r="M87" s="9">
        <v>0.933333</v>
      </c>
      <c r="N87" s="9" t="s">
        <v>85</v>
      </c>
      <c r="O87" s="9" t="s">
        <v>85</v>
      </c>
      <c r="P87" s="9">
        <v>0.956667</v>
      </c>
      <c r="Q87" s="9" t="s">
        <v>85</v>
      </c>
      <c r="R87" s="9" t="s">
        <v>85</v>
      </c>
      <c r="S87" s="9">
        <v>0.953333</v>
      </c>
      <c r="T87" s="9" t="s">
        <v>85</v>
      </c>
      <c r="U87" s="9" t="s">
        <v>85</v>
      </c>
      <c r="V87" s="9">
        <v>0.923333</v>
      </c>
      <c r="W87" s="9" t="s">
        <v>85</v>
      </c>
      <c r="X87" s="9" t="s">
        <v>85</v>
      </c>
      <c r="Y87" s="9">
        <v>0.923333</v>
      </c>
      <c r="Z87" s="9" t="s">
        <v>85</v>
      </c>
      <c r="AA87" s="9" t="s">
        <v>85</v>
      </c>
      <c r="AB87" s="30">
        <v>0.953333</v>
      </c>
      <c r="AC87" s="9" t="s">
        <v>85</v>
      </c>
      <c r="AD87" s="9" t="s">
        <v>85</v>
      </c>
      <c r="AE87" s="30">
        <v>0.953333</v>
      </c>
      <c r="AF87" s="9" t="s">
        <v>85</v>
      </c>
      <c r="AG87" s="9" t="s">
        <v>85</v>
      </c>
      <c r="AH87" s="9">
        <v>0.95</v>
      </c>
      <c r="AI87" s="9" t="s">
        <v>85</v>
      </c>
      <c r="AJ87" s="9" t="s">
        <v>85</v>
      </c>
      <c r="AK87" s="9">
        <v>0.95</v>
      </c>
      <c r="AL87" s="9" t="s">
        <v>85</v>
      </c>
      <c r="AM87" s="9" t="s">
        <v>85</v>
      </c>
      <c r="AN87" s="9">
        <v>0.976667</v>
      </c>
      <c r="AO87" s="9" t="s">
        <v>85</v>
      </c>
      <c r="AP87" s="9" t="s">
        <v>85</v>
      </c>
      <c r="AQ87" s="30">
        <v>0.976667</v>
      </c>
      <c r="AR87" s="9" t="s">
        <v>85</v>
      </c>
      <c r="AS87" s="9" t="s">
        <v>85</v>
      </c>
      <c r="AT87" s="9">
        <v>0.95</v>
      </c>
      <c r="AU87" s="9" t="s">
        <v>85</v>
      </c>
      <c r="AV87" s="9" t="s">
        <v>85</v>
      </c>
      <c r="AW87" s="9">
        <v>0.95</v>
      </c>
      <c r="AX87" s="9" t="s">
        <v>85</v>
      </c>
      <c r="AY87" s="9" t="s">
        <v>85</v>
      </c>
      <c r="AZ87" s="9">
        <v>0.99</v>
      </c>
      <c r="BA87" s="9" t="s">
        <v>85</v>
      </c>
      <c r="BB87" s="9" t="s">
        <v>85</v>
      </c>
      <c r="BC87" s="30">
        <v>0.953333</v>
      </c>
      <c r="BD87" s="9" t="s">
        <v>85</v>
      </c>
      <c r="BE87" s="9" t="s">
        <v>85</v>
      </c>
      <c r="BF87" s="9">
        <v>0.85</v>
      </c>
      <c r="BG87" s="9" t="s">
        <v>85</v>
      </c>
      <c r="BH87" s="6"/>
      <c r="BI87" s="6" t="str">
        <f t="shared" si="1"/>
        <v>20B_Fold_Median</v>
      </c>
      <c r="BJ87" s="6" t="str">
        <f t="shared" si="2"/>
        <v>12B_Fold_Median</v>
      </c>
      <c r="BK87" s="6" t="str">
        <f t="shared" si="3"/>
        <v>12B_Fold_Median</v>
      </c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</row>
    <row r="88" ht="15.75" customHeight="1">
      <c r="A88" s="1" t="s">
        <v>182</v>
      </c>
      <c r="B88" s="17">
        <v>2.0</v>
      </c>
      <c r="C88" s="9" t="s">
        <v>85</v>
      </c>
      <c r="D88" s="9">
        <v>0.526316</v>
      </c>
      <c r="E88" s="9" t="s">
        <v>85</v>
      </c>
      <c r="F88" s="9" t="s">
        <v>85</v>
      </c>
      <c r="G88" s="30">
        <v>0.649122834</v>
      </c>
      <c r="H88" s="9" t="s">
        <v>85</v>
      </c>
      <c r="I88" s="9" t="s">
        <v>85</v>
      </c>
      <c r="J88" s="9">
        <v>0.644737</v>
      </c>
      <c r="K88" s="9" t="s">
        <v>85</v>
      </c>
      <c r="L88" s="9" t="s">
        <v>85</v>
      </c>
      <c r="M88" s="9">
        <v>0.723684</v>
      </c>
      <c r="N88" s="9" t="s">
        <v>85</v>
      </c>
      <c r="O88" s="9" t="s">
        <v>85</v>
      </c>
      <c r="P88" s="9">
        <v>0.596491</v>
      </c>
      <c r="Q88" s="9" t="s">
        <v>85</v>
      </c>
      <c r="R88" s="9" t="s">
        <v>85</v>
      </c>
      <c r="S88" s="9">
        <v>0.54386</v>
      </c>
      <c r="T88" s="9" t="s">
        <v>85</v>
      </c>
      <c r="U88" s="9" t="s">
        <v>85</v>
      </c>
      <c r="V88" s="9">
        <v>0.732456</v>
      </c>
      <c r="W88" s="9" t="s">
        <v>85</v>
      </c>
      <c r="X88" s="9" t="s">
        <v>85</v>
      </c>
      <c r="Y88" s="9">
        <v>0.697368</v>
      </c>
      <c r="Z88" s="9" t="s">
        <v>85</v>
      </c>
      <c r="AA88" s="9" t="s">
        <v>85</v>
      </c>
      <c r="AB88" s="30">
        <v>0.526316</v>
      </c>
      <c r="AC88" s="9" t="s">
        <v>85</v>
      </c>
      <c r="AD88" s="9" t="s">
        <v>85</v>
      </c>
      <c r="AE88" s="30">
        <v>0.640351</v>
      </c>
      <c r="AF88" s="9" t="s">
        <v>85</v>
      </c>
      <c r="AG88" s="9" t="s">
        <v>85</v>
      </c>
      <c r="AH88" s="9">
        <v>0.723684</v>
      </c>
      <c r="AI88" s="9" t="s">
        <v>85</v>
      </c>
      <c r="AJ88" s="9" t="s">
        <v>85</v>
      </c>
      <c r="AK88" s="9">
        <v>0.745614</v>
      </c>
      <c r="AL88" s="9" t="s">
        <v>85</v>
      </c>
      <c r="AM88" s="9" t="s">
        <v>85</v>
      </c>
      <c r="AN88" s="9">
        <v>0.548246</v>
      </c>
      <c r="AO88" s="9" t="s">
        <v>85</v>
      </c>
      <c r="AP88" s="9" t="s">
        <v>85</v>
      </c>
      <c r="AQ88" s="30">
        <v>0.618421</v>
      </c>
      <c r="AR88" s="9" t="s">
        <v>85</v>
      </c>
      <c r="AS88" s="9" t="s">
        <v>85</v>
      </c>
      <c r="AT88" s="9">
        <v>0.72807</v>
      </c>
      <c r="AU88" s="9" t="s">
        <v>85</v>
      </c>
      <c r="AV88" s="9" t="s">
        <v>85</v>
      </c>
      <c r="AW88" s="9">
        <v>0.649123</v>
      </c>
      <c r="AX88" s="9" t="s">
        <v>85</v>
      </c>
      <c r="AY88" s="9" t="s">
        <v>85</v>
      </c>
      <c r="AZ88" s="9">
        <v>0.565789</v>
      </c>
      <c r="BA88" s="9" t="s">
        <v>85</v>
      </c>
      <c r="BB88" s="9" t="s">
        <v>85</v>
      </c>
      <c r="BC88" s="30">
        <v>0.548246</v>
      </c>
      <c r="BD88" s="9" t="s">
        <v>85</v>
      </c>
      <c r="BE88" s="9" t="s">
        <v>85</v>
      </c>
      <c r="BF88" s="9">
        <v>0.469298</v>
      </c>
      <c r="BG88" s="9" t="s">
        <v>85</v>
      </c>
      <c r="BH88" s="6"/>
      <c r="BI88" s="6" t="str">
        <f t="shared" si="1"/>
        <v>10VB_Fold_Median</v>
      </c>
      <c r="BJ88" s="6" t="str">
        <f t="shared" si="2"/>
        <v>8V_Fold_Median</v>
      </c>
      <c r="BK88" s="6" t="str">
        <f t="shared" si="3"/>
        <v>12V_Fold_Median</v>
      </c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</row>
    <row r="89" ht="15.75" customHeight="1">
      <c r="A89" s="1" t="s">
        <v>183</v>
      </c>
      <c r="B89" s="17">
        <v>2.0</v>
      </c>
      <c r="C89" s="9" t="s">
        <v>85</v>
      </c>
      <c r="D89" s="9">
        <v>0.830769</v>
      </c>
      <c r="E89" s="9" t="s">
        <v>85</v>
      </c>
      <c r="F89" s="9" t="s">
        <v>85</v>
      </c>
      <c r="G89" s="30">
        <v>0.784615397</v>
      </c>
      <c r="H89" s="9" t="s">
        <v>85</v>
      </c>
      <c r="I89" s="9" t="s">
        <v>85</v>
      </c>
      <c r="J89" s="9">
        <v>0.730769</v>
      </c>
      <c r="K89" s="9" t="s">
        <v>85</v>
      </c>
      <c r="L89" s="9" t="s">
        <v>85</v>
      </c>
      <c r="M89" s="9">
        <v>0.846154</v>
      </c>
      <c r="N89" s="9" t="s">
        <v>85</v>
      </c>
      <c r="O89" s="9" t="s">
        <v>85</v>
      </c>
      <c r="P89" s="9">
        <v>0.8</v>
      </c>
      <c r="Q89" s="9" t="s">
        <v>85</v>
      </c>
      <c r="R89" s="9" t="s">
        <v>85</v>
      </c>
      <c r="S89" s="9">
        <v>0.730769</v>
      </c>
      <c r="T89" s="9" t="s">
        <v>85</v>
      </c>
      <c r="U89" s="9" t="s">
        <v>85</v>
      </c>
      <c r="V89" s="9">
        <v>0.8</v>
      </c>
      <c r="W89" s="9" t="s">
        <v>85</v>
      </c>
      <c r="X89" s="9" t="s">
        <v>85</v>
      </c>
      <c r="Y89" s="9">
        <v>0.723077</v>
      </c>
      <c r="Z89" s="9" t="s">
        <v>85</v>
      </c>
      <c r="AA89" s="9" t="s">
        <v>85</v>
      </c>
      <c r="AB89" s="30">
        <v>0.769231</v>
      </c>
      <c r="AC89" s="9" t="s">
        <v>85</v>
      </c>
      <c r="AD89" s="9" t="s">
        <v>85</v>
      </c>
      <c r="AE89" s="30">
        <v>0.8</v>
      </c>
      <c r="AF89" s="9" t="s">
        <v>85</v>
      </c>
      <c r="AG89" s="9" t="s">
        <v>85</v>
      </c>
      <c r="AH89" s="9">
        <v>0.823077</v>
      </c>
      <c r="AI89" s="9" t="s">
        <v>85</v>
      </c>
      <c r="AJ89" s="9" t="s">
        <v>85</v>
      </c>
      <c r="AK89" s="9">
        <v>0.784615</v>
      </c>
      <c r="AL89" s="9" t="s">
        <v>85</v>
      </c>
      <c r="AM89" s="9" t="s">
        <v>85</v>
      </c>
      <c r="AN89" s="9">
        <v>0.815385</v>
      </c>
      <c r="AO89" s="9" t="s">
        <v>85</v>
      </c>
      <c r="AP89" s="9" t="s">
        <v>85</v>
      </c>
      <c r="AQ89" s="30">
        <v>0.776923</v>
      </c>
      <c r="AR89" s="9" t="s">
        <v>85</v>
      </c>
      <c r="AS89" s="9" t="s">
        <v>85</v>
      </c>
      <c r="AT89" s="9">
        <v>0.730769</v>
      </c>
      <c r="AU89" s="9" t="s">
        <v>85</v>
      </c>
      <c r="AV89" s="9" t="s">
        <v>85</v>
      </c>
      <c r="AW89" s="9">
        <v>0.707692</v>
      </c>
      <c r="AX89" s="9" t="s">
        <v>85</v>
      </c>
      <c r="AY89" s="9" t="s">
        <v>85</v>
      </c>
      <c r="AZ89" s="9">
        <v>0.769231</v>
      </c>
      <c r="BA89" s="9" t="s">
        <v>85</v>
      </c>
      <c r="BB89" s="9" t="s">
        <v>85</v>
      </c>
      <c r="BC89" s="30">
        <v>0.761538</v>
      </c>
      <c r="BD89" s="9" t="s">
        <v>85</v>
      </c>
      <c r="BE89" s="9" t="s">
        <v>85</v>
      </c>
      <c r="BF89" s="9">
        <v>0.507692</v>
      </c>
      <c r="BG89" s="9" t="s">
        <v>85</v>
      </c>
      <c r="BH89" s="6"/>
      <c r="BI89" s="6" t="str">
        <f t="shared" si="1"/>
        <v>5VB_Fold_Median</v>
      </c>
      <c r="BJ89" s="6" t="str">
        <f t="shared" si="2"/>
        <v>5B_Fold_Median</v>
      </c>
      <c r="BK89" s="6" t="str">
        <f t="shared" si="3"/>
        <v>10V_Fold_Median</v>
      </c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</row>
    <row r="90" ht="15.75" customHeight="1">
      <c r="A90" s="1" t="s">
        <v>184</v>
      </c>
      <c r="B90" s="17">
        <v>4.0</v>
      </c>
      <c r="C90" s="9" t="s">
        <v>85</v>
      </c>
      <c r="D90" s="9">
        <v>1.0</v>
      </c>
      <c r="E90" s="9" t="s">
        <v>85</v>
      </c>
      <c r="F90" s="9" t="s">
        <v>85</v>
      </c>
      <c r="G90" s="30">
        <v>0.819999993</v>
      </c>
      <c r="H90" s="9" t="s">
        <v>85</v>
      </c>
      <c r="I90" s="9" t="s">
        <v>85</v>
      </c>
      <c r="J90" s="9">
        <v>0.99</v>
      </c>
      <c r="K90" s="9" t="s">
        <v>85</v>
      </c>
      <c r="L90" s="9" t="s">
        <v>85</v>
      </c>
      <c r="M90" s="9">
        <v>0.98</v>
      </c>
      <c r="N90" s="9" t="s">
        <v>85</v>
      </c>
      <c r="O90" s="9" t="s">
        <v>85</v>
      </c>
      <c r="P90" s="9">
        <v>1.0</v>
      </c>
      <c r="Q90" s="9" t="s">
        <v>85</v>
      </c>
      <c r="R90" s="9" t="s">
        <v>85</v>
      </c>
      <c r="S90" s="9">
        <v>1.0</v>
      </c>
      <c r="T90" s="9" t="s">
        <v>85</v>
      </c>
      <c r="U90" s="9" t="s">
        <v>85</v>
      </c>
      <c r="V90" s="9">
        <v>0.97</v>
      </c>
      <c r="W90" s="9" t="s">
        <v>85</v>
      </c>
      <c r="X90" s="9" t="s">
        <v>85</v>
      </c>
      <c r="Y90" s="9">
        <v>0.96</v>
      </c>
      <c r="Z90" s="9" t="s">
        <v>85</v>
      </c>
      <c r="AA90" s="9" t="s">
        <v>85</v>
      </c>
      <c r="AB90" s="30">
        <v>1.0</v>
      </c>
      <c r="AC90" s="9" t="s">
        <v>85</v>
      </c>
      <c r="AD90" s="9" t="s">
        <v>85</v>
      </c>
      <c r="AE90" s="30">
        <v>1.0</v>
      </c>
      <c r="AF90" s="9" t="s">
        <v>85</v>
      </c>
      <c r="AG90" s="9" t="s">
        <v>85</v>
      </c>
      <c r="AH90" s="9">
        <v>0.99</v>
      </c>
      <c r="AI90" s="9" t="s">
        <v>85</v>
      </c>
      <c r="AJ90" s="9" t="s">
        <v>85</v>
      </c>
      <c r="AK90" s="9">
        <v>0.99</v>
      </c>
      <c r="AL90" s="9" t="s">
        <v>85</v>
      </c>
      <c r="AM90" s="9" t="s">
        <v>85</v>
      </c>
      <c r="AN90" s="9">
        <v>1.0</v>
      </c>
      <c r="AO90" s="9" t="s">
        <v>85</v>
      </c>
      <c r="AP90" s="9" t="s">
        <v>85</v>
      </c>
      <c r="AQ90" s="30">
        <v>1.0</v>
      </c>
      <c r="AR90" s="9" t="s">
        <v>85</v>
      </c>
      <c r="AS90" s="9" t="s">
        <v>85</v>
      </c>
      <c r="AT90" s="9">
        <v>0.99</v>
      </c>
      <c r="AU90" s="9" t="s">
        <v>85</v>
      </c>
      <c r="AV90" s="9" t="s">
        <v>85</v>
      </c>
      <c r="AW90" s="9">
        <v>0.99</v>
      </c>
      <c r="AX90" s="9" t="s">
        <v>85</v>
      </c>
      <c r="AY90" s="9" t="s">
        <v>85</v>
      </c>
      <c r="AZ90" s="9">
        <v>1.0</v>
      </c>
      <c r="BA90" s="9" t="s">
        <v>85</v>
      </c>
      <c r="BB90" s="9" t="s">
        <v>85</v>
      </c>
      <c r="BC90" s="30">
        <v>1.0</v>
      </c>
      <c r="BD90" s="9" t="s">
        <v>85</v>
      </c>
      <c r="BE90" s="9" t="s">
        <v>85</v>
      </c>
      <c r="BF90" s="9">
        <v>0.54</v>
      </c>
      <c r="BG90" s="9" t="s">
        <v>85</v>
      </c>
      <c r="BH90" s="6"/>
      <c r="BI90" s="6" t="str">
        <f t="shared" si="1"/>
        <v>5B_Fold_Median</v>
      </c>
      <c r="BJ90" s="6" t="str">
        <f t="shared" si="2"/>
        <v>5B_Fold_Median</v>
      </c>
      <c r="BK90" s="6" t="str">
        <f t="shared" si="3"/>
        <v>5B_Fold_Median</v>
      </c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</row>
    <row r="91" ht="15.75" customHeight="1">
      <c r="A91" s="1" t="s">
        <v>185</v>
      </c>
      <c r="B91" s="17">
        <v>2.0</v>
      </c>
      <c r="C91" s="9" t="s">
        <v>85</v>
      </c>
      <c r="D91" s="9">
        <v>0.693591</v>
      </c>
      <c r="E91" s="9" t="s">
        <v>85</v>
      </c>
      <c r="F91" s="9" t="s">
        <v>85</v>
      </c>
      <c r="G91" s="30">
        <v>0.755926251</v>
      </c>
      <c r="H91" s="9" t="s">
        <v>85</v>
      </c>
      <c r="I91" s="9" t="s">
        <v>85</v>
      </c>
      <c r="J91" s="9">
        <v>0.849868</v>
      </c>
      <c r="K91" s="9" t="s">
        <v>85</v>
      </c>
      <c r="L91" s="9" t="s">
        <v>85</v>
      </c>
      <c r="M91" s="9">
        <v>0.838455</v>
      </c>
      <c r="N91" s="9" t="s">
        <v>85</v>
      </c>
      <c r="O91" s="9" t="s">
        <v>85</v>
      </c>
      <c r="P91" s="9">
        <v>0.673398</v>
      </c>
      <c r="Q91" s="9" t="s">
        <v>85</v>
      </c>
      <c r="R91" s="9" t="s">
        <v>85</v>
      </c>
      <c r="S91" s="9">
        <v>0.652327</v>
      </c>
      <c r="T91" s="9" t="s">
        <v>85</v>
      </c>
      <c r="U91" s="9" t="s">
        <v>85</v>
      </c>
      <c r="V91" s="9">
        <v>0.806848</v>
      </c>
      <c r="W91" s="9" t="s">
        <v>85</v>
      </c>
      <c r="X91" s="9" t="s">
        <v>85</v>
      </c>
      <c r="Y91" s="9">
        <v>0.824407</v>
      </c>
      <c r="Z91" s="9" t="s">
        <v>85</v>
      </c>
      <c r="AA91" s="9" t="s">
        <v>85</v>
      </c>
      <c r="AB91" s="30">
        <v>0.727831</v>
      </c>
      <c r="AC91" s="9" t="s">
        <v>85</v>
      </c>
      <c r="AD91" s="9" t="s">
        <v>85</v>
      </c>
      <c r="AE91" s="30">
        <v>0.713784</v>
      </c>
      <c r="AF91" s="9" t="s">
        <v>85</v>
      </c>
      <c r="AG91" s="9" t="s">
        <v>85</v>
      </c>
      <c r="AH91" s="9">
        <v>0.877085</v>
      </c>
      <c r="AI91" s="9" t="s">
        <v>85</v>
      </c>
      <c r="AJ91" s="9" t="s">
        <v>85</v>
      </c>
      <c r="AK91" s="9">
        <v>0.85777</v>
      </c>
      <c r="AL91" s="9" t="s">
        <v>85</v>
      </c>
      <c r="AM91" s="9" t="s">
        <v>85</v>
      </c>
      <c r="AN91" s="9">
        <v>0.727831</v>
      </c>
      <c r="AO91" s="9" t="s">
        <v>85</v>
      </c>
      <c r="AP91" s="9" t="s">
        <v>85</v>
      </c>
      <c r="AQ91" s="30">
        <v>0.690957</v>
      </c>
      <c r="AR91" s="9" t="s">
        <v>85</v>
      </c>
      <c r="AS91" s="9" t="s">
        <v>85</v>
      </c>
      <c r="AT91" s="9">
        <v>0.777875</v>
      </c>
      <c r="AU91" s="9" t="s">
        <v>85</v>
      </c>
      <c r="AV91" s="9" t="s">
        <v>85</v>
      </c>
      <c r="AW91" s="9">
        <v>0.768218</v>
      </c>
      <c r="AX91" s="9" t="s">
        <v>85</v>
      </c>
      <c r="AY91" s="9" t="s">
        <v>85</v>
      </c>
      <c r="AZ91" s="9">
        <v>0.732221</v>
      </c>
      <c r="BA91" s="9" t="s">
        <v>85</v>
      </c>
      <c r="BB91" s="9" t="s">
        <v>85</v>
      </c>
      <c r="BC91" s="30">
        <v>0.753292</v>
      </c>
      <c r="BD91" s="9" t="s">
        <v>85</v>
      </c>
      <c r="BE91" s="9" t="s">
        <v>85</v>
      </c>
      <c r="BF91" s="9">
        <v>0.556629</v>
      </c>
      <c r="BG91" s="9" t="s">
        <v>85</v>
      </c>
      <c r="BH91" s="6"/>
      <c r="BI91" s="6" t="str">
        <f t="shared" si="1"/>
        <v>10V_Fold_Median</v>
      </c>
      <c r="BJ91" s="6" t="str">
        <f t="shared" si="2"/>
        <v>10VB_Fold_Median</v>
      </c>
      <c r="BK91" s="6" t="str">
        <f t="shared" si="3"/>
        <v>5V_Fold_Median</v>
      </c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</row>
    <row r="92" ht="15.75" customHeight="1">
      <c r="A92" s="1" t="s">
        <v>186</v>
      </c>
      <c r="B92" s="17">
        <v>4.0</v>
      </c>
      <c r="C92" s="9" t="s">
        <v>85</v>
      </c>
      <c r="D92" s="9">
        <v>0.5255</v>
      </c>
      <c r="E92" s="9" t="s">
        <v>85</v>
      </c>
      <c r="F92" s="9" t="s">
        <v>85</v>
      </c>
      <c r="G92" s="30">
        <v>0.472250015</v>
      </c>
      <c r="H92" s="9" t="s">
        <v>85</v>
      </c>
      <c r="I92" s="9" t="s">
        <v>85</v>
      </c>
      <c r="J92" s="9">
        <v>0.55275</v>
      </c>
      <c r="K92" s="9" t="s">
        <v>85</v>
      </c>
      <c r="L92" s="9" t="s">
        <v>85</v>
      </c>
      <c r="M92" s="9">
        <v>0.528</v>
      </c>
      <c r="N92" s="9" t="s">
        <v>85</v>
      </c>
      <c r="O92" s="9" t="s">
        <v>85</v>
      </c>
      <c r="P92" s="9">
        <v>0.46825</v>
      </c>
      <c r="Q92" s="9" t="s">
        <v>85</v>
      </c>
      <c r="R92" s="9" t="s">
        <v>85</v>
      </c>
      <c r="S92" s="9">
        <v>0.46875</v>
      </c>
      <c r="T92" s="9" t="s">
        <v>85</v>
      </c>
      <c r="U92" s="9" t="s">
        <v>85</v>
      </c>
      <c r="V92" s="9">
        <v>0.60325</v>
      </c>
      <c r="W92" s="9" t="s">
        <v>85</v>
      </c>
      <c r="X92" s="9" t="s">
        <v>85</v>
      </c>
      <c r="Y92" s="9">
        <v>0.446</v>
      </c>
      <c r="Z92" s="9" t="s">
        <v>85</v>
      </c>
      <c r="AA92" s="9" t="s">
        <v>85</v>
      </c>
      <c r="AB92" s="30">
        <v>0.4815</v>
      </c>
      <c r="AC92" s="9" t="s">
        <v>85</v>
      </c>
      <c r="AD92" s="9" t="s">
        <v>85</v>
      </c>
      <c r="AE92" s="30">
        <v>0.49775</v>
      </c>
      <c r="AF92" s="9" t="s">
        <v>85</v>
      </c>
      <c r="AG92" s="9" t="s">
        <v>85</v>
      </c>
      <c r="AH92" s="9">
        <v>0.2855</v>
      </c>
      <c r="AI92" s="9" t="s">
        <v>85</v>
      </c>
      <c r="AJ92" s="9" t="s">
        <v>85</v>
      </c>
      <c r="AK92" s="9">
        <v>0.269</v>
      </c>
      <c r="AL92" s="9" t="s">
        <v>85</v>
      </c>
      <c r="AM92" s="9" t="s">
        <v>85</v>
      </c>
      <c r="AN92" s="9">
        <v>0.39425</v>
      </c>
      <c r="AO92" s="9" t="s">
        <v>85</v>
      </c>
      <c r="AP92" s="9" t="s">
        <v>85</v>
      </c>
      <c r="AQ92" s="30">
        <v>0.4975</v>
      </c>
      <c r="AR92" s="9" t="s">
        <v>85</v>
      </c>
      <c r="AS92" s="9" t="s">
        <v>85</v>
      </c>
      <c r="AT92" s="9">
        <v>0.4195</v>
      </c>
      <c r="AU92" s="9" t="s">
        <v>85</v>
      </c>
      <c r="AV92" s="9" t="s">
        <v>85</v>
      </c>
      <c r="AW92" s="9">
        <v>0.27725</v>
      </c>
      <c r="AX92" s="9" t="s">
        <v>85</v>
      </c>
      <c r="AY92" s="9" t="s">
        <v>85</v>
      </c>
      <c r="AZ92" s="9">
        <v>0.4315</v>
      </c>
      <c r="BA92" s="9" t="s">
        <v>85</v>
      </c>
      <c r="BB92" s="9" t="s">
        <v>85</v>
      </c>
      <c r="BC92" s="30">
        <v>0.263</v>
      </c>
      <c r="BD92" s="9" t="s">
        <v>85</v>
      </c>
      <c r="BE92" s="9" t="s">
        <v>85</v>
      </c>
      <c r="BF92" s="9">
        <v>0.78675</v>
      </c>
      <c r="BG92" s="9" t="s">
        <v>85</v>
      </c>
      <c r="BH92" s="6"/>
      <c r="BI92" s="6" t="str">
        <f t="shared" si="1"/>
        <v>De_Fold_Median</v>
      </c>
      <c r="BJ92" s="6" t="str">
        <f t="shared" si="2"/>
        <v>8V_Fold_Median</v>
      </c>
      <c r="BK92" s="6" t="str">
        <f t="shared" si="3"/>
        <v>5V_Fold_Median</v>
      </c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</row>
    <row r="93" ht="15.75" customHeight="1">
      <c r="A93" s="1" t="s">
        <v>187</v>
      </c>
      <c r="B93" s="17">
        <v>3.0</v>
      </c>
      <c r="C93" s="9" t="s">
        <v>85</v>
      </c>
      <c r="D93" s="9">
        <v>0.854167</v>
      </c>
      <c r="E93" s="9" t="s">
        <v>85</v>
      </c>
      <c r="F93" s="9" t="s">
        <v>85</v>
      </c>
      <c r="G93" s="30">
        <v>0.819444418</v>
      </c>
      <c r="H93" s="9" t="s">
        <v>85</v>
      </c>
      <c r="I93" s="9" t="s">
        <v>85</v>
      </c>
      <c r="J93" s="9">
        <v>0.777778</v>
      </c>
      <c r="K93" s="9" t="s">
        <v>85</v>
      </c>
      <c r="L93" s="9" t="s">
        <v>85</v>
      </c>
      <c r="M93" s="9">
        <v>0.791667</v>
      </c>
      <c r="N93" s="9" t="s">
        <v>85</v>
      </c>
      <c r="O93" s="9" t="s">
        <v>85</v>
      </c>
      <c r="P93" s="9">
        <v>0.881944</v>
      </c>
      <c r="Q93" s="9" t="s">
        <v>85</v>
      </c>
      <c r="R93" s="9" t="s">
        <v>85</v>
      </c>
      <c r="S93" s="9">
        <v>0.861111</v>
      </c>
      <c r="T93" s="9" t="s">
        <v>85</v>
      </c>
      <c r="U93" s="9" t="s">
        <v>85</v>
      </c>
      <c r="V93" s="9">
        <v>0.902778</v>
      </c>
      <c r="W93" s="9" t="s">
        <v>85</v>
      </c>
      <c r="X93" s="9" t="s">
        <v>85</v>
      </c>
      <c r="Y93" s="9">
        <v>0.9375</v>
      </c>
      <c r="Z93" s="9" t="s">
        <v>85</v>
      </c>
      <c r="AA93" s="9" t="s">
        <v>85</v>
      </c>
      <c r="AB93" s="30">
        <v>0.881944</v>
      </c>
      <c r="AC93" s="9" t="s">
        <v>85</v>
      </c>
      <c r="AD93" s="9" t="s">
        <v>85</v>
      </c>
      <c r="AE93" s="30">
        <v>0.854167</v>
      </c>
      <c r="AF93" s="9" t="s">
        <v>85</v>
      </c>
      <c r="AG93" s="9" t="s">
        <v>85</v>
      </c>
      <c r="AH93" s="9">
        <v>0.868056</v>
      </c>
      <c r="AI93" s="9" t="s">
        <v>85</v>
      </c>
      <c r="AJ93" s="9" t="s">
        <v>85</v>
      </c>
      <c r="AK93" s="9">
        <v>0.881944</v>
      </c>
      <c r="AL93" s="9" t="s">
        <v>85</v>
      </c>
      <c r="AM93" s="9" t="s">
        <v>85</v>
      </c>
      <c r="AN93" s="9">
        <v>0.854167</v>
      </c>
      <c r="AO93" s="9" t="s">
        <v>85</v>
      </c>
      <c r="AP93" s="9" t="s">
        <v>85</v>
      </c>
      <c r="AQ93" s="30">
        <v>0.833333</v>
      </c>
      <c r="AR93" s="9" t="s">
        <v>85</v>
      </c>
      <c r="AS93" s="9" t="s">
        <v>85</v>
      </c>
      <c r="AT93" s="9">
        <v>0.861111</v>
      </c>
      <c r="AU93" s="9" t="s">
        <v>85</v>
      </c>
      <c r="AV93" s="9" t="s">
        <v>85</v>
      </c>
      <c r="AW93" s="9">
        <v>0.861111</v>
      </c>
      <c r="AX93" s="9" t="s">
        <v>85</v>
      </c>
      <c r="AY93" s="9" t="s">
        <v>85</v>
      </c>
      <c r="AZ93" s="9">
        <v>0.888889</v>
      </c>
      <c r="BA93" s="9" t="s">
        <v>85</v>
      </c>
      <c r="BB93" s="9" t="s">
        <v>85</v>
      </c>
      <c r="BC93" s="30">
        <v>0.868056</v>
      </c>
      <c r="BD93" s="9" t="s">
        <v>85</v>
      </c>
      <c r="BE93" s="9" t="s">
        <v>85</v>
      </c>
      <c r="BF93" s="9">
        <v>0.631944</v>
      </c>
      <c r="BG93" s="9" t="s">
        <v>85</v>
      </c>
      <c r="BH93" s="6"/>
      <c r="BI93" s="6" t="str">
        <f t="shared" si="1"/>
        <v>8VB_Fold_Median</v>
      </c>
      <c r="BJ93" s="6" t="str">
        <f t="shared" si="2"/>
        <v>8V_Fold_Median</v>
      </c>
      <c r="BK93" s="6" t="str">
        <f t="shared" si="3"/>
        <v>20B_Fold_Median</v>
      </c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</row>
    <row r="94" ht="15.75" customHeight="1">
      <c r="A94" s="1" t="s">
        <v>188</v>
      </c>
      <c r="B94" s="17">
        <v>8.0</v>
      </c>
      <c r="C94" s="9" t="s">
        <v>85</v>
      </c>
      <c r="D94" s="9">
        <v>0.765773</v>
      </c>
      <c r="E94" s="9" t="s">
        <v>85</v>
      </c>
      <c r="F94" s="9" t="s">
        <v>85</v>
      </c>
      <c r="G94" s="30">
        <v>0.746231139</v>
      </c>
      <c r="H94" s="9" t="s">
        <v>85</v>
      </c>
      <c r="I94" s="9" t="s">
        <v>85</v>
      </c>
      <c r="J94" s="9">
        <v>0.660804</v>
      </c>
      <c r="K94" s="9" t="s">
        <v>85</v>
      </c>
      <c r="L94" s="9" t="s">
        <v>85</v>
      </c>
      <c r="M94" s="9">
        <v>0.617253</v>
      </c>
      <c r="N94" s="9" t="s">
        <v>85</v>
      </c>
      <c r="O94" s="9" t="s">
        <v>85</v>
      </c>
      <c r="P94" s="9">
        <v>0.855388</v>
      </c>
      <c r="Q94" s="9" t="s">
        <v>85</v>
      </c>
      <c r="R94" s="9" t="s">
        <v>85</v>
      </c>
      <c r="S94" s="9">
        <v>0.840592</v>
      </c>
      <c r="T94" s="9" t="s">
        <v>85</v>
      </c>
      <c r="U94" s="9" t="s">
        <v>85</v>
      </c>
      <c r="V94" s="9">
        <v>0.824958</v>
      </c>
      <c r="W94" s="9" t="s">
        <v>85</v>
      </c>
      <c r="X94" s="9" t="s">
        <v>85</v>
      </c>
      <c r="Y94" s="9">
        <v>0.563652</v>
      </c>
      <c r="Z94" s="9" t="s">
        <v>85</v>
      </c>
      <c r="AA94" s="9" t="s">
        <v>85</v>
      </c>
      <c r="AB94" s="30">
        <v>0.896706</v>
      </c>
      <c r="AC94" s="9" t="s">
        <v>85</v>
      </c>
      <c r="AD94" s="9" t="s">
        <v>85</v>
      </c>
      <c r="AE94" s="30">
        <v>0.890564</v>
      </c>
      <c r="AF94" s="9" t="s">
        <v>85</v>
      </c>
      <c r="AG94" s="9" t="s">
        <v>85</v>
      </c>
      <c r="AH94" s="9">
        <v>0.829704</v>
      </c>
      <c r="AI94" s="9" t="s">
        <v>85</v>
      </c>
      <c r="AJ94" s="9" t="s">
        <v>85</v>
      </c>
      <c r="AK94" s="9">
        <v>0.828587</v>
      </c>
      <c r="AL94" s="9" t="s">
        <v>85</v>
      </c>
      <c r="AM94" s="9" t="s">
        <v>85</v>
      </c>
      <c r="AN94" s="9">
        <v>0.887214</v>
      </c>
      <c r="AO94" s="9" t="s">
        <v>85</v>
      </c>
      <c r="AP94" s="9" t="s">
        <v>85</v>
      </c>
      <c r="AQ94" s="30">
        <v>0.886097</v>
      </c>
      <c r="AR94" s="9" t="s">
        <v>85</v>
      </c>
      <c r="AS94" s="9" t="s">
        <v>85</v>
      </c>
      <c r="AT94" s="9">
        <v>0.675042</v>
      </c>
      <c r="AU94" s="9" t="s">
        <v>85</v>
      </c>
      <c r="AV94" s="9" t="s">
        <v>85</v>
      </c>
      <c r="AW94" s="9">
        <v>0.740089</v>
      </c>
      <c r="AX94" s="9" t="s">
        <v>85</v>
      </c>
      <c r="AY94" s="9" t="s">
        <v>85</v>
      </c>
      <c r="AZ94" s="9">
        <v>0.888331</v>
      </c>
      <c r="BA94" s="9" t="s">
        <v>85</v>
      </c>
      <c r="BB94" s="9" t="s">
        <v>85</v>
      </c>
      <c r="BC94" s="30">
        <v>0.879955</v>
      </c>
      <c r="BD94" s="9" t="s">
        <v>85</v>
      </c>
      <c r="BE94" s="9" t="s">
        <v>85</v>
      </c>
      <c r="BF94" s="9">
        <v>0.907594</v>
      </c>
      <c r="BG94" s="9" t="s">
        <v>85</v>
      </c>
      <c r="BH94" s="6"/>
      <c r="BI94" s="6" t="str">
        <f t="shared" si="1"/>
        <v>De_Fold_Median</v>
      </c>
      <c r="BJ94" s="6" t="str">
        <f t="shared" si="2"/>
        <v>10B_Fold_Median</v>
      </c>
      <c r="BK94" s="6" t="str">
        <f t="shared" si="3"/>
        <v>10BN_Fold_Median</v>
      </c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</row>
    <row r="95" ht="15.75" customHeight="1">
      <c r="A95" s="1" t="s">
        <v>189</v>
      </c>
      <c r="B95" s="17">
        <v>2.0</v>
      </c>
      <c r="C95" s="9" t="s">
        <v>85</v>
      </c>
      <c r="D95" s="9">
        <v>0.892116</v>
      </c>
      <c r="E95" s="9" t="s">
        <v>85</v>
      </c>
      <c r="F95" s="9" t="s">
        <v>85</v>
      </c>
      <c r="G95" s="30">
        <v>0.892115533</v>
      </c>
      <c r="H95" s="9" t="s">
        <v>85</v>
      </c>
      <c r="I95" s="9" t="s">
        <v>85</v>
      </c>
      <c r="J95" s="9">
        <v>0.892116</v>
      </c>
      <c r="K95" s="9" t="s">
        <v>85</v>
      </c>
      <c r="L95" s="9" t="s">
        <v>85</v>
      </c>
      <c r="M95" s="9">
        <v>0.892116</v>
      </c>
      <c r="N95" s="9" t="s">
        <v>85</v>
      </c>
      <c r="O95" s="9" t="s">
        <v>85</v>
      </c>
      <c r="P95" s="9">
        <v>0.892116</v>
      </c>
      <c r="Q95" s="9" t="s">
        <v>85</v>
      </c>
      <c r="R95" s="9" t="s">
        <v>85</v>
      </c>
      <c r="S95" s="9">
        <v>0.892116</v>
      </c>
      <c r="T95" s="9" t="s">
        <v>85</v>
      </c>
      <c r="U95" s="9" t="s">
        <v>85</v>
      </c>
      <c r="V95" s="9">
        <v>0.892116</v>
      </c>
      <c r="W95" s="9" t="s">
        <v>85</v>
      </c>
      <c r="X95" s="9" t="s">
        <v>85</v>
      </c>
      <c r="Y95" s="9">
        <v>0.892116</v>
      </c>
      <c r="Z95" s="9" t="s">
        <v>85</v>
      </c>
      <c r="AA95" s="9" t="s">
        <v>85</v>
      </c>
      <c r="AB95" s="30">
        <v>0.892116</v>
      </c>
      <c r="AC95" s="9" t="s">
        <v>85</v>
      </c>
      <c r="AD95" s="9" t="s">
        <v>85</v>
      </c>
      <c r="AE95" s="30">
        <v>0.892116</v>
      </c>
      <c r="AF95" s="9" t="s">
        <v>85</v>
      </c>
      <c r="AG95" s="9" t="s">
        <v>85</v>
      </c>
      <c r="AH95" s="9">
        <v>0.892116</v>
      </c>
      <c r="AI95" s="9" t="s">
        <v>85</v>
      </c>
      <c r="AJ95" s="9" t="s">
        <v>85</v>
      </c>
      <c r="AK95" s="9">
        <v>0.892116</v>
      </c>
      <c r="AL95" s="9" t="s">
        <v>85</v>
      </c>
      <c r="AM95" s="9" t="s">
        <v>85</v>
      </c>
      <c r="AN95" s="9">
        <v>0.892116</v>
      </c>
      <c r="AO95" s="9" t="s">
        <v>85</v>
      </c>
      <c r="AP95" s="9" t="s">
        <v>85</v>
      </c>
      <c r="AQ95" s="30">
        <v>0.892116</v>
      </c>
      <c r="AR95" s="9" t="s">
        <v>85</v>
      </c>
      <c r="AS95" s="9" t="s">
        <v>85</v>
      </c>
      <c r="AT95" s="9">
        <v>0.892116</v>
      </c>
      <c r="AU95" s="9" t="s">
        <v>85</v>
      </c>
      <c r="AV95" s="9" t="s">
        <v>85</v>
      </c>
      <c r="AW95" s="9">
        <v>0.892116</v>
      </c>
      <c r="AX95" s="9" t="s">
        <v>85</v>
      </c>
      <c r="AY95" s="9" t="s">
        <v>85</v>
      </c>
      <c r="AZ95" s="9">
        <v>0.892116</v>
      </c>
      <c r="BA95" s="9" t="s">
        <v>85</v>
      </c>
      <c r="BB95" s="9" t="s">
        <v>85</v>
      </c>
      <c r="BC95" s="30">
        <v>0.892116</v>
      </c>
      <c r="BD95" s="9" t="s">
        <v>85</v>
      </c>
      <c r="BE95" s="9" t="s">
        <v>85</v>
      </c>
      <c r="BF95" s="9">
        <v>0.892116</v>
      </c>
      <c r="BG95" s="9" t="s">
        <v>85</v>
      </c>
      <c r="BH95" s="6"/>
      <c r="BI95" s="6" t="str">
        <f t="shared" si="1"/>
        <v>5B_Fold_Median</v>
      </c>
      <c r="BJ95" s="6" t="str">
        <f t="shared" si="2"/>
        <v>5B_Fold_Median</v>
      </c>
      <c r="BK95" s="6" t="str">
        <f t="shared" si="3"/>
        <v>5B_Fold_Median</v>
      </c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</row>
    <row r="96" ht="15.75" customHeight="1">
      <c r="A96" s="1" t="s">
        <v>190</v>
      </c>
      <c r="B96" s="17">
        <v>2.0</v>
      </c>
      <c r="C96" s="9" t="s">
        <v>85</v>
      </c>
      <c r="D96" s="9">
        <v>0.611111</v>
      </c>
      <c r="E96" s="9" t="s">
        <v>85</v>
      </c>
      <c r="F96" s="9" t="s">
        <v>85</v>
      </c>
      <c r="G96" s="30">
        <v>0.5</v>
      </c>
      <c r="H96" s="9" t="s">
        <v>85</v>
      </c>
      <c r="I96" s="9" t="s">
        <v>85</v>
      </c>
      <c r="J96" s="9">
        <v>0.5</v>
      </c>
      <c r="K96" s="9" t="s">
        <v>85</v>
      </c>
      <c r="L96" s="9" t="s">
        <v>85</v>
      </c>
      <c r="M96" s="9">
        <v>0.5</v>
      </c>
      <c r="N96" s="9" t="s">
        <v>85</v>
      </c>
      <c r="O96" s="9" t="s">
        <v>85</v>
      </c>
      <c r="P96" s="9">
        <v>0.5</v>
      </c>
      <c r="Q96" s="9" t="s">
        <v>85</v>
      </c>
      <c r="R96" s="9" t="s">
        <v>85</v>
      </c>
      <c r="S96" s="9">
        <v>0.5</v>
      </c>
      <c r="T96" s="9" t="s">
        <v>85</v>
      </c>
      <c r="U96" s="9" t="s">
        <v>85</v>
      </c>
      <c r="V96" s="9">
        <v>0.5</v>
      </c>
      <c r="W96" s="9" t="s">
        <v>85</v>
      </c>
      <c r="X96" s="9" t="s">
        <v>85</v>
      </c>
      <c r="Y96" s="9">
        <v>0.5</v>
      </c>
      <c r="Z96" s="9" t="s">
        <v>85</v>
      </c>
      <c r="AA96" s="9" t="s">
        <v>85</v>
      </c>
      <c r="AB96" s="30">
        <v>0.5</v>
      </c>
      <c r="AC96" s="9" t="s">
        <v>85</v>
      </c>
      <c r="AD96" s="9" t="s">
        <v>85</v>
      </c>
      <c r="AE96" s="30">
        <v>0.5</v>
      </c>
      <c r="AF96" s="9" t="s">
        <v>85</v>
      </c>
      <c r="AG96" s="9" t="s">
        <v>85</v>
      </c>
      <c r="AH96" s="9">
        <v>0.5</v>
      </c>
      <c r="AI96" s="9" t="s">
        <v>85</v>
      </c>
      <c r="AJ96" s="9" t="s">
        <v>85</v>
      </c>
      <c r="AK96" s="9">
        <v>0.5</v>
      </c>
      <c r="AL96" s="9" t="s">
        <v>85</v>
      </c>
      <c r="AM96" s="9" t="s">
        <v>85</v>
      </c>
      <c r="AN96" s="9">
        <v>0.5</v>
      </c>
      <c r="AO96" s="9" t="s">
        <v>85</v>
      </c>
      <c r="AP96" s="9" t="s">
        <v>85</v>
      </c>
      <c r="AQ96" s="30">
        <v>0.5</v>
      </c>
      <c r="AR96" s="9" t="s">
        <v>85</v>
      </c>
      <c r="AS96" s="9" t="s">
        <v>85</v>
      </c>
      <c r="AT96" s="9">
        <v>0.5</v>
      </c>
      <c r="AU96" s="9" t="s">
        <v>85</v>
      </c>
      <c r="AV96" s="9" t="s">
        <v>85</v>
      </c>
      <c r="AW96" s="9">
        <v>0.5</v>
      </c>
      <c r="AX96" s="9" t="s">
        <v>85</v>
      </c>
      <c r="AY96" s="9" t="s">
        <v>85</v>
      </c>
      <c r="AZ96" s="9">
        <v>0.5</v>
      </c>
      <c r="BA96" s="9" t="s">
        <v>85</v>
      </c>
      <c r="BB96" s="9" t="s">
        <v>85</v>
      </c>
      <c r="BC96" s="30">
        <v>0.5</v>
      </c>
      <c r="BD96" s="9" t="s">
        <v>85</v>
      </c>
      <c r="BE96" s="9" t="s">
        <v>85</v>
      </c>
      <c r="BF96" s="9">
        <v>0.5</v>
      </c>
      <c r="BG96" s="9" t="s">
        <v>85</v>
      </c>
      <c r="BH96" s="6"/>
      <c r="BI96" s="6" t="str">
        <f t="shared" si="1"/>
        <v>5B_Fold_Median</v>
      </c>
      <c r="BJ96" s="6" t="str">
        <f t="shared" si="2"/>
        <v>5BN_Fold_Median</v>
      </c>
      <c r="BK96" s="6" t="str">
        <f t="shared" si="3"/>
        <v>5BN_Fold_Median</v>
      </c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</row>
    <row r="97" ht="15.75" customHeight="1">
      <c r="A97" s="1" t="s">
        <v>191</v>
      </c>
      <c r="B97" s="17">
        <v>25.0</v>
      </c>
      <c r="C97" s="9" t="s">
        <v>85</v>
      </c>
      <c r="D97" s="9">
        <v>0.399687</v>
      </c>
      <c r="E97" s="9" t="s">
        <v>85</v>
      </c>
      <c r="F97" s="9" t="s">
        <v>85</v>
      </c>
      <c r="G97" s="30">
        <v>0.4106583</v>
      </c>
      <c r="H97" s="9" t="s">
        <v>85</v>
      </c>
      <c r="I97" s="9" t="s">
        <v>85</v>
      </c>
      <c r="J97" s="9">
        <v>0.393417</v>
      </c>
      <c r="K97" s="9" t="s">
        <v>85</v>
      </c>
      <c r="L97" s="9" t="s">
        <v>85</v>
      </c>
      <c r="M97" s="9">
        <v>0.382445</v>
      </c>
      <c r="N97" s="9" t="s">
        <v>85</v>
      </c>
      <c r="O97" s="9" t="s">
        <v>85</v>
      </c>
      <c r="P97" s="9">
        <v>0.420063</v>
      </c>
      <c r="Q97" s="9" t="s">
        <v>85</v>
      </c>
      <c r="R97" s="9" t="s">
        <v>85</v>
      </c>
      <c r="S97" s="9">
        <v>0.4279</v>
      </c>
      <c r="T97" s="9" t="s">
        <v>85</v>
      </c>
      <c r="U97" s="9" t="s">
        <v>85</v>
      </c>
      <c r="V97" s="9">
        <v>0.407524</v>
      </c>
      <c r="W97" s="9" t="s">
        <v>85</v>
      </c>
      <c r="X97" s="9" t="s">
        <v>85</v>
      </c>
      <c r="Y97" s="9">
        <v>0.394984</v>
      </c>
      <c r="Z97" s="9" t="s">
        <v>85</v>
      </c>
      <c r="AA97" s="9" t="s">
        <v>85</v>
      </c>
      <c r="AB97" s="30">
        <v>0.437304</v>
      </c>
      <c r="AC97" s="9" t="s">
        <v>85</v>
      </c>
      <c r="AD97" s="9" t="s">
        <v>85</v>
      </c>
      <c r="AE97" s="30">
        <v>0.437304</v>
      </c>
      <c r="AF97" s="9" t="s">
        <v>85</v>
      </c>
      <c r="AG97" s="9" t="s">
        <v>85</v>
      </c>
      <c r="AH97" s="9">
        <v>0.358934</v>
      </c>
      <c r="AI97" s="9" t="s">
        <v>85</v>
      </c>
      <c r="AJ97" s="9" t="s">
        <v>85</v>
      </c>
      <c r="AK97" s="9">
        <v>0.42163</v>
      </c>
      <c r="AL97" s="9" t="s">
        <v>85</v>
      </c>
      <c r="AM97" s="9" t="s">
        <v>85</v>
      </c>
      <c r="AN97" s="9">
        <v>0.420063</v>
      </c>
      <c r="AO97" s="9" t="s">
        <v>85</v>
      </c>
      <c r="AP97" s="9" t="s">
        <v>85</v>
      </c>
      <c r="AQ97" s="30">
        <v>0.452978</v>
      </c>
      <c r="AR97" s="9" t="s">
        <v>85</v>
      </c>
      <c r="AS97" s="9" t="s">
        <v>85</v>
      </c>
      <c r="AT97" s="9">
        <v>0.380878</v>
      </c>
      <c r="AU97" s="9" t="s">
        <v>85</v>
      </c>
      <c r="AV97" s="9" t="s">
        <v>85</v>
      </c>
      <c r="AW97" s="9">
        <v>0.407524</v>
      </c>
      <c r="AX97" s="9" t="s">
        <v>85</v>
      </c>
      <c r="AY97" s="9" t="s">
        <v>85</v>
      </c>
      <c r="AZ97" s="9">
        <v>0.410658</v>
      </c>
      <c r="BA97" s="9" t="s">
        <v>85</v>
      </c>
      <c r="BB97" s="9" t="s">
        <v>85</v>
      </c>
      <c r="BC97" s="30">
        <v>0.407524</v>
      </c>
      <c r="BD97" s="9" t="s">
        <v>85</v>
      </c>
      <c r="BE97" s="9" t="s">
        <v>85</v>
      </c>
      <c r="BF97" s="9">
        <v>0.396552</v>
      </c>
      <c r="BG97" s="9" t="s">
        <v>85</v>
      </c>
      <c r="BH97" s="6"/>
      <c r="BI97" s="6" t="str">
        <f t="shared" si="1"/>
        <v>12BN_Fold_Median</v>
      </c>
      <c r="BJ97" s="6" t="str">
        <f t="shared" si="2"/>
        <v>10B_Fold_Median</v>
      </c>
      <c r="BK97" s="6" t="str">
        <f t="shared" si="3"/>
        <v>10B_Fold_Median</v>
      </c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</row>
    <row r="98" ht="15.75" customHeight="1">
      <c r="A98" s="1" t="s">
        <v>192</v>
      </c>
      <c r="B98" s="17">
        <v>5.0</v>
      </c>
      <c r="C98" s="9" t="s">
        <v>85</v>
      </c>
      <c r="D98" s="9">
        <v>0.506494</v>
      </c>
      <c r="E98" s="9" t="s">
        <v>85</v>
      </c>
      <c r="F98" s="9" t="s">
        <v>85</v>
      </c>
      <c r="G98" s="30">
        <v>0.467532456</v>
      </c>
      <c r="H98" s="9" t="s">
        <v>85</v>
      </c>
      <c r="I98" s="9" t="s">
        <v>85</v>
      </c>
      <c r="J98" s="9">
        <v>0.480519</v>
      </c>
      <c r="K98" s="9" t="s">
        <v>85</v>
      </c>
      <c r="L98" s="9" t="s">
        <v>85</v>
      </c>
      <c r="M98" s="9">
        <v>0.454545</v>
      </c>
      <c r="N98" s="9" t="s">
        <v>85</v>
      </c>
      <c r="O98" s="9" t="s">
        <v>85</v>
      </c>
      <c r="P98" s="9">
        <v>0.493506</v>
      </c>
      <c r="Q98" s="9" t="s">
        <v>85</v>
      </c>
      <c r="R98" s="9" t="s">
        <v>85</v>
      </c>
      <c r="S98" s="9">
        <v>0.519481</v>
      </c>
      <c r="T98" s="9" t="s">
        <v>85</v>
      </c>
      <c r="U98" s="9" t="s">
        <v>85</v>
      </c>
      <c r="V98" s="9">
        <v>0.519481</v>
      </c>
      <c r="W98" s="9" t="s">
        <v>85</v>
      </c>
      <c r="X98" s="9" t="s">
        <v>85</v>
      </c>
      <c r="Y98" s="9">
        <v>0.454545</v>
      </c>
      <c r="Z98" s="9" t="s">
        <v>85</v>
      </c>
      <c r="AA98" s="9" t="s">
        <v>85</v>
      </c>
      <c r="AB98" s="30">
        <v>0.480519</v>
      </c>
      <c r="AC98" s="9" t="s">
        <v>85</v>
      </c>
      <c r="AD98" s="9" t="s">
        <v>85</v>
      </c>
      <c r="AE98" s="30">
        <v>0.480519</v>
      </c>
      <c r="AF98" s="9" t="s">
        <v>85</v>
      </c>
      <c r="AG98" s="9" t="s">
        <v>85</v>
      </c>
      <c r="AH98" s="9">
        <v>0.493506</v>
      </c>
      <c r="AI98" s="9" t="s">
        <v>85</v>
      </c>
      <c r="AJ98" s="9" t="s">
        <v>85</v>
      </c>
      <c r="AK98" s="9">
        <v>0.454545</v>
      </c>
      <c r="AL98" s="9" t="s">
        <v>85</v>
      </c>
      <c r="AM98" s="9" t="s">
        <v>85</v>
      </c>
      <c r="AN98" s="9">
        <v>0.519481</v>
      </c>
      <c r="AO98" s="9" t="s">
        <v>85</v>
      </c>
      <c r="AP98" s="9" t="s">
        <v>85</v>
      </c>
      <c r="AQ98" s="30">
        <v>0.519481</v>
      </c>
      <c r="AR98" s="9" t="s">
        <v>85</v>
      </c>
      <c r="AS98" s="9" t="s">
        <v>85</v>
      </c>
      <c r="AT98" s="9">
        <v>0.480519</v>
      </c>
      <c r="AU98" s="9" t="s">
        <v>85</v>
      </c>
      <c r="AV98" s="9" t="s">
        <v>85</v>
      </c>
      <c r="AW98" s="9">
        <v>0.467532</v>
      </c>
      <c r="AX98" s="9" t="s">
        <v>85</v>
      </c>
      <c r="AY98" s="9" t="s">
        <v>85</v>
      </c>
      <c r="AZ98" s="9">
        <v>0.493506</v>
      </c>
      <c r="BA98" s="9" t="s">
        <v>85</v>
      </c>
      <c r="BB98" s="9" t="s">
        <v>85</v>
      </c>
      <c r="BC98" s="30">
        <v>0.480519</v>
      </c>
      <c r="BD98" s="9" t="s">
        <v>85</v>
      </c>
      <c r="BE98" s="9" t="s">
        <v>85</v>
      </c>
      <c r="BF98" s="9">
        <v>0.428571</v>
      </c>
      <c r="BG98" s="9" t="s">
        <v>85</v>
      </c>
      <c r="BH98" s="6"/>
      <c r="BI98" s="6" t="str">
        <f t="shared" si="1"/>
        <v>8BN_Fold_Median</v>
      </c>
      <c r="BJ98" s="6" t="str">
        <f t="shared" si="2"/>
        <v>8BN_Fold_Median</v>
      </c>
      <c r="BK98" s="6" t="str">
        <f t="shared" si="3"/>
        <v>8BN_Fold_Median</v>
      </c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</row>
    <row r="99" ht="15.75" customHeight="1">
      <c r="A99" s="1" t="s">
        <v>193</v>
      </c>
      <c r="B99" s="17">
        <v>2.0</v>
      </c>
      <c r="C99" s="9" t="s">
        <v>85</v>
      </c>
      <c r="D99" s="9">
        <v>0.61039</v>
      </c>
      <c r="E99" s="9" t="s">
        <v>85</v>
      </c>
      <c r="F99" s="9" t="s">
        <v>85</v>
      </c>
      <c r="G99" s="30">
        <v>0.61038959</v>
      </c>
      <c r="H99" s="9" t="s">
        <v>85</v>
      </c>
      <c r="I99" s="9" t="s">
        <v>85</v>
      </c>
      <c r="J99" s="9">
        <v>0.571429</v>
      </c>
      <c r="K99" s="9" t="s">
        <v>85</v>
      </c>
      <c r="L99" s="9" t="s">
        <v>85</v>
      </c>
      <c r="M99" s="9">
        <v>0.571429</v>
      </c>
      <c r="N99" s="9" t="s">
        <v>85</v>
      </c>
      <c r="O99" s="9" t="s">
        <v>85</v>
      </c>
      <c r="P99" s="9">
        <v>0.597403</v>
      </c>
      <c r="Q99" s="9" t="s">
        <v>85</v>
      </c>
      <c r="R99" s="9" t="s">
        <v>85</v>
      </c>
      <c r="S99" s="9">
        <v>0.597403</v>
      </c>
      <c r="T99" s="9" t="s">
        <v>85</v>
      </c>
      <c r="U99" s="9" t="s">
        <v>85</v>
      </c>
      <c r="V99" s="9">
        <v>0.558442</v>
      </c>
      <c r="W99" s="9" t="s">
        <v>85</v>
      </c>
      <c r="X99" s="9" t="s">
        <v>85</v>
      </c>
      <c r="Y99" s="9">
        <v>0.558442</v>
      </c>
      <c r="Z99" s="9" t="s">
        <v>85</v>
      </c>
      <c r="AA99" s="9" t="s">
        <v>85</v>
      </c>
      <c r="AB99" s="30">
        <v>0.623377</v>
      </c>
      <c r="AC99" s="9" t="s">
        <v>85</v>
      </c>
      <c r="AD99" s="9" t="s">
        <v>85</v>
      </c>
      <c r="AE99" s="30">
        <v>0.584416</v>
      </c>
      <c r="AF99" s="9" t="s">
        <v>85</v>
      </c>
      <c r="AG99" s="9" t="s">
        <v>85</v>
      </c>
      <c r="AH99" s="9">
        <v>0.558442</v>
      </c>
      <c r="AI99" s="9" t="s">
        <v>85</v>
      </c>
      <c r="AJ99" s="9" t="s">
        <v>85</v>
      </c>
      <c r="AK99" s="9">
        <v>0.545455</v>
      </c>
      <c r="AL99" s="9" t="s">
        <v>85</v>
      </c>
      <c r="AM99" s="9" t="s">
        <v>85</v>
      </c>
      <c r="AN99" s="9">
        <v>0.636364</v>
      </c>
      <c r="AO99" s="9" t="s">
        <v>85</v>
      </c>
      <c r="AP99" s="9" t="s">
        <v>85</v>
      </c>
      <c r="AQ99" s="30">
        <v>0.623377</v>
      </c>
      <c r="AR99" s="9" t="s">
        <v>85</v>
      </c>
      <c r="AS99" s="9" t="s">
        <v>85</v>
      </c>
      <c r="AT99" s="9">
        <v>0.61039</v>
      </c>
      <c r="AU99" s="9" t="s">
        <v>85</v>
      </c>
      <c r="AV99" s="9" t="s">
        <v>85</v>
      </c>
      <c r="AW99" s="9">
        <v>0.597403</v>
      </c>
      <c r="AX99" s="9" t="s">
        <v>85</v>
      </c>
      <c r="AY99" s="9" t="s">
        <v>85</v>
      </c>
      <c r="AZ99" s="9">
        <v>0.597403</v>
      </c>
      <c r="BA99" s="9" t="s">
        <v>85</v>
      </c>
      <c r="BB99" s="9" t="s">
        <v>85</v>
      </c>
      <c r="BC99" s="30">
        <v>0.623377</v>
      </c>
      <c r="BD99" s="9" t="s">
        <v>85</v>
      </c>
      <c r="BE99" s="9" t="s">
        <v>85</v>
      </c>
      <c r="BF99" s="9">
        <v>0.571429</v>
      </c>
      <c r="BG99" s="9" t="s">
        <v>85</v>
      </c>
      <c r="BH99" s="6"/>
      <c r="BI99" s="6" t="str">
        <f t="shared" si="1"/>
        <v>12B_Fold_Median</v>
      </c>
      <c r="BJ99" s="6" t="str">
        <f t="shared" si="2"/>
        <v>10B_Fold_Median</v>
      </c>
      <c r="BK99" s="6" t="str">
        <f t="shared" si="3"/>
        <v>10B_Fold_Median</v>
      </c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</row>
    <row r="100" ht="15.75" customHeight="1">
      <c r="A100" s="1" t="s">
        <v>194</v>
      </c>
      <c r="B100" s="17">
        <v>2.0</v>
      </c>
      <c r="C100" s="9" t="s">
        <v>85</v>
      </c>
      <c r="D100" s="9">
        <v>0.704</v>
      </c>
      <c r="E100" s="9" t="s">
        <v>85</v>
      </c>
      <c r="F100" s="9" t="s">
        <v>85</v>
      </c>
      <c r="G100" s="30">
        <v>0.702000022</v>
      </c>
      <c r="H100" s="9" t="s">
        <v>85</v>
      </c>
      <c r="I100" s="9" t="s">
        <v>85</v>
      </c>
      <c r="J100" s="9">
        <v>0.752</v>
      </c>
      <c r="K100" s="9" t="s">
        <v>85</v>
      </c>
      <c r="L100" s="9" t="s">
        <v>85</v>
      </c>
      <c r="M100" s="9">
        <v>0.753667</v>
      </c>
      <c r="N100" s="9" t="s">
        <v>85</v>
      </c>
      <c r="O100" s="9" t="s">
        <v>85</v>
      </c>
      <c r="P100" s="9">
        <v>0.705667</v>
      </c>
      <c r="Q100" s="9" t="s">
        <v>85</v>
      </c>
      <c r="R100" s="9" t="s">
        <v>85</v>
      </c>
      <c r="S100" s="9">
        <v>0.732</v>
      </c>
      <c r="T100" s="9" t="s">
        <v>85</v>
      </c>
      <c r="U100" s="9" t="s">
        <v>85</v>
      </c>
      <c r="V100" s="9">
        <v>0.748333</v>
      </c>
      <c r="W100" s="9" t="s">
        <v>85</v>
      </c>
      <c r="X100" s="9" t="s">
        <v>85</v>
      </c>
      <c r="Y100" s="9">
        <v>0.753</v>
      </c>
      <c r="Z100" s="9" t="s">
        <v>85</v>
      </c>
      <c r="AA100" s="9" t="s">
        <v>85</v>
      </c>
      <c r="AB100" s="30">
        <v>0.749667</v>
      </c>
      <c r="AC100" s="9" t="s">
        <v>85</v>
      </c>
      <c r="AD100" s="9" t="s">
        <v>85</v>
      </c>
      <c r="AE100" s="30">
        <v>0.745667</v>
      </c>
      <c r="AF100" s="9" t="s">
        <v>85</v>
      </c>
      <c r="AG100" s="9" t="s">
        <v>85</v>
      </c>
      <c r="AH100" s="9">
        <v>0.763333</v>
      </c>
      <c r="AI100" s="9" t="s">
        <v>85</v>
      </c>
      <c r="AJ100" s="9" t="s">
        <v>85</v>
      </c>
      <c r="AK100" s="9">
        <v>0.779</v>
      </c>
      <c r="AL100" s="9" t="s">
        <v>85</v>
      </c>
      <c r="AM100" s="9" t="s">
        <v>85</v>
      </c>
      <c r="AN100" s="9">
        <v>0.756</v>
      </c>
      <c r="AO100" s="9" t="s">
        <v>85</v>
      </c>
      <c r="AP100" s="9" t="s">
        <v>85</v>
      </c>
      <c r="AQ100" s="30">
        <v>0.755</v>
      </c>
      <c r="AR100" s="9" t="s">
        <v>85</v>
      </c>
      <c r="AS100" s="9" t="s">
        <v>85</v>
      </c>
      <c r="AT100" s="9">
        <v>0.762333</v>
      </c>
      <c r="AU100" s="9" t="s">
        <v>85</v>
      </c>
      <c r="AV100" s="9" t="s">
        <v>85</v>
      </c>
      <c r="AW100" s="9">
        <v>0.773667</v>
      </c>
      <c r="AX100" s="9" t="s">
        <v>85</v>
      </c>
      <c r="AY100" s="9" t="s">
        <v>85</v>
      </c>
      <c r="AZ100" s="9">
        <v>0.764</v>
      </c>
      <c r="BA100" s="9" t="s">
        <v>85</v>
      </c>
      <c r="BB100" s="9" t="s">
        <v>85</v>
      </c>
      <c r="BC100" s="30">
        <v>0.780667</v>
      </c>
      <c r="BD100" s="9" t="s">
        <v>85</v>
      </c>
      <c r="BE100" s="9" t="s">
        <v>85</v>
      </c>
      <c r="BF100" s="9">
        <v>0.599</v>
      </c>
      <c r="BG100" s="9" t="s">
        <v>85</v>
      </c>
      <c r="BH100" s="6"/>
      <c r="BI100" s="6" t="str">
        <f t="shared" si="1"/>
        <v>20V_Fold_Median</v>
      </c>
      <c r="BJ100" s="6" t="str">
        <f t="shared" si="2"/>
        <v>10VB_Fold_Median</v>
      </c>
      <c r="BK100" s="6" t="str">
        <f t="shared" si="3"/>
        <v>12VB_Fold_Median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ht="15.75" customHeight="1">
      <c r="A101" s="15"/>
      <c r="B101" s="15"/>
      <c r="I101" s="1"/>
      <c r="J101" s="1"/>
      <c r="K101" s="1"/>
      <c r="O101" s="1"/>
      <c r="P101" s="1"/>
      <c r="Q101" s="1"/>
      <c r="R101" s="1"/>
      <c r="S101" s="1"/>
      <c r="T101" s="1"/>
      <c r="W101" s="1"/>
      <c r="AA101" s="1"/>
      <c r="AB101" s="1"/>
      <c r="AC101" s="1"/>
      <c r="AD101" s="1"/>
      <c r="AE101" s="1"/>
      <c r="AG101" s="1"/>
      <c r="AH101" s="1"/>
      <c r="AI101" s="1"/>
      <c r="AM101" s="1"/>
      <c r="AN101" s="1"/>
      <c r="AO101" s="1"/>
      <c r="AP101" s="1"/>
      <c r="AQ101" s="1"/>
      <c r="AR101" s="1"/>
      <c r="AU101" s="1"/>
      <c r="AY101" s="1"/>
      <c r="AZ101" s="1"/>
      <c r="BA101" s="1"/>
      <c r="BB101" s="1"/>
      <c r="BC101" s="1"/>
    </row>
    <row r="102" ht="15.75" customHeight="1">
      <c r="A102" s="15"/>
      <c r="B102" s="15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ht="15.75" customHeight="1">
      <c r="A103" s="15"/>
      <c r="B103" s="15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ht="15.75" customHeight="1">
      <c r="A104" s="15"/>
      <c r="B104" s="1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ht="15.75" customHeight="1">
      <c r="A105" s="15"/>
      <c r="B105" s="1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ht="15.75" customHeight="1">
      <c r="A106" s="15"/>
      <c r="B106" s="1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ht="15.75" customHeight="1">
      <c r="B107" s="1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ht="15.75" customHeight="1">
      <c r="B108" s="1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ht="15.75" customHeight="1">
      <c r="B109" s="1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ht="15.75" customHeight="1">
      <c r="B110" s="1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ht="15.75" customHeight="1">
      <c r="B111" s="1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ht="15.75" customHeight="1">
      <c r="B112" s="1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ht="15.75" customHeight="1">
      <c r="B113" s="1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ht="15.75" customHeight="1">
      <c r="B114" s="1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ht="15.75" customHeight="1">
      <c r="B115" s="1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ht="15.75" customHeight="1">
      <c r="B116" s="1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ht="15.75" customHeight="1">
      <c r="B117" s="1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ht="15.75" customHeight="1">
      <c r="B118" s="1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ht="15.75" customHeight="1">
      <c r="B119" s="1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ht="15.75" customHeight="1">
      <c r="B120" s="1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ht="15.75" customHeight="1">
      <c r="B121" s="1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ht="15.75" customHeight="1">
      <c r="B122" s="1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ht="15.75" customHeight="1">
      <c r="B123" s="1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ht="15.75" customHeight="1">
      <c r="B124" s="1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ht="15.75" customHeight="1">
      <c r="B125" s="1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ht="15.75" customHeight="1">
      <c r="B126" s="15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ht="15.75" customHeight="1">
      <c r="B127" s="1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ht="15.75" customHeight="1">
      <c r="B128" s="15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ht="15.75" customHeight="1">
      <c r="B129" s="15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ht="15.75" customHeight="1">
      <c r="B130" s="15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ht="15.75" customHeight="1">
      <c r="B131" s="15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ht="15.75" customHeight="1">
      <c r="B132" s="15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ht="15.75" customHeight="1">
      <c r="B133" s="15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ht="15.75" customHeight="1">
      <c r="B134" s="15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ht="15.75" customHeight="1">
      <c r="B135" s="15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ht="15.75" customHeight="1">
      <c r="B136" s="15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ht="15.75" customHeight="1">
      <c r="B137" s="15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ht="15.75" customHeight="1">
      <c r="B138" s="15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ht="15.75" customHeight="1">
      <c r="B139" s="15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ht="15.75" customHeight="1">
      <c r="B140" s="15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ht="15.75" customHeight="1">
      <c r="B141" s="15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ht="15.75" customHeight="1">
      <c r="B142" s="15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ht="15.75" customHeight="1">
      <c r="B143" s="15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ht="15.75" customHeight="1">
      <c r="B144" s="15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ht="15.75" customHeight="1">
      <c r="B145" s="15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ht="15.75" customHeight="1">
      <c r="B146" s="15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ht="15.75" customHeight="1">
      <c r="B147" s="15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ht="15.75" customHeight="1">
      <c r="B148" s="15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ht="15.75" customHeight="1">
      <c r="B149" s="15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ht="15.75" customHeight="1">
      <c r="B150" s="15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ht="15.75" customHeight="1">
      <c r="B151" s="15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ht="15.75" customHeight="1">
      <c r="B152" s="15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ht="15.75" customHeight="1">
      <c r="B153" s="15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ht="15.75" customHeight="1">
      <c r="B154" s="15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ht="15.75" customHeight="1">
      <c r="B155" s="15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ht="15.75" customHeight="1">
      <c r="B156" s="15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ht="15.75" customHeight="1">
      <c r="B157" s="15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ht="15.75" customHeight="1">
      <c r="B158" s="15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ht="15.75" customHeight="1">
      <c r="B159" s="15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ht="15.75" customHeight="1">
      <c r="B160" s="15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ht="15.75" customHeight="1">
      <c r="B161" s="15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ht="15.75" customHeight="1">
      <c r="B162" s="15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ht="15.75" customHeight="1">
      <c r="B163" s="15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ht="15.75" customHeight="1">
      <c r="B164" s="15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ht="15.75" customHeight="1">
      <c r="B165" s="15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ht="15.75" customHeight="1">
      <c r="B166" s="15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ht="15.75" customHeight="1">
      <c r="B167" s="15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ht="15.75" customHeight="1">
      <c r="B168" s="15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ht="15.75" customHeight="1">
      <c r="B169" s="15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ht="15.75" customHeight="1">
      <c r="B170" s="15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ht="15.75" customHeight="1">
      <c r="B171" s="15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ht="15.75" customHeight="1">
      <c r="B172" s="15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ht="15.75" customHeight="1">
      <c r="B173" s="15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ht="15.75" customHeight="1">
      <c r="B174" s="15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ht="15.75" customHeight="1">
      <c r="B175" s="15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ht="15.75" customHeight="1">
      <c r="B176" s="15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ht="15.75" customHeight="1">
      <c r="B177" s="15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ht="15.75" customHeight="1">
      <c r="B178" s="15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ht="15.75" customHeight="1">
      <c r="B179" s="15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ht="15.75" customHeight="1">
      <c r="B180" s="15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ht="15.75" customHeight="1">
      <c r="B181" s="15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ht="15.75" customHeight="1">
      <c r="B182" s="15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ht="15.75" customHeight="1">
      <c r="B183" s="15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ht="15.75" customHeight="1">
      <c r="B184" s="15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ht="15.75" customHeight="1">
      <c r="B185" s="15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ht="15.75" customHeight="1">
      <c r="B186" s="15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ht="15.75" customHeight="1">
      <c r="B187" s="15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ht="15.75" customHeight="1">
      <c r="B188" s="15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ht="15.75" customHeight="1">
      <c r="B189" s="15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ht="15.75" customHeight="1">
      <c r="B190" s="15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ht="15.75" customHeight="1">
      <c r="B191" s="15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ht="15.75" customHeight="1">
      <c r="B192" s="15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ht="15.75" customHeight="1">
      <c r="B193" s="15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ht="15.75" customHeight="1">
      <c r="B194" s="15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ht="15.75" customHeight="1">
      <c r="B195" s="15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ht="15.75" customHeight="1">
      <c r="B196" s="15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ht="15.75" customHeight="1">
      <c r="B197" s="15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ht="15.75" customHeight="1">
      <c r="B198" s="15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ht="15.75" customHeight="1">
      <c r="B199" s="15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ht="15.75" customHeight="1">
      <c r="B200" s="15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ht="15.75" customHeight="1">
      <c r="B201" s="15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ht="15.75" customHeight="1">
      <c r="B202" s="15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ht="15.75" customHeight="1">
      <c r="B203" s="15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ht="15.75" customHeight="1">
      <c r="B204" s="15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ht="15.75" customHeight="1">
      <c r="B205" s="15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ht="15.75" customHeight="1">
      <c r="B206" s="15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ht="15.75" customHeight="1">
      <c r="B207" s="15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ht="15.75" customHeight="1">
      <c r="B208" s="15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ht="15.75" customHeight="1">
      <c r="B209" s="15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ht="15.75" customHeight="1">
      <c r="B210" s="15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ht="15.75" customHeight="1">
      <c r="B211" s="15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ht="15.75" customHeight="1">
      <c r="B212" s="15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ht="15.75" customHeight="1">
      <c r="B213" s="15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ht="15.75" customHeight="1">
      <c r="B214" s="15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ht="15.75" customHeight="1">
      <c r="B215" s="15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ht="15.75" customHeight="1">
      <c r="B216" s="15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ht="15.75" customHeight="1">
      <c r="B217" s="15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ht="15.75" customHeight="1">
      <c r="B218" s="15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ht="15.75" customHeight="1">
      <c r="B219" s="15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ht="15.75" customHeight="1">
      <c r="B220" s="15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ht="15.75" customHeight="1">
      <c r="B221" s="15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ht="15.75" customHeight="1">
      <c r="B222" s="15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ht="15.75" customHeight="1">
      <c r="B223" s="15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ht="15.75" customHeight="1">
      <c r="B224" s="15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ht="15.75" customHeight="1">
      <c r="B225" s="15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ht="15.75" customHeight="1">
      <c r="B226" s="15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ht="15.75" customHeight="1">
      <c r="B227" s="15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ht="15.75" customHeight="1">
      <c r="B228" s="15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ht="15.75" customHeight="1">
      <c r="B229" s="15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ht="15.75" customHeight="1">
      <c r="B230" s="15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ht="15.75" customHeight="1">
      <c r="B231" s="15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ht="15.75" customHeight="1">
      <c r="B232" s="15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ht="15.75" customHeight="1">
      <c r="B233" s="15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ht="15.75" customHeight="1">
      <c r="B234" s="15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ht="15.75" customHeight="1">
      <c r="B235" s="15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ht="15.75" customHeight="1">
      <c r="B236" s="15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ht="15.75" customHeight="1">
      <c r="B237" s="15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ht="15.75" customHeight="1">
      <c r="B238" s="15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ht="15.75" customHeight="1">
      <c r="B239" s="15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ht="15.75" customHeight="1">
      <c r="B240" s="15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ht="15.75" customHeight="1">
      <c r="B241" s="15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ht="15.75" customHeight="1">
      <c r="B242" s="15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ht="15.75" customHeight="1">
      <c r="B243" s="15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ht="15.75" customHeight="1">
      <c r="B244" s="15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ht="15.75" customHeight="1">
      <c r="B245" s="15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ht="15.75" customHeight="1">
      <c r="B246" s="15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ht="15.75" customHeight="1">
      <c r="B247" s="15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ht="15.75" customHeight="1">
      <c r="B248" s="15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ht="15.75" customHeight="1">
      <c r="B249" s="15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ht="15.75" customHeight="1">
      <c r="B250" s="15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ht="15.75" customHeight="1">
      <c r="B251" s="15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ht="15.75" customHeight="1">
      <c r="B252" s="15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ht="15.75" customHeight="1">
      <c r="B253" s="15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ht="15.75" customHeight="1">
      <c r="B254" s="15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ht="15.75" customHeight="1">
      <c r="B255" s="15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ht="15.75" customHeight="1">
      <c r="B256" s="15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ht="15.75" customHeight="1">
      <c r="B257" s="15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ht="15.75" customHeight="1">
      <c r="B258" s="15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ht="15.75" customHeight="1">
      <c r="B259" s="15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ht="15.75" customHeight="1">
      <c r="B260" s="15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ht="15.75" customHeight="1">
      <c r="B261" s="15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ht="15.75" customHeight="1">
      <c r="B262" s="15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ht="15.75" customHeight="1">
      <c r="B263" s="15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ht="15.75" customHeight="1">
      <c r="B264" s="15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ht="15.75" customHeight="1">
      <c r="B265" s="15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ht="15.75" customHeight="1">
      <c r="B266" s="15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ht="15.75" customHeight="1">
      <c r="B267" s="15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ht="15.75" customHeight="1">
      <c r="B268" s="15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ht="15.75" customHeight="1">
      <c r="B269" s="15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ht="15.75" customHeight="1">
      <c r="B270" s="15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ht="15.75" customHeight="1">
      <c r="B271" s="15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ht="15.75" customHeight="1">
      <c r="B272" s="15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ht="15.75" customHeight="1">
      <c r="B273" s="15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ht="15.75" customHeight="1">
      <c r="B274" s="15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ht="15.75" customHeight="1">
      <c r="B275" s="15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ht="15.75" customHeight="1">
      <c r="B276" s="15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ht="15.75" customHeight="1">
      <c r="B277" s="15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ht="15.75" customHeight="1">
      <c r="B278" s="15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ht="15.75" customHeight="1">
      <c r="B279" s="15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ht="15.75" customHeight="1">
      <c r="B280" s="15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ht="15.75" customHeight="1">
      <c r="B281" s="15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ht="15.75" customHeight="1">
      <c r="B282" s="15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ht="15.75" customHeight="1">
      <c r="B283" s="15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ht="15.75" customHeight="1">
      <c r="B284" s="15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ht="15.75" customHeight="1">
      <c r="B285" s="15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ht="15.75" customHeight="1">
      <c r="B286" s="15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ht="15.75" customHeight="1">
      <c r="B287" s="15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ht="15.75" customHeight="1">
      <c r="B288" s="15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ht="15.75" customHeight="1">
      <c r="B289" s="15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ht="15.75" customHeight="1">
      <c r="B290" s="15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ht="15.75" customHeight="1">
      <c r="B291" s="15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ht="15.75" customHeight="1">
      <c r="B292" s="15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ht="15.75" customHeight="1">
      <c r="B293" s="15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ht="15.75" customHeight="1">
      <c r="B294" s="15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ht="15.75" customHeight="1">
      <c r="B295" s="15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ht="15.75" customHeight="1">
      <c r="B296" s="15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ht="15.75" customHeight="1">
      <c r="B297" s="15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ht="15.75" customHeight="1">
      <c r="B298" s="15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ht="15.75" customHeight="1">
      <c r="B299" s="15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ht="15.75" customHeight="1">
      <c r="B300" s="15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</sheetData>
  <mergeCells count="23">
    <mergeCell ref="C1:E1"/>
    <mergeCell ref="F1:H1"/>
    <mergeCell ref="I1:K1"/>
    <mergeCell ref="L1:N1"/>
    <mergeCell ref="O1:Q1"/>
    <mergeCell ref="R1:T1"/>
    <mergeCell ref="U1:W1"/>
    <mergeCell ref="X1:Z1"/>
    <mergeCell ref="AA1:AC1"/>
    <mergeCell ref="AD1:AF1"/>
    <mergeCell ref="AG1:AI1"/>
    <mergeCell ref="AJ1:AL1"/>
    <mergeCell ref="AM1:AO1"/>
    <mergeCell ref="AP1:AR1"/>
    <mergeCell ref="CC7:CE7"/>
    <mergeCell ref="CI7:CK7"/>
    <mergeCell ref="AS1:AU1"/>
    <mergeCell ref="AV1:AX1"/>
    <mergeCell ref="AY1:BA1"/>
    <mergeCell ref="BB1:BD1"/>
    <mergeCell ref="BE1:BG1"/>
    <mergeCell ref="BW7:BY7"/>
    <mergeCell ref="BZ7:CB7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27.63"/>
    <col customWidth="1" min="2" max="2" width="13.88"/>
    <col customWidth="1" min="3" max="3" width="15.13"/>
    <col customWidth="1" min="4" max="5" width="13.75"/>
    <col customWidth="1" min="6" max="6" width="15.38"/>
    <col customWidth="1" min="7" max="7" width="13.75"/>
    <col customWidth="1" min="11" max="11" width="13.38"/>
    <col customWidth="1" min="12" max="12" width="17.75"/>
    <col customWidth="1" min="15" max="15" width="14.38"/>
    <col customWidth="1" min="18" max="18" width="13.88"/>
    <col customWidth="1" min="21" max="21" width="14.13"/>
    <col customWidth="1" min="23" max="23" width="13.88"/>
    <col customWidth="1" min="24" max="24" width="14.25"/>
    <col customWidth="1" min="26" max="26" width="13.75"/>
    <col customWidth="1" min="27" max="27" width="14.38"/>
    <col customWidth="1" min="29" max="29" width="14.0"/>
    <col customWidth="1" min="30" max="30" width="15.0"/>
    <col customWidth="1" min="33" max="33" width="13.25"/>
    <col customWidth="1" min="35" max="35" width="15.25"/>
    <col customWidth="1" min="36" max="36" width="16.38"/>
    <col customWidth="1" min="37" max="37" width="13.88"/>
    <col customWidth="1" min="39" max="39" width="14.38"/>
    <col customWidth="1" min="41" max="41" width="13.38"/>
    <col customWidth="1" min="42" max="42" width="14.13"/>
    <col customWidth="1" min="45" max="45" width="15.38"/>
    <col customWidth="1" min="47" max="47" width="14.88"/>
    <col customWidth="1" min="48" max="48" width="16.88"/>
    <col customWidth="1" min="50" max="50" width="14.75"/>
    <col customWidth="1" min="51" max="51" width="15.88"/>
    <col customWidth="1" min="60" max="60" width="17.38"/>
    <col customWidth="1" min="61" max="61" width="16.75"/>
    <col customWidth="1" min="62" max="62" width="16.63"/>
    <col customWidth="1" min="65" max="67" width="17.38"/>
    <col customWidth="1" min="68" max="68" width="15.25"/>
  </cols>
  <sheetData>
    <row r="1" ht="15.75" customHeight="1">
      <c r="A1" s="1" t="s">
        <v>0</v>
      </c>
      <c r="B1" s="3" t="s">
        <v>2</v>
      </c>
      <c r="E1" s="3" t="s">
        <v>3</v>
      </c>
      <c r="H1" s="3" t="s">
        <v>4</v>
      </c>
      <c r="K1" s="3" t="s">
        <v>5</v>
      </c>
      <c r="N1" s="3" t="s">
        <v>6</v>
      </c>
      <c r="Q1" s="3" t="s">
        <v>7</v>
      </c>
      <c r="T1" s="3" t="s">
        <v>8</v>
      </c>
      <c r="W1" s="3" t="s">
        <v>9</v>
      </c>
      <c r="Z1" s="3" t="s">
        <v>10</v>
      </c>
      <c r="AC1" s="3" t="s">
        <v>11</v>
      </c>
      <c r="AF1" s="3" t="s">
        <v>12</v>
      </c>
      <c r="AI1" s="3" t="s">
        <v>13</v>
      </c>
      <c r="AL1" s="3" t="s">
        <v>14</v>
      </c>
      <c r="AO1" s="3" t="s">
        <v>15</v>
      </c>
      <c r="AR1" s="3" t="s">
        <v>16</v>
      </c>
      <c r="AU1" s="3" t="s">
        <v>17</v>
      </c>
      <c r="AX1" s="3" t="s">
        <v>18</v>
      </c>
      <c r="BA1" s="3" t="s">
        <v>19</v>
      </c>
      <c r="BD1" s="3" t="s">
        <v>20</v>
      </c>
      <c r="BG1" s="1"/>
      <c r="BI1" s="1"/>
      <c r="BJ1" s="1"/>
      <c r="BK1" s="1"/>
      <c r="BL1" s="1"/>
      <c r="BM1" s="1"/>
      <c r="BN1" s="1"/>
      <c r="BQ1" s="1"/>
      <c r="BR1" s="1"/>
      <c r="BS1" s="1"/>
      <c r="BU1" s="1"/>
      <c r="BV1" s="1"/>
      <c r="BW1" s="1"/>
      <c r="BX1" s="1"/>
      <c r="BY1" s="1"/>
      <c r="BZ1" s="1"/>
      <c r="CA1" s="1"/>
    </row>
    <row r="2" ht="15.75" customHeight="1">
      <c r="A2" s="1"/>
      <c r="B2" s="1" t="s">
        <v>21</v>
      </c>
      <c r="C2" s="1" t="s">
        <v>22</v>
      </c>
      <c r="D2" s="4" t="s">
        <v>23</v>
      </c>
      <c r="E2" s="1" t="s">
        <v>24</v>
      </c>
      <c r="F2" s="1" t="s">
        <v>25</v>
      </c>
      <c r="G2" s="4" t="s">
        <v>26</v>
      </c>
      <c r="H2" s="1" t="s">
        <v>27</v>
      </c>
      <c r="I2" s="1" t="s">
        <v>28</v>
      </c>
      <c r="J2" s="5" t="s">
        <v>29</v>
      </c>
      <c r="K2" s="1" t="s">
        <v>30</v>
      </c>
      <c r="L2" s="1" t="s">
        <v>31</v>
      </c>
      <c r="M2" s="5" t="s">
        <v>32</v>
      </c>
      <c r="N2" s="1" t="s">
        <v>33</v>
      </c>
      <c r="O2" s="1" t="s">
        <v>34</v>
      </c>
      <c r="P2" s="5" t="s">
        <v>35</v>
      </c>
      <c r="Q2" s="1" t="s">
        <v>36</v>
      </c>
      <c r="R2" s="1" t="s">
        <v>37</v>
      </c>
      <c r="S2" s="5" t="s">
        <v>38</v>
      </c>
      <c r="T2" s="1" t="s">
        <v>39</v>
      </c>
      <c r="U2" s="1" t="s">
        <v>40</v>
      </c>
      <c r="V2" s="5" t="s">
        <v>41</v>
      </c>
      <c r="W2" s="1" t="s">
        <v>42</v>
      </c>
      <c r="X2" s="1" t="s">
        <v>43</v>
      </c>
      <c r="Y2" s="5" t="s">
        <v>44</v>
      </c>
      <c r="Z2" s="1" t="s">
        <v>45</v>
      </c>
      <c r="AA2" s="1" t="s">
        <v>46</v>
      </c>
      <c r="AB2" s="5" t="s">
        <v>47</v>
      </c>
      <c r="AC2" s="1" t="s">
        <v>48</v>
      </c>
      <c r="AD2" s="1" t="s">
        <v>49</v>
      </c>
      <c r="AE2" s="5" t="s">
        <v>50</v>
      </c>
      <c r="AF2" s="1" t="s">
        <v>51</v>
      </c>
      <c r="AG2" s="1" t="s">
        <v>52</v>
      </c>
      <c r="AH2" s="5" t="s">
        <v>53</v>
      </c>
      <c r="AI2" s="1" t="s">
        <v>54</v>
      </c>
      <c r="AJ2" s="1" t="s">
        <v>55</v>
      </c>
      <c r="AK2" s="5" t="s">
        <v>56</v>
      </c>
      <c r="AL2" s="1" t="s">
        <v>57</v>
      </c>
      <c r="AM2" s="1" t="s">
        <v>58</v>
      </c>
      <c r="AN2" s="5" t="s">
        <v>59</v>
      </c>
      <c r="AO2" s="1" t="s">
        <v>60</v>
      </c>
      <c r="AP2" s="1" t="s">
        <v>61</v>
      </c>
      <c r="AQ2" s="5" t="s">
        <v>62</v>
      </c>
      <c r="AR2" s="1" t="s">
        <v>63</v>
      </c>
      <c r="AS2" s="1" t="s">
        <v>64</v>
      </c>
      <c r="AT2" s="5" t="s">
        <v>65</v>
      </c>
      <c r="AU2" s="1" t="s">
        <v>66</v>
      </c>
      <c r="AV2" s="1" t="s">
        <v>67</v>
      </c>
      <c r="AW2" s="5" t="s">
        <v>68</v>
      </c>
      <c r="AX2" s="1" t="s">
        <v>69</v>
      </c>
      <c r="AY2" s="1" t="s">
        <v>70</v>
      </c>
      <c r="AZ2" s="5" t="s">
        <v>71</v>
      </c>
      <c r="BA2" s="1" t="s">
        <v>72</v>
      </c>
      <c r="BB2" s="1" t="s">
        <v>73</v>
      </c>
      <c r="BC2" s="5" t="s">
        <v>74</v>
      </c>
      <c r="BD2" s="1" t="s">
        <v>75</v>
      </c>
      <c r="BE2" s="1" t="s">
        <v>76</v>
      </c>
      <c r="BF2" s="5" t="s">
        <v>77</v>
      </c>
      <c r="BG2" s="1"/>
      <c r="BH2" s="1" t="s">
        <v>213</v>
      </c>
      <c r="BI2" s="1" t="s">
        <v>214</v>
      </c>
      <c r="BJ2" s="1" t="s">
        <v>215</v>
      </c>
      <c r="BK2" s="1"/>
      <c r="BL2" s="1" t="s">
        <v>216</v>
      </c>
      <c r="BM2" s="1" t="s">
        <v>217</v>
      </c>
      <c r="BN2" s="1" t="s">
        <v>218</v>
      </c>
      <c r="BO2" s="1" t="s">
        <v>219</v>
      </c>
      <c r="BQ2" s="1"/>
      <c r="BR2" s="1"/>
      <c r="BS2" s="1"/>
      <c r="BU2" s="1"/>
      <c r="BV2" s="1"/>
      <c r="BW2" s="1"/>
      <c r="BX2" s="1"/>
      <c r="BY2" s="1"/>
      <c r="BZ2" s="1"/>
      <c r="CA2" s="1"/>
    </row>
    <row r="3" ht="15.75" customHeight="1">
      <c r="A3" s="1" t="s">
        <v>84</v>
      </c>
      <c r="B3" s="9" t="s">
        <v>85</v>
      </c>
      <c r="C3" s="9">
        <v>0.64</v>
      </c>
      <c r="D3" s="9" t="s">
        <v>85</v>
      </c>
      <c r="E3" s="9" t="s">
        <v>85</v>
      </c>
      <c r="F3" s="30">
        <v>0.569999993</v>
      </c>
      <c r="G3" s="9" t="s">
        <v>85</v>
      </c>
      <c r="H3" s="9" t="s">
        <v>85</v>
      </c>
      <c r="I3" s="9">
        <v>0.56</v>
      </c>
      <c r="J3" s="9" t="s">
        <v>85</v>
      </c>
      <c r="K3" s="9" t="s">
        <v>85</v>
      </c>
      <c r="L3" s="9">
        <v>0.6</v>
      </c>
      <c r="M3" s="9" t="s">
        <v>85</v>
      </c>
      <c r="N3" s="9" t="s">
        <v>85</v>
      </c>
      <c r="O3" s="9">
        <v>0.62</v>
      </c>
      <c r="P3" s="9" t="s">
        <v>85</v>
      </c>
      <c r="Q3" s="9" t="s">
        <v>85</v>
      </c>
      <c r="R3" s="9">
        <v>0.62</v>
      </c>
      <c r="S3" s="9" t="s">
        <v>85</v>
      </c>
      <c r="T3" s="9" t="s">
        <v>85</v>
      </c>
      <c r="U3" s="9">
        <v>0.5</v>
      </c>
      <c r="V3" s="9" t="s">
        <v>85</v>
      </c>
      <c r="W3" s="9" t="s">
        <v>85</v>
      </c>
      <c r="X3" s="9">
        <v>0.42</v>
      </c>
      <c r="Y3" s="9" t="s">
        <v>85</v>
      </c>
      <c r="Z3" s="9" t="s">
        <v>85</v>
      </c>
      <c r="AA3" s="30">
        <v>0.53</v>
      </c>
      <c r="AB3" s="9" t="s">
        <v>85</v>
      </c>
      <c r="AC3" s="9" t="s">
        <v>85</v>
      </c>
      <c r="AD3" s="30">
        <v>0.61</v>
      </c>
      <c r="AE3" s="9" t="s">
        <v>85</v>
      </c>
      <c r="AF3" s="9" t="s">
        <v>85</v>
      </c>
      <c r="AG3" s="9">
        <v>0.48</v>
      </c>
      <c r="AH3" s="9" t="s">
        <v>85</v>
      </c>
      <c r="AI3" s="9" t="s">
        <v>85</v>
      </c>
      <c r="AJ3" s="9">
        <v>0.47</v>
      </c>
      <c r="AK3" s="9" t="s">
        <v>85</v>
      </c>
      <c r="AL3" s="9" t="s">
        <v>85</v>
      </c>
      <c r="AM3" s="9">
        <v>0.65</v>
      </c>
      <c r="AN3" s="9" t="s">
        <v>85</v>
      </c>
      <c r="AO3" s="9" t="s">
        <v>85</v>
      </c>
      <c r="AP3" s="30">
        <v>0.64</v>
      </c>
      <c r="AQ3" s="9" t="s">
        <v>85</v>
      </c>
      <c r="AR3" s="9" t="s">
        <v>85</v>
      </c>
      <c r="AS3" s="9">
        <v>0.43</v>
      </c>
      <c r="AT3" s="9" t="s">
        <v>85</v>
      </c>
      <c r="AU3" s="9" t="s">
        <v>85</v>
      </c>
      <c r="AV3" s="9">
        <v>0.35</v>
      </c>
      <c r="AW3" s="9" t="s">
        <v>85</v>
      </c>
      <c r="AX3" s="9" t="s">
        <v>85</v>
      </c>
      <c r="AY3" s="9">
        <v>0.65</v>
      </c>
      <c r="AZ3" s="9" t="s">
        <v>85</v>
      </c>
      <c r="BA3" s="9" t="s">
        <v>85</v>
      </c>
      <c r="BB3" s="30">
        <v>0.2</v>
      </c>
      <c r="BC3" s="9" t="s">
        <v>85</v>
      </c>
      <c r="BD3" s="10" t="s">
        <v>85</v>
      </c>
      <c r="BE3" s="10" t="s">
        <v>85</v>
      </c>
      <c r="BF3" s="9" t="s">
        <v>85</v>
      </c>
      <c r="BG3" s="6"/>
      <c r="BH3" s="6" t="str">
        <f t="shared" ref="BH3:BH100" si="1">INDEX($B$2:$BF$2,0,MATCH(MAX(B3:BF3),B3:BF3,0))</f>
        <v>12B_Fold_Median</v>
      </c>
      <c r="BI3" s="6" t="str">
        <f t="shared" ref="BI3:BI100" si="2">INDEX($B$2:$BF$2,0,MATCH(LARGE(B3:BF3,2),B3:BF3,0))</f>
        <v>12B_Fold_Median</v>
      </c>
      <c r="BJ3" s="6" t="str">
        <f t="shared" ref="BJ3:BJ100" si="3">INDEX($B$2:$BF$2,0,MATCH(LARGE(B3:BF3,3),B3:BF3,0))</f>
        <v>5B_Fold_Median</v>
      </c>
      <c r="BK3" s="6"/>
      <c r="BL3" s="6">
        <f>COUNTA(BH3:BJ100)</f>
        <v>294</v>
      </c>
      <c r="BM3" s="6">
        <f>COUNTIF(BH3:BJ100,"*De*")</f>
        <v>0</v>
      </c>
      <c r="BN3" s="6">
        <f>COUNTIF(BH3:BJ100,"*V*")</f>
        <v>138</v>
      </c>
      <c r="BO3" s="6">
        <f>MINUS(BL3,SUM(BM3,BN3))</f>
        <v>156</v>
      </c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</row>
    <row r="4" ht="15.75" customHeight="1">
      <c r="A4" s="1" t="s">
        <v>89</v>
      </c>
      <c r="B4" s="9" t="s">
        <v>85</v>
      </c>
      <c r="C4" s="9">
        <v>0.29156</v>
      </c>
      <c r="D4" s="9" t="s">
        <v>85</v>
      </c>
      <c r="E4" s="9" t="s">
        <v>85</v>
      </c>
      <c r="F4" s="30">
        <v>0.319693089</v>
      </c>
      <c r="G4" s="9" t="s">
        <v>85</v>
      </c>
      <c r="H4" s="9" t="s">
        <v>85</v>
      </c>
      <c r="I4" s="9">
        <v>0.186701</v>
      </c>
      <c r="J4" s="9" t="s">
        <v>85</v>
      </c>
      <c r="K4" s="9" t="s">
        <v>85</v>
      </c>
      <c r="L4" s="9">
        <v>0.074169</v>
      </c>
      <c r="M4" s="9" t="s">
        <v>85</v>
      </c>
      <c r="N4" s="9" t="s">
        <v>85</v>
      </c>
      <c r="O4" s="9">
        <v>0.232737</v>
      </c>
      <c r="P4" s="9" t="s">
        <v>85</v>
      </c>
      <c r="Q4" s="9" t="s">
        <v>85</v>
      </c>
      <c r="R4" s="9">
        <v>0.248082</v>
      </c>
      <c r="S4" s="9" t="s">
        <v>85</v>
      </c>
      <c r="T4" s="9" t="s">
        <v>85</v>
      </c>
      <c r="U4" s="9">
        <v>0.199488</v>
      </c>
      <c r="V4" s="9" t="s">
        <v>85</v>
      </c>
      <c r="W4" s="9" t="s">
        <v>85</v>
      </c>
      <c r="X4" s="9">
        <v>0.219949</v>
      </c>
      <c r="Y4" s="9" t="s">
        <v>85</v>
      </c>
      <c r="Z4" s="9" t="s">
        <v>85</v>
      </c>
      <c r="AA4" s="30">
        <v>0.237852</v>
      </c>
      <c r="AB4" s="9" t="s">
        <v>85</v>
      </c>
      <c r="AC4" s="9" t="s">
        <v>85</v>
      </c>
      <c r="AD4" s="30">
        <v>0.237852</v>
      </c>
      <c r="AE4" s="9" t="s">
        <v>85</v>
      </c>
      <c r="AF4" s="9" t="s">
        <v>85</v>
      </c>
      <c r="AG4" s="9">
        <v>0.069054</v>
      </c>
      <c r="AH4" s="9" t="s">
        <v>85</v>
      </c>
      <c r="AI4" s="9" t="s">
        <v>85</v>
      </c>
      <c r="AJ4" s="9">
        <v>0.150895</v>
      </c>
      <c r="AK4" s="9" t="s">
        <v>85</v>
      </c>
      <c r="AL4" s="9" t="s">
        <v>85</v>
      </c>
      <c r="AM4" s="9">
        <v>0.31202</v>
      </c>
      <c r="AN4" s="9" t="s">
        <v>85</v>
      </c>
      <c r="AO4" s="9" t="s">
        <v>85</v>
      </c>
      <c r="AP4" s="30">
        <v>0.317136</v>
      </c>
      <c r="AQ4" s="9" t="s">
        <v>85</v>
      </c>
      <c r="AR4" s="9" t="s">
        <v>85</v>
      </c>
      <c r="AS4" s="9">
        <v>0.063939</v>
      </c>
      <c r="AT4" s="9" t="s">
        <v>85</v>
      </c>
      <c r="AU4" s="9" t="s">
        <v>85</v>
      </c>
      <c r="AV4" s="9">
        <v>0.140665</v>
      </c>
      <c r="AW4" s="9" t="s">
        <v>85</v>
      </c>
      <c r="AX4" s="9" t="s">
        <v>85</v>
      </c>
      <c r="AY4" s="9">
        <v>0.16624</v>
      </c>
      <c r="AZ4" s="9" t="s">
        <v>85</v>
      </c>
      <c r="BA4" s="9" t="s">
        <v>85</v>
      </c>
      <c r="BB4" s="30">
        <v>0.176471</v>
      </c>
      <c r="BC4" s="9" t="s">
        <v>85</v>
      </c>
      <c r="BD4" s="10" t="s">
        <v>85</v>
      </c>
      <c r="BE4" s="10" t="s">
        <v>85</v>
      </c>
      <c r="BF4" s="9" t="s">
        <v>85</v>
      </c>
      <c r="BG4" s="6"/>
      <c r="BH4" s="6" t="str">
        <f t="shared" si="1"/>
        <v>5BN_Fold_Median</v>
      </c>
      <c r="BI4" s="6" t="str">
        <f t="shared" si="2"/>
        <v>12BN_Fold_Median</v>
      </c>
      <c r="BJ4" s="6" t="str">
        <f t="shared" si="3"/>
        <v>12B_Fold_Median</v>
      </c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</row>
    <row r="5" ht="15.75" customHeight="1">
      <c r="A5" s="1" t="s">
        <v>91</v>
      </c>
      <c r="B5" s="9" t="s">
        <v>85</v>
      </c>
      <c r="C5" s="9">
        <v>0.634286</v>
      </c>
      <c r="D5" s="9" t="s">
        <v>85</v>
      </c>
      <c r="E5" s="9" t="s">
        <v>85</v>
      </c>
      <c r="F5" s="30">
        <v>0.617142856</v>
      </c>
      <c r="G5" s="9" t="s">
        <v>85</v>
      </c>
      <c r="H5" s="9" t="s">
        <v>85</v>
      </c>
      <c r="I5" s="9">
        <v>0.668571</v>
      </c>
      <c r="J5" s="9" t="s">
        <v>85</v>
      </c>
      <c r="K5" s="9" t="s">
        <v>85</v>
      </c>
      <c r="L5" s="9">
        <v>0.68</v>
      </c>
      <c r="M5" s="9" t="s">
        <v>85</v>
      </c>
      <c r="N5" s="9" t="s">
        <v>85</v>
      </c>
      <c r="O5" s="9">
        <v>0.645714</v>
      </c>
      <c r="P5" s="9" t="s">
        <v>85</v>
      </c>
      <c r="Q5" s="9" t="s">
        <v>85</v>
      </c>
      <c r="R5" s="9">
        <v>0.64</v>
      </c>
      <c r="S5" s="9" t="s">
        <v>85</v>
      </c>
      <c r="T5" s="9" t="s">
        <v>85</v>
      </c>
      <c r="U5" s="9">
        <v>0.68</v>
      </c>
      <c r="V5" s="9" t="s">
        <v>85</v>
      </c>
      <c r="W5" s="9" t="s">
        <v>85</v>
      </c>
      <c r="X5" s="9">
        <v>0.697143</v>
      </c>
      <c r="Y5" s="9" t="s">
        <v>85</v>
      </c>
      <c r="Z5" s="9" t="s">
        <v>85</v>
      </c>
      <c r="AA5" s="30">
        <v>0.708571</v>
      </c>
      <c r="AB5" s="9" t="s">
        <v>85</v>
      </c>
      <c r="AC5" s="9" t="s">
        <v>85</v>
      </c>
      <c r="AD5" s="30">
        <v>0.68</v>
      </c>
      <c r="AE5" s="9" t="s">
        <v>85</v>
      </c>
      <c r="AF5" s="9" t="s">
        <v>85</v>
      </c>
      <c r="AG5" s="9">
        <v>0.6</v>
      </c>
      <c r="AH5" s="9" t="s">
        <v>85</v>
      </c>
      <c r="AI5" s="9" t="s">
        <v>85</v>
      </c>
      <c r="AJ5" s="9">
        <v>0.691429</v>
      </c>
      <c r="AK5" s="9" t="s">
        <v>85</v>
      </c>
      <c r="AL5" s="9" t="s">
        <v>85</v>
      </c>
      <c r="AM5" s="9">
        <v>0.708571</v>
      </c>
      <c r="AN5" s="9" t="s">
        <v>85</v>
      </c>
      <c r="AO5" s="9" t="s">
        <v>85</v>
      </c>
      <c r="AP5" s="30" t="s">
        <v>85</v>
      </c>
      <c r="AQ5" s="9" t="s">
        <v>85</v>
      </c>
      <c r="AR5" s="9" t="s">
        <v>85</v>
      </c>
      <c r="AS5" s="9">
        <v>0.714286</v>
      </c>
      <c r="AT5" s="9" t="s">
        <v>85</v>
      </c>
      <c r="AU5" s="9" t="s">
        <v>85</v>
      </c>
      <c r="AV5" s="9">
        <v>0.737143</v>
      </c>
      <c r="AW5" s="9" t="s">
        <v>85</v>
      </c>
      <c r="AX5" s="9" t="s">
        <v>85</v>
      </c>
      <c r="AY5" s="9">
        <v>0.662857</v>
      </c>
      <c r="AZ5" s="9" t="s">
        <v>85</v>
      </c>
      <c r="BA5" s="9" t="s">
        <v>85</v>
      </c>
      <c r="BB5" s="30">
        <v>0.748571</v>
      </c>
      <c r="BC5" s="9" t="s">
        <v>85</v>
      </c>
      <c r="BD5" s="10" t="s">
        <v>85</v>
      </c>
      <c r="BE5" s="10" t="s">
        <v>85</v>
      </c>
      <c r="BF5" s="9" t="s">
        <v>85</v>
      </c>
      <c r="BG5" s="6"/>
      <c r="BH5" s="6" t="str">
        <f t="shared" si="1"/>
        <v>20V_Fold_Median</v>
      </c>
      <c r="BI5" s="6" t="str">
        <f t="shared" si="2"/>
        <v>12VB_Fold_Median</v>
      </c>
      <c r="BJ5" s="6" t="str">
        <f t="shared" si="3"/>
        <v>12V_Fold_Median</v>
      </c>
      <c r="BK5" s="6"/>
      <c r="BL5" s="1" t="s">
        <v>248</v>
      </c>
      <c r="BO5" s="6"/>
      <c r="BU5" s="6"/>
      <c r="BV5" s="6"/>
      <c r="BW5" s="6"/>
      <c r="BX5" s="6"/>
      <c r="BY5" s="6"/>
      <c r="BZ5" s="6"/>
      <c r="CA5" s="6"/>
    </row>
    <row r="6" ht="15.75" customHeight="1">
      <c r="A6" s="1" t="s">
        <v>93</v>
      </c>
      <c r="B6" s="9" t="s">
        <v>85</v>
      </c>
      <c r="C6" s="9">
        <v>0.433333</v>
      </c>
      <c r="D6" s="9" t="s">
        <v>85</v>
      </c>
      <c r="E6" s="9" t="s">
        <v>85</v>
      </c>
      <c r="F6" s="30">
        <v>0.466666669</v>
      </c>
      <c r="G6" s="9" t="s">
        <v>85</v>
      </c>
      <c r="H6" s="9" t="s">
        <v>85</v>
      </c>
      <c r="I6" s="9">
        <v>0.366667</v>
      </c>
      <c r="J6" s="9" t="s">
        <v>85</v>
      </c>
      <c r="K6" s="9" t="s">
        <v>85</v>
      </c>
      <c r="L6" s="9">
        <v>0.333333</v>
      </c>
      <c r="M6" s="9" t="s">
        <v>85</v>
      </c>
      <c r="N6" s="9" t="s">
        <v>85</v>
      </c>
      <c r="O6" s="9">
        <v>0.5</v>
      </c>
      <c r="P6" s="9" t="s">
        <v>85</v>
      </c>
      <c r="Q6" s="9" t="s">
        <v>85</v>
      </c>
      <c r="R6" s="9">
        <v>0.5</v>
      </c>
      <c r="S6" s="9" t="s">
        <v>85</v>
      </c>
      <c r="T6" s="9" t="s">
        <v>85</v>
      </c>
      <c r="U6" s="9">
        <v>0.4</v>
      </c>
      <c r="V6" s="9" t="s">
        <v>85</v>
      </c>
      <c r="W6" s="9" t="s">
        <v>85</v>
      </c>
      <c r="X6" s="9">
        <v>0.466667</v>
      </c>
      <c r="Y6" s="9" t="s">
        <v>85</v>
      </c>
      <c r="Z6" s="9" t="s">
        <v>85</v>
      </c>
      <c r="AA6" s="30">
        <v>0.5</v>
      </c>
      <c r="AB6" s="9" t="s">
        <v>85</v>
      </c>
      <c r="AC6" s="9" t="s">
        <v>85</v>
      </c>
      <c r="AD6" s="30">
        <v>0.4</v>
      </c>
      <c r="AE6" s="9" t="s">
        <v>85</v>
      </c>
      <c r="AF6" s="9" t="s">
        <v>85</v>
      </c>
      <c r="AG6" s="9">
        <v>0.466667</v>
      </c>
      <c r="AH6" s="9" t="s">
        <v>85</v>
      </c>
      <c r="AI6" s="9" t="s">
        <v>85</v>
      </c>
      <c r="AJ6" s="9">
        <v>0.433333</v>
      </c>
      <c r="AK6" s="9" t="s">
        <v>85</v>
      </c>
      <c r="AL6" s="9" t="s">
        <v>85</v>
      </c>
      <c r="AM6" s="9">
        <v>0.433333</v>
      </c>
      <c r="AN6" s="9" t="s">
        <v>85</v>
      </c>
      <c r="AO6" s="9" t="s">
        <v>85</v>
      </c>
      <c r="AP6" s="30">
        <v>0.466667</v>
      </c>
      <c r="AQ6" s="9" t="s">
        <v>85</v>
      </c>
      <c r="AR6" s="9" t="s">
        <v>85</v>
      </c>
      <c r="AS6" s="9">
        <v>0.4</v>
      </c>
      <c r="AT6" s="9" t="s">
        <v>85</v>
      </c>
      <c r="AU6" s="9" t="s">
        <v>85</v>
      </c>
      <c r="AV6" s="9">
        <v>0.4</v>
      </c>
      <c r="AW6" s="9" t="s">
        <v>85</v>
      </c>
      <c r="AX6" s="9" t="s">
        <v>85</v>
      </c>
      <c r="AY6" s="9">
        <v>0.5</v>
      </c>
      <c r="AZ6" s="9" t="s">
        <v>85</v>
      </c>
      <c r="BA6" s="9" t="s">
        <v>85</v>
      </c>
      <c r="BB6" s="30">
        <v>0.4</v>
      </c>
      <c r="BC6" s="9" t="s">
        <v>85</v>
      </c>
      <c r="BD6" s="10" t="s">
        <v>85</v>
      </c>
      <c r="BE6" s="10" t="s">
        <v>85</v>
      </c>
      <c r="BF6" s="9" t="s">
        <v>85</v>
      </c>
      <c r="BG6" s="6"/>
      <c r="BH6" s="6" t="str">
        <f t="shared" si="1"/>
        <v>8B_Fold_Median</v>
      </c>
      <c r="BI6" s="6" t="str">
        <f t="shared" si="2"/>
        <v>8B_Fold_Median</v>
      </c>
      <c r="BJ6" s="6" t="str">
        <f t="shared" si="3"/>
        <v>8B_Fold_Median</v>
      </c>
      <c r="BK6" s="6"/>
      <c r="BL6" s="1" t="s">
        <v>213</v>
      </c>
      <c r="BM6" s="6" t="s">
        <v>249</v>
      </c>
      <c r="BN6" s="6"/>
      <c r="BO6" s="6"/>
      <c r="BP6" s="6"/>
      <c r="BQ6" s="6"/>
      <c r="BR6" s="6"/>
      <c r="BS6" s="6"/>
      <c r="BU6" s="6"/>
      <c r="BV6" s="6"/>
      <c r="BW6" s="6"/>
      <c r="BX6" s="6"/>
      <c r="BY6" s="6"/>
      <c r="BZ6" s="6"/>
      <c r="CA6" s="6"/>
    </row>
    <row r="7" ht="15.75" customHeight="1">
      <c r="A7" s="1" t="s">
        <v>95</v>
      </c>
      <c r="B7" s="9" t="s">
        <v>85</v>
      </c>
      <c r="C7" s="9">
        <v>0.7</v>
      </c>
      <c r="D7" s="9" t="s">
        <v>85</v>
      </c>
      <c r="E7" s="9" t="s">
        <v>85</v>
      </c>
      <c r="F7" s="30">
        <v>0.850000024</v>
      </c>
      <c r="G7" s="9" t="s">
        <v>85</v>
      </c>
      <c r="H7" s="9" t="s">
        <v>85</v>
      </c>
      <c r="I7" s="9">
        <v>0.7</v>
      </c>
      <c r="J7" s="9" t="s">
        <v>85</v>
      </c>
      <c r="K7" s="9" t="s">
        <v>85</v>
      </c>
      <c r="L7" s="9">
        <v>0.75</v>
      </c>
      <c r="M7" s="9" t="s">
        <v>85</v>
      </c>
      <c r="N7" s="9" t="s">
        <v>85</v>
      </c>
      <c r="O7" s="9">
        <v>0.8</v>
      </c>
      <c r="P7" s="9" t="s">
        <v>85</v>
      </c>
      <c r="Q7" s="9" t="s">
        <v>85</v>
      </c>
      <c r="R7" s="9">
        <v>0.8</v>
      </c>
      <c r="S7" s="9" t="s">
        <v>85</v>
      </c>
      <c r="T7" s="9" t="s">
        <v>85</v>
      </c>
      <c r="U7" s="9">
        <v>0.65</v>
      </c>
      <c r="V7" s="9" t="s">
        <v>85</v>
      </c>
      <c r="W7" s="9" t="s">
        <v>85</v>
      </c>
      <c r="X7" s="9">
        <v>0.65</v>
      </c>
      <c r="Y7" s="9" t="s">
        <v>85</v>
      </c>
      <c r="Z7" s="9" t="s">
        <v>85</v>
      </c>
      <c r="AA7" s="30">
        <v>0.75</v>
      </c>
      <c r="AB7" s="9" t="s">
        <v>85</v>
      </c>
      <c r="AC7" s="9" t="s">
        <v>85</v>
      </c>
      <c r="AD7" s="30">
        <v>0.5</v>
      </c>
      <c r="AE7" s="9" t="s">
        <v>85</v>
      </c>
      <c r="AF7" s="9" t="s">
        <v>85</v>
      </c>
      <c r="AG7" s="9">
        <v>0.65</v>
      </c>
      <c r="AH7" s="9" t="s">
        <v>85</v>
      </c>
      <c r="AI7" s="9" t="s">
        <v>85</v>
      </c>
      <c r="AJ7" s="9">
        <v>0.65</v>
      </c>
      <c r="AK7" s="9" t="s">
        <v>85</v>
      </c>
      <c r="AL7" s="9" t="s">
        <v>85</v>
      </c>
      <c r="AM7" s="9">
        <v>0.55</v>
      </c>
      <c r="AN7" s="9" t="s">
        <v>85</v>
      </c>
      <c r="AO7" s="9" t="s">
        <v>85</v>
      </c>
      <c r="AP7" s="30">
        <v>0.75</v>
      </c>
      <c r="AQ7" s="9" t="s">
        <v>85</v>
      </c>
      <c r="AR7" s="9" t="s">
        <v>85</v>
      </c>
      <c r="AS7" s="9">
        <v>0.8</v>
      </c>
      <c r="AT7" s="9" t="s">
        <v>85</v>
      </c>
      <c r="AU7" s="9" t="s">
        <v>85</v>
      </c>
      <c r="AV7" s="9">
        <v>0.8</v>
      </c>
      <c r="AW7" s="9" t="s">
        <v>85</v>
      </c>
      <c r="AX7" s="9" t="s">
        <v>85</v>
      </c>
      <c r="AY7" s="9">
        <v>0.85</v>
      </c>
      <c r="AZ7" s="9" t="s">
        <v>85</v>
      </c>
      <c r="BA7" s="9" t="s">
        <v>85</v>
      </c>
      <c r="BB7" s="30">
        <v>0.9</v>
      </c>
      <c r="BC7" s="9" t="s">
        <v>85</v>
      </c>
      <c r="BD7" s="10" t="s">
        <v>85</v>
      </c>
      <c r="BE7" s="10" t="s">
        <v>85</v>
      </c>
      <c r="BF7" s="9" t="s">
        <v>85</v>
      </c>
      <c r="BG7" s="6"/>
      <c r="BH7" s="6" t="str">
        <f t="shared" si="1"/>
        <v>20V_Fold_Median</v>
      </c>
      <c r="BI7" s="6" t="str">
        <f t="shared" si="2"/>
        <v>5BN_Fold_Median</v>
      </c>
      <c r="BJ7" s="6" t="str">
        <f t="shared" si="3"/>
        <v>20B_Fold_Median</v>
      </c>
      <c r="BK7" s="6"/>
      <c r="BM7" s="6">
        <f>COUNTIF(BH3:BH100,"*5*")</f>
        <v>26</v>
      </c>
      <c r="BN7" s="6">
        <f>COUNTIF(BH3:BH100,"*8*")</f>
        <v>20</v>
      </c>
      <c r="BO7" s="6">
        <f>COUNTIF(BH3:BH100,"*10*")</f>
        <v>16</v>
      </c>
      <c r="BP7" s="6">
        <f>COUNTIF(BH3:BH100,"*12*")</f>
        <v>22</v>
      </c>
      <c r="BQ7" s="6">
        <f>COUNTIF(BH3:BH100,"*20*")</f>
        <v>14</v>
      </c>
      <c r="BR7" s="6"/>
      <c r="BS7" s="6"/>
      <c r="BU7" s="6"/>
      <c r="BV7" s="6"/>
      <c r="BW7" s="6"/>
      <c r="BX7" s="6"/>
      <c r="BY7" s="6"/>
      <c r="BZ7" s="6"/>
      <c r="CA7" s="6"/>
    </row>
    <row r="8" ht="15.75" customHeight="1">
      <c r="A8" s="1" t="s">
        <v>97</v>
      </c>
      <c r="B8" s="9" t="s">
        <v>85</v>
      </c>
      <c r="C8" s="9">
        <v>0.7</v>
      </c>
      <c r="D8" s="9" t="s">
        <v>85</v>
      </c>
      <c r="E8" s="9" t="s">
        <v>85</v>
      </c>
      <c r="F8" s="30">
        <v>0.600000024</v>
      </c>
      <c r="G8" s="9" t="s">
        <v>85</v>
      </c>
      <c r="H8" s="9" t="s">
        <v>85</v>
      </c>
      <c r="I8" s="9">
        <v>0.8</v>
      </c>
      <c r="J8" s="9" t="s">
        <v>85</v>
      </c>
      <c r="K8" s="9" t="s">
        <v>85</v>
      </c>
      <c r="L8" s="9">
        <v>0.7</v>
      </c>
      <c r="M8" s="9" t="s">
        <v>85</v>
      </c>
      <c r="N8" s="9" t="s">
        <v>85</v>
      </c>
      <c r="O8" s="9">
        <v>0.55</v>
      </c>
      <c r="P8" s="9" t="s">
        <v>85</v>
      </c>
      <c r="Q8" s="9" t="s">
        <v>85</v>
      </c>
      <c r="R8" s="9">
        <v>0.55</v>
      </c>
      <c r="S8" s="9" t="s">
        <v>85</v>
      </c>
      <c r="T8" s="9" t="s">
        <v>85</v>
      </c>
      <c r="U8" s="9">
        <v>0.7</v>
      </c>
      <c r="V8" s="9" t="s">
        <v>85</v>
      </c>
      <c r="W8" s="9" t="s">
        <v>85</v>
      </c>
      <c r="X8" s="9">
        <v>0.7</v>
      </c>
      <c r="Y8" s="9" t="s">
        <v>85</v>
      </c>
      <c r="Z8" s="9" t="s">
        <v>85</v>
      </c>
      <c r="AA8" s="30">
        <v>0.7</v>
      </c>
      <c r="AB8" s="9" t="s">
        <v>85</v>
      </c>
      <c r="AC8" s="9" t="s">
        <v>85</v>
      </c>
      <c r="AD8" s="30">
        <v>0.75</v>
      </c>
      <c r="AE8" s="9" t="s">
        <v>85</v>
      </c>
      <c r="AF8" s="9" t="s">
        <v>85</v>
      </c>
      <c r="AG8" s="9">
        <v>0.85</v>
      </c>
      <c r="AH8" s="9" t="s">
        <v>85</v>
      </c>
      <c r="AI8" s="9" t="s">
        <v>85</v>
      </c>
      <c r="AJ8" s="9">
        <v>0.8</v>
      </c>
      <c r="AK8" s="9" t="s">
        <v>85</v>
      </c>
      <c r="AL8" s="9" t="s">
        <v>85</v>
      </c>
      <c r="AM8" s="9">
        <v>0.6</v>
      </c>
      <c r="AN8" s="9" t="s">
        <v>85</v>
      </c>
      <c r="AO8" s="9" t="s">
        <v>85</v>
      </c>
      <c r="AP8" s="30">
        <v>0.65</v>
      </c>
      <c r="AQ8" s="9" t="s">
        <v>85</v>
      </c>
      <c r="AR8" s="9" t="s">
        <v>85</v>
      </c>
      <c r="AS8" s="9">
        <v>0.7</v>
      </c>
      <c r="AT8" s="9" t="s">
        <v>85</v>
      </c>
      <c r="AU8" s="9" t="s">
        <v>85</v>
      </c>
      <c r="AV8" s="9">
        <v>0.7</v>
      </c>
      <c r="AW8" s="9" t="s">
        <v>85</v>
      </c>
      <c r="AX8" s="9" t="s">
        <v>85</v>
      </c>
      <c r="AY8" s="9">
        <v>0.65</v>
      </c>
      <c r="AZ8" s="9" t="s">
        <v>85</v>
      </c>
      <c r="BA8" s="9" t="s">
        <v>85</v>
      </c>
      <c r="BB8" s="30">
        <v>0.65</v>
      </c>
      <c r="BC8" s="9" t="s">
        <v>85</v>
      </c>
      <c r="BD8" s="10" t="s">
        <v>85</v>
      </c>
      <c r="BE8" s="10" t="s">
        <v>85</v>
      </c>
      <c r="BF8" s="9" t="s">
        <v>85</v>
      </c>
      <c r="BG8" s="6"/>
      <c r="BH8" s="6" t="str">
        <f t="shared" si="1"/>
        <v>10V_Fold_Median</v>
      </c>
      <c r="BI8" s="6" t="str">
        <f t="shared" si="2"/>
        <v>5V_Fold_Median</v>
      </c>
      <c r="BJ8" s="6" t="str">
        <f t="shared" si="3"/>
        <v>5V_Fold_Median</v>
      </c>
      <c r="BK8" s="6"/>
      <c r="BL8" s="6"/>
      <c r="BM8" s="6" t="s">
        <v>250</v>
      </c>
      <c r="BN8" s="6" t="s">
        <v>251</v>
      </c>
      <c r="BO8" s="6" t="s">
        <v>252</v>
      </c>
      <c r="BP8" s="6" t="s">
        <v>253</v>
      </c>
      <c r="BQ8" s="6" t="s">
        <v>254</v>
      </c>
      <c r="BR8" s="6"/>
      <c r="BS8" s="6"/>
      <c r="BT8" s="6"/>
      <c r="BU8" s="6"/>
      <c r="BV8" s="6"/>
      <c r="BW8" s="6"/>
      <c r="BX8" s="6"/>
      <c r="BY8" s="6"/>
      <c r="BZ8" s="6"/>
      <c r="CA8" s="6"/>
    </row>
    <row r="9" ht="15.75" customHeight="1">
      <c r="A9" s="1" t="s">
        <v>98</v>
      </c>
      <c r="B9" s="9" t="s">
        <v>85</v>
      </c>
      <c r="C9" s="9">
        <v>0.886667</v>
      </c>
      <c r="D9" s="9" t="s">
        <v>85</v>
      </c>
      <c r="E9" s="9" t="s">
        <v>85</v>
      </c>
      <c r="F9" s="30">
        <v>0.886666656</v>
      </c>
      <c r="G9" s="9" t="s">
        <v>85</v>
      </c>
      <c r="H9" s="9" t="s">
        <v>85</v>
      </c>
      <c r="I9" s="9">
        <v>0.953333</v>
      </c>
      <c r="J9" s="9" t="s">
        <v>85</v>
      </c>
      <c r="K9" s="9" t="s">
        <v>85</v>
      </c>
      <c r="L9" s="9">
        <v>0.96</v>
      </c>
      <c r="M9" s="9" t="s">
        <v>85</v>
      </c>
      <c r="N9" s="9" t="s">
        <v>85</v>
      </c>
      <c r="O9" s="9">
        <v>0.88</v>
      </c>
      <c r="P9" s="9" t="s">
        <v>85</v>
      </c>
      <c r="Q9" s="9" t="s">
        <v>85</v>
      </c>
      <c r="R9" s="9">
        <v>0.9</v>
      </c>
      <c r="S9" s="9" t="s">
        <v>85</v>
      </c>
      <c r="T9" s="9" t="s">
        <v>85</v>
      </c>
      <c r="U9" s="9">
        <v>0.92</v>
      </c>
      <c r="V9" s="9" t="s">
        <v>85</v>
      </c>
      <c r="W9" s="9" t="s">
        <v>85</v>
      </c>
      <c r="X9" s="9">
        <v>0.953333</v>
      </c>
      <c r="Y9" s="9" t="s">
        <v>85</v>
      </c>
      <c r="Z9" s="9" t="s">
        <v>85</v>
      </c>
      <c r="AA9" s="30">
        <v>0.886667</v>
      </c>
      <c r="AB9" s="9" t="s">
        <v>85</v>
      </c>
      <c r="AC9" s="9" t="s">
        <v>85</v>
      </c>
      <c r="AD9" s="30">
        <v>0.893333</v>
      </c>
      <c r="AE9" s="9" t="s">
        <v>85</v>
      </c>
      <c r="AF9" s="9" t="s">
        <v>85</v>
      </c>
      <c r="AG9" s="9">
        <v>0.933333</v>
      </c>
      <c r="AH9" s="9" t="s">
        <v>85</v>
      </c>
      <c r="AI9" s="9" t="s">
        <v>85</v>
      </c>
      <c r="AJ9" s="9">
        <v>0.92</v>
      </c>
      <c r="AK9" s="9" t="s">
        <v>85</v>
      </c>
      <c r="AL9" s="9" t="s">
        <v>85</v>
      </c>
      <c r="AM9" s="9">
        <v>0.873333</v>
      </c>
      <c r="AN9" s="9" t="s">
        <v>85</v>
      </c>
      <c r="AO9" s="9" t="s">
        <v>85</v>
      </c>
      <c r="AP9" s="30">
        <v>0.893333</v>
      </c>
      <c r="AQ9" s="9" t="s">
        <v>85</v>
      </c>
      <c r="AR9" s="9" t="s">
        <v>85</v>
      </c>
      <c r="AS9" s="9">
        <v>0.866667</v>
      </c>
      <c r="AT9" s="9" t="s">
        <v>85</v>
      </c>
      <c r="AU9" s="9" t="s">
        <v>85</v>
      </c>
      <c r="AV9" s="9">
        <v>0.906667</v>
      </c>
      <c r="AW9" s="9" t="s">
        <v>85</v>
      </c>
      <c r="AX9" s="9" t="s">
        <v>85</v>
      </c>
      <c r="AY9" s="9">
        <v>0.833333</v>
      </c>
      <c r="AZ9" s="9" t="s">
        <v>85</v>
      </c>
      <c r="BA9" s="9" t="s">
        <v>85</v>
      </c>
      <c r="BB9" s="30">
        <v>0.926667</v>
      </c>
      <c r="BC9" s="9" t="s">
        <v>85</v>
      </c>
      <c r="BD9" s="10" t="s">
        <v>85</v>
      </c>
      <c r="BE9" s="10" t="s">
        <v>85</v>
      </c>
      <c r="BF9" s="9" t="s">
        <v>85</v>
      </c>
      <c r="BG9" s="6"/>
      <c r="BH9" s="6" t="str">
        <f t="shared" si="1"/>
        <v>5VB_Fold_Median</v>
      </c>
      <c r="BI9" s="6" t="str">
        <f t="shared" si="2"/>
        <v>5V_Fold_Median</v>
      </c>
      <c r="BJ9" s="6" t="str">
        <f t="shared" si="3"/>
        <v>5V_Fold_Median</v>
      </c>
      <c r="BK9" s="6"/>
      <c r="BL9" s="6" t="s">
        <v>233</v>
      </c>
      <c r="BM9" s="18">
        <f t="shared" ref="BM9:BQ9" si="4">MINUS(BM7,SUM(BM10,BM11))</f>
        <v>14</v>
      </c>
      <c r="BN9" s="18">
        <f t="shared" si="4"/>
        <v>7</v>
      </c>
      <c r="BO9" s="18">
        <f t="shared" si="4"/>
        <v>7</v>
      </c>
      <c r="BP9" s="18">
        <f t="shared" si="4"/>
        <v>12</v>
      </c>
      <c r="BQ9" s="18">
        <f t="shared" si="4"/>
        <v>5</v>
      </c>
      <c r="BR9" s="6">
        <f t="shared" ref="BR9:BR11" si="5">SUM(BM9:BQ9)</f>
        <v>45</v>
      </c>
      <c r="BS9" s="6"/>
      <c r="BT9" s="6"/>
      <c r="BU9" s="6"/>
      <c r="BV9" s="6"/>
      <c r="BW9" s="6"/>
      <c r="BX9" s="6"/>
      <c r="BY9" s="6"/>
      <c r="BZ9" s="6"/>
      <c r="CA9" s="6"/>
    </row>
    <row r="10" ht="15.75" customHeight="1">
      <c r="A10" s="1" t="s">
        <v>99</v>
      </c>
      <c r="B10" s="9" t="s">
        <v>85</v>
      </c>
      <c r="C10" s="9">
        <v>0.55</v>
      </c>
      <c r="D10" s="9" t="s">
        <v>85</v>
      </c>
      <c r="E10" s="9" t="s">
        <v>85</v>
      </c>
      <c r="F10" s="30">
        <v>0.566666663</v>
      </c>
      <c r="G10" s="9" t="s">
        <v>85</v>
      </c>
      <c r="H10" s="9" t="s">
        <v>85</v>
      </c>
      <c r="I10" s="9">
        <v>0.683333</v>
      </c>
      <c r="J10" s="9" t="s">
        <v>85</v>
      </c>
      <c r="K10" s="9" t="s">
        <v>85</v>
      </c>
      <c r="L10" s="9">
        <v>0.633333</v>
      </c>
      <c r="M10" s="9" t="s">
        <v>85</v>
      </c>
      <c r="N10" s="9" t="s">
        <v>85</v>
      </c>
      <c r="O10" s="9">
        <v>0.55</v>
      </c>
      <c r="P10" s="9" t="s">
        <v>85</v>
      </c>
      <c r="Q10" s="9" t="s">
        <v>85</v>
      </c>
      <c r="R10" s="9">
        <v>0.566667</v>
      </c>
      <c r="S10" s="9" t="s">
        <v>85</v>
      </c>
      <c r="T10" s="9" t="s">
        <v>85</v>
      </c>
      <c r="U10" s="9">
        <v>0.65</v>
      </c>
      <c r="V10" s="9" t="s">
        <v>85</v>
      </c>
      <c r="W10" s="9" t="s">
        <v>85</v>
      </c>
      <c r="X10" s="9">
        <v>0.616667</v>
      </c>
      <c r="Y10" s="9" t="s">
        <v>85</v>
      </c>
      <c r="Z10" s="9" t="s">
        <v>85</v>
      </c>
      <c r="AA10" s="30">
        <v>0.583333</v>
      </c>
      <c r="AB10" s="9" t="s">
        <v>85</v>
      </c>
      <c r="AC10" s="9" t="s">
        <v>85</v>
      </c>
      <c r="AD10" s="30">
        <v>0.566667</v>
      </c>
      <c r="AE10" s="9" t="s">
        <v>85</v>
      </c>
      <c r="AF10" s="9" t="s">
        <v>85</v>
      </c>
      <c r="AG10" s="9">
        <v>0.633333</v>
      </c>
      <c r="AH10" s="9" t="s">
        <v>85</v>
      </c>
      <c r="AI10" s="9" t="s">
        <v>85</v>
      </c>
      <c r="AJ10" s="9">
        <v>0.666667</v>
      </c>
      <c r="AK10" s="9" t="s">
        <v>85</v>
      </c>
      <c r="AL10" s="9" t="s">
        <v>85</v>
      </c>
      <c r="AM10" s="9">
        <v>0.633333</v>
      </c>
      <c r="AN10" s="9" t="s">
        <v>85</v>
      </c>
      <c r="AO10" s="9" t="s">
        <v>85</v>
      </c>
      <c r="AP10" s="30">
        <v>0.6</v>
      </c>
      <c r="AQ10" s="9" t="s">
        <v>85</v>
      </c>
      <c r="AR10" s="9" t="s">
        <v>85</v>
      </c>
      <c r="AS10" s="9">
        <v>0.633333</v>
      </c>
      <c r="AT10" s="9" t="s">
        <v>85</v>
      </c>
      <c r="AU10" s="9" t="s">
        <v>85</v>
      </c>
      <c r="AV10" s="9">
        <v>0.7</v>
      </c>
      <c r="AW10" s="9" t="s">
        <v>85</v>
      </c>
      <c r="AX10" s="9" t="s">
        <v>85</v>
      </c>
      <c r="AY10" s="9">
        <v>0.6</v>
      </c>
      <c r="AZ10" s="9" t="s">
        <v>85</v>
      </c>
      <c r="BA10" s="9" t="s">
        <v>85</v>
      </c>
      <c r="BB10" s="30">
        <v>0.666667</v>
      </c>
      <c r="BC10" s="9" t="s">
        <v>85</v>
      </c>
      <c r="BD10" s="10" t="s">
        <v>85</v>
      </c>
      <c r="BE10" s="10" t="s">
        <v>85</v>
      </c>
      <c r="BF10" s="9" t="s">
        <v>85</v>
      </c>
      <c r="BG10" s="6"/>
      <c r="BH10" s="6" t="str">
        <f t="shared" si="1"/>
        <v>12VB_Fold_Median</v>
      </c>
      <c r="BI10" s="6" t="str">
        <f t="shared" si="2"/>
        <v>5V_Fold_Median</v>
      </c>
      <c r="BJ10" s="6" t="str">
        <f t="shared" si="3"/>
        <v>10VB_Fold_Median</v>
      </c>
      <c r="BK10" s="6"/>
      <c r="BL10" s="6" t="s">
        <v>234</v>
      </c>
      <c r="BM10" s="18">
        <f>COUNTIFS(BH3:BH100,"*V*",BH3:BH100,"*5*")</f>
        <v>12</v>
      </c>
      <c r="BN10" s="19">
        <f>COUNTIFS(BH3:BH100,"*V*",BH3:BH100,"*8*")</f>
        <v>13</v>
      </c>
      <c r="BO10" s="18">
        <f>COUNTIFS(BH3:BH100,"*V*",BH3:BH100,"*10*")</f>
        <v>9</v>
      </c>
      <c r="BP10" s="18">
        <f>COUNTIFS(BH3:BH100,"*V*",BH3:BH100,"*12*")</f>
        <v>10</v>
      </c>
      <c r="BQ10" s="18">
        <f>COUNTIFS(BH3:BH100,"*V*",BH3:BH100,"*20*")</f>
        <v>9</v>
      </c>
      <c r="BR10" s="6">
        <f t="shared" si="5"/>
        <v>53</v>
      </c>
      <c r="BS10" s="6"/>
      <c r="BT10" s="6"/>
      <c r="BU10" s="6"/>
      <c r="BW10" s="6"/>
      <c r="BX10" s="6"/>
      <c r="BY10" s="6"/>
      <c r="BZ10" s="6"/>
      <c r="CA10" s="6"/>
    </row>
    <row r="11" ht="15.75" customHeight="1">
      <c r="A11" s="1" t="s">
        <v>101</v>
      </c>
      <c r="B11" s="9" t="s">
        <v>85</v>
      </c>
      <c r="C11" s="9">
        <v>0.941111</v>
      </c>
      <c r="D11" s="9" t="s">
        <v>85</v>
      </c>
      <c r="E11" s="9" t="s">
        <v>85</v>
      </c>
      <c r="F11" s="30">
        <v>0.930000007</v>
      </c>
      <c r="G11" s="9" t="s">
        <v>85</v>
      </c>
      <c r="H11" s="9" t="s">
        <v>85</v>
      </c>
      <c r="I11" s="9">
        <v>0.958889</v>
      </c>
      <c r="J11" s="9" t="s">
        <v>85</v>
      </c>
      <c r="K11" s="9" t="s">
        <v>85</v>
      </c>
      <c r="L11" s="9">
        <v>0.967778</v>
      </c>
      <c r="M11" s="9" t="s">
        <v>85</v>
      </c>
      <c r="N11" s="9" t="s">
        <v>85</v>
      </c>
      <c r="O11" s="9">
        <v>0.916667</v>
      </c>
      <c r="P11" s="9" t="s">
        <v>85</v>
      </c>
      <c r="Q11" s="9" t="s">
        <v>85</v>
      </c>
      <c r="R11" s="9">
        <v>0.935556</v>
      </c>
      <c r="S11" s="9" t="s">
        <v>85</v>
      </c>
      <c r="T11" s="9" t="s">
        <v>85</v>
      </c>
      <c r="U11" s="9">
        <v>0.944444</v>
      </c>
      <c r="V11" s="9" t="s">
        <v>85</v>
      </c>
      <c r="W11" s="9" t="s">
        <v>85</v>
      </c>
      <c r="X11" s="9">
        <v>0.932222</v>
      </c>
      <c r="Y11" s="9" t="s">
        <v>85</v>
      </c>
      <c r="Z11" s="9" t="s">
        <v>85</v>
      </c>
      <c r="AA11" s="30">
        <v>0.95</v>
      </c>
      <c r="AB11" s="9" t="s">
        <v>85</v>
      </c>
      <c r="AC11" s="9" t="s">
        <v>85</v>
      </c>
      <c r="AD11" s="30">
        <v>0.958889</v>
      </c>
      <c r="AE11" s="9" t="s">
        <v>85</v>
      </c>
      <c r="AF11" s="9" t="s">
        <v>85</v>
      </c>
      <c r="AG11" s="9">
        <v>0.964444</v>
      </c>
      <c r="AH11" s="9" t="s">
        <v>85</v>
      </c>
      <c r="AI11" s="9" t="s">
        <v>85</v>
      </c>
      <c r="AJ11" s="9">
        <v>0.97</v>
      </c>
      <c r="AK11" s="9" t="s">
        <v>85</v>
      </c>
      <c r="AL11" s="9" t="s">
        <v>85</v>
      </c>
      <c r="AM11" s="9">
        <v>0.948889</v>
      </c>
      <c r="AN11" s="9" t="s">
        <v>85</v>
      </c>
      <c r="AO11" s="9" t="s">
        <v>85</v>
      </c>
      <c r="AP11" s="30" t="s">
        <v>85</v>
      </c>
      <c r="AQ11" s="9" t="s">
        <v>85</v>
      </c>
      <c r="AR11" s="9" t="s">
        <v>85</v>
      </c>
      <c r="AS11" s="9">
        <v>0.902222</v>
      </c>
      <c r="AT11" s="9" t="s">
        <v>85</v>
      </c>
      <c r="AU11" s="9" t="s">
        <v>85</v>
      </c>
      <c r="AV11" s="9">
        <v>0.938889</v>
      </c>
      <c r="AW11" s="9" t="s">
        <v>85</v>
      </c>
      <c r="AX11" s="9" t="s">
        <v>85</v>
      </c>
      <c r="AY11" s="9">
        <v>0.961111</v>
      </c>
      <c r="AZ11" s="9" t="s">
        <v>85</v>
      </c>
      <c r="BA11" s="9" t="s">
        <v>85</v>
      </c>
      <c r="BB11" s="30">
        <v>0.921111</v>
      </c>
      <c r="BC11" s="9" t="s">
        <v>85</v>
      </c>
      <c r="BD11" s="10" t="s">
        <v>85</v>
      </c>
      <c r="BE11" s="10" t="s">
        <v>85</v>
      </c>
      <c r="BF11" s="9" t="s">
        <v>85</v>
      </c>
      <c r="BG11" s="6"/>
      <c r="BH11" s="6" t="str">
        <f t="shared" si="1"/>
        <v>10VB_Fold_Median</v>
      </c>
      <c r="BI11" s="6" t="str">
        <f t="shared" si="2"/>
        <v>5VB_Fold_Median</v>
      </c>
      <c r="BJ11" s="6" t="str">
        <f t="shared" si="3"/>
        <v>10V_Fold_Median</v>
      </c>
      <c r="BK11" s="6"/>
      <c r="BL11" s="6" t="s">
        <v>20</v>
      </c>
      <c r="BM11" s="18">
        <f>COUNTIFS(BH3:BH100,"*De*")</f>
        <v>0</v>
      </c>
      <c r="BN11" s="19">
        <f>COUNTIFS(BH3:BH100,"*De*",BH3:BH100,"*8*")</f>
        <v>0</v>
      </c>
      <c r="BO11" s="18">
        <f>COUNTIFS(BH3:BH100,"*De*",BH3:BH100,"*10*")</f>
        <v>0</v>
      </c>
      <c r="BP11" s="18">
        <f>COUNTIFS(BH3:BH100,"*De*",BH3:BH100,"*12*")</f>
        <v>0</v>
      </c>
      <c r="BQ11" s="18">
        <f>COUNTIFS(BH3:BH100,"*De*",BH3:BH100,"*20*")</f>
        <v>0</v>
      </c>
      <c r="BR11" s="6">
        <f t="shared" si="5"/>
        <v>0</v>
      </c>
      <c r="BS11" s="6"/>
      <c r="BT11" s="6"/>
      <c r="BU11" s="6"/>
      <c r="BW11" s="6"/>
      <c r="BX11" s="6"/>
      <c r="BY11" s="6"/>
      <c r="BZ11" s="6"/>
      <c r="CA11" s="6"/>
    </row>
    <row r="12" ht="15.75" customHeight="1">
      <c r="A12" s="1" t="s">
        <v>103</v>
      </c>
      <c r="B12" s="9" t="s">
        <v>85</v>
      </c>
      <c r="C12" s="9">
        <v>0.965015</v>
      </c>
      <c r="D12" s="9" t="s">
        <v>85</v>
      </c>
      <c r="E12" s="9" t="s">
        <v>85</v>
      </c>
      <c r="F12" s="30">
        <v>0.965014577</v>
      </c>
      <c r="G12" s="9" t="s">
        <v>85</v>
      </c>
      <c r="H12" s="9" t="s">
        <v>85</v>
      </c>
      <c r="I12" s="9">
        <v>0.959184</v>
      </c>
      <c r="J12" s="9" t="s">
        <v>85</v>
      </c>
      <c r="K12" s="9" t="s">
        <v>85</v>
      </c>
      <c r="L12" s="9">
        <v>0.965015</v>
      </c>
      <c r="M12" s="9" t="s">
        <v>85</v>
      </c>
      <c r="N12" s="9" t="s">
        <v>85</v>
      </c>
      <c r="O12" s="9">
        <v>0.96793</v>
      </c>
      <c r="P12" s="9" t="s">
        <v>85</v>
      </c>
      <c r="Q12" s="9" t="s">
        <v>85</v>
      </c>
      <c r="R12" s="9">
        <v>0.976676</v>
      </c>
      <c r="S12" s="9" t="s">
        <v>85</v>
      </c>
      <c r="T12" s="9" t="s">
        <v>85</v>
      </c>
      <c r="U12" s="9">
        <v>0.953353</v>
      </c>
      <c r="V12" s="9" t="s">
        <v>85</v>
      </c>
      <c r="W12" s="9" t="s">
        <v>85</v>
      </c>
      <c r="X12" s="9">
        <v>0.953353</v>
      </c>
      <c r="Y12" s="9" t="s">
        <v>85</v>
      </c>
      <c r="Z12" s="9" t="s">
        <v>85</v>
      </c>
      <c r="AA12" s="30">
        <v>0.970845</v>
      </c>
      <c r="AB12" s="9" t="s">
        <v>85</v>
      </c>
      <c r="AC12" s="9" t="s">
        <v>85</v>
      </c>
      <c r="AD12" s="30">
        <v>0.973761</v>
      </c>
      <c r="AE12" s="9" t="s">
        <v>85</v>
      </c>
      <c r="AF12" s="9" t="s">
        <v>85</v>
      </c>
      <c r="AG12" s="9">
        <v>0.938776</v>
      </c>
      <c r="AH12" s="9" t="s">
        <v>85</v>
      </c>
      <c r="AI12" s="9" t="s">
        <v>85</v>
      </c>
      <c r="AJ12" s="9">
        <v>0.941691</v>
      </c>
      <c r="AK12" s="9" t="s">
        <v>85</v>
      </c>
      <c r="AL12" s="9" t="s">
        <v>85</v>
      </c>
      <c r="AM12" s="9">
        <v>0.973761</v>
      </c>
      <c r="AN12" s="9" t="s">
        <v>85</v>
      </c>
      <c r="AO12" s="9" t="s">
        <v>85</v>
      </c>
      <c r="AP12" s="30">
        <v>0.959184</v>
      </c>
      <c r="AQ12" s="9" t="s">
        <v>85</v>
      </c>
      <c r="AR12" s="9" t="s">
        <v>85</v>
      </c>
      <c r="AS12" s="9">
        <v>0.941691</v>
      </c>
      <c r="AT12" s="9" t="s">
        <v>85</v>
      </c>
      <c r="AU12" s="9" t="s">
        <v>85</v>
      </c>
      <c r="AV12" s="9">
        <v>0.941691</v>
      </c>
      <c r="AW12" s="9" t="s">
        <v>85</v>
      </c>
      <c r="AX12" s="9" t="s">
        <v>85</v>
      </c>
      <c r="AY12" s="9">
        <v>0.895044</v>
      </c>
      <c r="AZ12" s="9" t="s">
        <v>85</v>
      </c>
      <c r="BA12" s="9" t="s">
        <v>85</v>
      </c>
      <c r="BB12" s="30">
        <v>0.944606</v>
      </c>
      <c r="BC12" s="9" t="s">
        <v>85</v>
      </c>
      <c r="BD12" s="10" t="s">
        <v>85</v>
      </c>
      <c r="BE12" s="10" t="s">
        <v>85</v>
      </c>
      <c r="BF12" s="9" t="s">
        <v>85</v>
      </c>
      <c r="BG12" s="6"/>
      <c r="BH12" s="6" t="str">
        <f t="shared" si="1"/>
        <v>8BN_Fold_Median</v>
      </c>
      <c r="BI12" s="6" t="str">
        <f t="shared" si="2"/>
        <v>10BN_Fold_Median</v>
      </c>
      <c r="BJ12" s="6" t="str">
        <f t="shared" si="3"/>
        <v>10BN_Fold_Median</v>
      </c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</row>
    <row r="13" ht="15.75" customHeight="1">
      <c r="A13" s="1" t="s">
        <v>105</v>
      </c>
      <c r="B13" s="9" t="s">
        <v>85</v>
      </c>
      <c r="C13" s="9">
        <v>0.532552</v>
      </c>
      <c r="D13" s="9" t="s">
        <v>85</v>
      </c>
      <c r="E13" s="9" t="s">
        <v>85</v>
      </c>
      <c r="F13" s="30">
        <v>0.540624976</v>
      </c>
      <c r="G13" s="9" t="s">
        <v>85</v>
      </c>
      <c r="H13" s="9" t="s">
        <v>85</v>
      </c>
      <c r="I13" s="9">
        <v>0.532552</v>
      </c>
      <c r="J13" s="9" t="s">
        <v>85</v>
      </c>
      <c r="K13" s="9" t="s">
        <v>85</v>
      </c>
      <c r="L13" s="9">
        <v>0.532552</v>
      </c>
      <c r="M13" s="9" t="s">
        <v>85</v>
      </c>
      <c r="N13" s="9" t="s">
        <v>85</v>
      </c>
      <c r="O13" s="9">
        <v>0.532552</v>
      </c>
      <c r="P13" s="9" t="s">
        <v>85</v>
      </c>
      <c r="Q13" s="9" t="s">
        <v>85</v>
      </c>
      <c r="R13" s="9">
        <v>0.532552</v>
      </c>
      <c r="S13" s="9" t="s">
        <v>85</v>
      </c>
      <c r="T13" s="9" t="s">
        <v>85</v>
      </c>
      <c r="U13" s="9">
        <v>0.532552</v>
      </c>
      <c r="V13" s="9" t="s">
        <v>85</v>
      </c>
      <c r="W13" s="9" t="s">
        <v>85</v>
      </c>
      <c r="X13" s="9">
        <v>0.532552</v>
      </c>
      <c r="Y13" s="9" t="s">
        <v>85</v>
      </c>
      <c r="Z13" s="9" t="s">
        <v>85</v>
      </c>
      <c r="AA13" s="30">
        <v>0.540104</v>
      </c>
      <c r="AB13" s="9" t="s">
        <v>85</v>
      </c>
      <c r="AC13" s="9" t="s">
        <v>85</v>
      </c>
      <c r="AD13" s="30">
        <v>0.532552</v>
      </c>
      <c r="AE13" s="9" t="s">
        <v>85</v>
      </c>
      <c r="AF13" s="9" t="s">
        <v>85</v>
      </c>
      <c r="AG13" s="9">
        <v>0.532552</v>
      </c>
      <c r="AH13" s="9" t="s">
        <v>85</v>
      </c>
      <c r="AI13" s="9" t="s">
        <v>85</v>
      </c>
      <c r="AJ13" s="9">
        <v>0.532552</v>
      </c>
      <c r="AK13" s="9" t="s">
        <v>85</v>
      </c>
      <c r="AL13" s="9" t="s">
        <v>85</v>
      </c>
      <c r="AM13" s="9">
        <v>0.571094</v>
      </c>
      <c r="AN13" s="9" t="s">
        <v>85</v>
      </c>
      <c r="AO13" s="9" t="s">
        <v>85</v>
      </c>
      <c r="AP13" s="30">
        <v>0.569792</v>
      </c>
      <c r="AQ13" s="9" t="s">
        <v>85</v>
      </c>
      <c r="AR13" s="9" t="s">
        <v>85</v>
      </c>
      <c r="AS13" s="9">
        <v>0.532552</v>
      </c>
      <c r="AT13" s="9" t="s">
        <v>85</v>
      </c>
      <c r="AU13" s="9" t="s">
        <v>85</v>
      </c>
      <c r="AV13" s="9">
        <v>0.532552</v>
      </c>
      <c r="AW13" s="9" t="s">
        <v>85</v>
      </c>
      <c r="AX13" s="9" t="s">
        <v>85</v>
      </c>
      <c r="AY13" s="9">
        <v>0.580208</v>
      </c>
      <c r="AZ13" s="9" t="s">
        <v>85</v>
      </c>
      <c r="BA13" s="9" t="s">
        <v>85</v>
      </c>
      <c r="BB13" s="30">
        <v>0.532552</v>
      </c>
      <c r="BC13" s="9" t="s">
        <v>85</v>
      </c>
      <c r="BD13" s="10" t="s">
        <v>85</v>
      </c>
      <c r="BE13" s="10" t="s">
        <v>85</v>
      </c>
      <c r="BF13" s="9" t="s">
        <v>85</v>
      </c>
      <c r="BG13" s="6"/>
      <c r="BH13" s="6" t="str">
        <f t="shared" si="1"/>
        <v>20B_Fold_Median</v>
      </c>
      <c r="BI13" s="6" t="str">
        <f t="shared" si="2"/>
        <v>12B_Fold_Median</v>
      </c>
      <c r="BJ13" s="6" t="str">
        <f t="shared" si="3"/>
        <v>12BN_Fold_Median</v>
      </c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</row>
    <row r="14" ht="15.75" customHeight="1">
      <c r="A14" s="1" t="s">
        <v>107</v>
      </c>
      <c r="B14" s="9" t="s">
        <v>85</v>
      </c>
      <c r="C14" s="9">
        <v>0.381159</v>
      </c>
      <c r="D14" s="9" t="s">
        <v>85</v>
      </c>
      <c r="E14" s="9" t="s">
        <v>85</v>
      </c>
      <c r="F14" s="30">
        <v>0.505072474</v>
      </c>
      <c r="G14" s="9" t="s">
        <v>85</v>
      </c>
      <c r="H14" s="9" t="s">
        <v>85</v>
      </c>
      <c r="I14" s="9">
        <v>0.403623</v>
      </c>
      <c r="J14" s="9" t="s">
        <v>85</v>
      </c>
      <c r="K14" s="9" t="s">
        <v>85</v>
      </c>
      <c r="L14" s="9">
        <v>0.32971</v>
      </c>
      <c r="M14" s="9" t="s">
        <v>85</v>
      </c>
      <c r="N14" s="9" t="s">
        <v>85</v>
      </c>
      <c r="O14" s="9">
        <v>0.597101</v>
      </c>
      <c r="P14" s="9" t="s">
        <v>85</v>
      </c>
      <c r="Q14" s="9" t="s">
        <v>85</v>
      </c>
      <c r="R14" s="9">
        <v>0.544928</v>
      </c>
      <c r="S14" s="9" t="s">
        <v>85</v>
      </c>
      <c r="T14" s="9" t="s">
        <v>85</v>
      </c>
      <c r="U14" s="9">
        <v>0.565942</v>
      </c>
      <c r="V14" s="9" t="s">
        <v>85</v>
      </c>
      <c r="W14" s="9" t="s">
        <v>85</v>
      </c>
      <c r="X14" s="9">
        <v>0.578986</v>
      </c>
      <c r="Y14" s="9" t="s">
        <v>85</v>
      </c>
      <c r="Z14" s="9" t="s">
        <v>85</v>
      </c>
      <c r="AA14" s="30">
        <v>0.561594</v>
      </c>
      <c r="AB14" s="9" t="s">
        <v>85</v>
      </c>
      <c r="AC14" s="9" t="s">
        <v>85</v>
      </c>
      <c r="AD14" s="30">
        <v>0.601449</v>
      </c>
      <c r="AE14" s="9" t="s">
        <v>85</v>
      </c>
      <c r="AF14" s="9" t="s">
        <v>85</v>
      </c>
      <c r="AG14" s="9">
        <v>0.644203</v>
      </c>
      <c r="AH14" s="9" t="s">
        <v>85</v>
      </c>
      <c r="AI14" s="9" t="s">
        <v>85</v>
      </c>
      <c r="AJ14" s="9">
        <v>0.607971</v>
      </c>
      <c r="AK14" s="9" t="s">
        <v>85</v>
      </c>
      <c r="AL14" s="9" t="s">
        <v>85</v>
      </c>
      <c r="AM14" s="9">
        <v>0.619565</v>
      </c>
      <c r="AN14" s="9" t="s">
        <v>85</v>
      </c>
      <c r="AO14" s="9" t="s">
        <v>85</v>
      </c>
      <c r="AP14" s="30">
        <v>0.605797</v>
      </c>
      <c r="AQ14" s="9" t="s">
        <v>85</v>
      </c>
      <c r="AR14" s="9" t="s">
        <v>85</v>
      </c>
      <c r="AS14" s="9">
        <v>0.700725</v>
      </c>
      <c r="AT14" s="9" t="s">
        <v>85</v>
      </c>
      <c r="AU14" s="9" t="s">
        <v>85</v>
      </c>
      <c r="AV14" s="9">
        <v>0.693478</v>
      </c>
      <c r="AW14" s="9" t="s">
        <v>85</v>
      </c>
      <c r="AX14" s="9" t="s">
        <v>85</v>
      </c>
      <c r="AY14" s="9">
        <v>0.743478</v>
      </c>
      <c r="AZ14" s="9" t="s">
        <v>85</v>
      </c>
      <c r="BA14" s="9" t="s">
        <v>85</v>
      </c>
      <c r="BB14" s="30">
        <v>0.782609</v>
      </c>
      <c r="BC14" s="9" t="s">
        <v>85</v>
      </c>
      <c r="BD14" s="10" t="s">
        <v>85</v>
      </c>
      <c r="BE14" s="10" t="s">
        <v>85</v>
      </c>
      <c r="BF14" s="9" t="s">
        <v>85</v>
      </c>
      <c r="BG14" s="6"/>
      <c r="BH14" s="6" t="str">
        <f t="shared" si="1"/>
        <v>20V_Fold_Median</v>
      </c>
      <c r="BI14" s="6" t="str">
        <f t="shared" si="2"/>
        <v>20B_Fold_Median</v>
      </c>
      <c r="BJ14" s="6" t="str">
        <f t="shared" si="3"/>
        <v>12V_Fold_Median</v>
      </c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</row>
    <row r="15" ht="15.75" customHeight="1">
      <c r="A15" s="1" t="s">
        <v>109</v>
      </c>
      <c r="B15" s="9" t="s">
        <v>85</v>
      </c>
      <c r="C15" s="9">
        <v>0.785714</v>
      </c>
      <c r="D15" s="9" t="s">
        <v>85</v>
      </c>
      <c r="E15" s="9" t="s">
        <v>85</v>
      </c>
      <c r="F15" s="30">
        <v>0.785714269</v>
      </c>
      <c r="G15" s="9" t="s">
        <v>85</v>
      </c>
      <c r="H15" s="9" t="s">
        <v>85</v>
      </c>
      <c r="I15" s="9">
        <v>0.821429</v>
      </c>
      <c r="J15" s="9" t="s">
        <v>85</v>
      </c>
      <c r="K15" s="9" t="s">
        <v>85</v>
      </c>
      <c r="L15" s="9">
        <v>0.75</v>
      </c>
      <c r="M15" s="9" t="s">
        <v>85</v>
      </c>
      <c r="N15" s="9" t="s">
        <v>85</v>
      </c>
      <c r="O15" s="9">
        <v>0.714286</v>
      </c>
      <c r="P15" s="9" t="s">
        <v>85</v>
      </c>
      <c r="Q15" s="9" t="s">
        <v>85</v>
      </c>
      <c r="R15" s="9">
        <v>0.75</v>
      </c>
      <c r="S15" s="9" t="s">
        <v>85</v>
      </c>
      <c r="T15" s="9" t="s">
        <v>85</v>
      </c>
      <c r="U15" s="9">
        <v>1.0</v>
      </c>
      <c r="V15" s="9" t="s">
        <v>85</v>
      </c>
      <c r="W15" s="9" t="s">
        <v>85</v>
      </c>
      <c r="X15" s="9">
        <v>1.0</v>
      </c>
      <c r="Y15" s="9" t="s">
        <v>85</v>
      </c>
      <c r="Z15" s="9" t="s">
        <v>85</v>
      </c>
      <c r="AA15" s="30">
        <v>0.857143</v>
      </c>
      <c r="AB15" s="9" t="s">
        <v>85</v>
      </c>
      <c r="AC15" s="9" t="s">
        <v>85</v>
      </c>
      <c r="AD15" s="30">
        <v>0.892857</v>
      </c>
      <c r="AE15" s="9" t="s">
        <v>85</v>
      </c>
      <c r="AF15" s="9" t="s">
        <v>85</v>
      </c>
      <c r="AG15" s="9">
        <v>0.857143</v>
      </c>
      <c r="AH15" s="9" t="s">
        <v>85</v>
      </c>
      <c r="AI15" s="9" t="s">
        <v>85</v>
      </c>
      <c r="AJ15" s="9">
        <v>0.857143</v>
      </c>
      <c r="AK15" s="9" t="s">
        <v>85</v>
      </c>
      <c r="AL15" s="9" t="s">
        <v>85</v>
      </c>
      <c r="AM15" s="9">
        <v>0.892857</v>
      </c>
      <c r="AN15" s="9" t="s">
        <v>85</v>
      </c>
      <c r="AO15" s="9" t="s">
        <v>85</v>
      </c>
      <c r="AP15" s="30">
        <v>0.928571</v>
      </c>
      <c r="AQ15" s="9" t="s">
        <v>85</v>
      </c>
      <c r="AR15" s="9" t="s">
        <v>85</v>
      </c>
      <c r="AS15" s="9">
        <v>0.964286</v>
      </c>
      <c r="AT15" s="9" t="s">
        <v>85</v>
      </c>
      <c r="AU15" s="9" t="s">
        <v>85</v>
      </c>
      <c r="AV15" s="9">
        <v>0.928571</v>
      </c>
      <c r="AW15" s="9" t="s">
        <v>85</v>
      </c>
      <c r="AX15" s="9" t="s">
        <v>85</v>
      </c>
      <c r="AY15" s="9">
        <v>0.928571</v>
      </c>
      <c r="AZ15" s="9" t="s">
        <v>85</v>
      </c>
      <c r="BA15" s="9" t="s">
        <v>85</v>
      </c>
      <c r="BB15" s="30">
        <v>0.964286</v>
      </c>
      <c r="BC15" s="9" t="s">
        <v>85</v>
      </c>
      <c r="BD15" s="10" t="s">
        <v>85</v>
      </c>
      <c r="BE15" s="10" t="s">
        <v>85</v>
      </c>
      <c r="BF15" s="9" t="s">
        <v>85</v>
      </c>
      <c r="BG15" s="6"/>
      <c r="BH15" s="6" t="str">
        <f t="shared" si="1"/>
        <v>8V_Fold_Median</v>
      </c>
      <c r="BI15" s="6" t="str">
        <f t="shared" si="2"/>
        <v>8V_Fold_Median</v>
      </c>
      <c r="BJ15" s="6" t="str">
        <f t="shared" si="3"/>
        <v>12V_Fold_Median</v>
      </c>
      <c r="BK15" s="6"/>
      <c r="BL15" s="1" t="s">
        <v>214</v>
      </c>
      <c r="BM15" s="6" t="s">
        <v>249</v>
      </c>
      <c r="BN15" s="6"/>
      <c r="BO15" s="6"/>
      <c r="BP15" s="6"/>
      <c r="BQ15" s="6"/>
      <c r="BR15" s="6"/>
      <c r="BS15" s="6"/>
      <c r="BU15" s="6"/>
      <c r="BV15" s="6"/>
      <c r="BW15" s="6"/>
      <c r="BX15" s="6"/>
      <c r="BY15" s="6"/>
      <c r="BZ15" s="6"/>
      <c r="CA15" s="6"/>
    </row>
    <row r="16" ht="15.75" customHeight="1">
      <c r="A16" s="1" t="s">
        <v>110</v>
      </c>
      <c r="B16" s="9" t="s">
        <v>85</v>
      </c>
      <c r="C16" s="9">
        <v>0.812</v>
      </c>
      <c r="D16" s="9" t="s">
        <v>85</v>
      </c>
      <c r="E16" s="9" t="s">
        <v>85</v>
      </c>
      <c r="F16" s="30">
        <v>0.736000001</v>
      </c>
      <c r="G16" s="9" t="s">
        <v>85</v>
      </c>
      <c r="H16" s="9" t="s">
        <v>85</v>
      </c>
      <c r="I16" s="9">
        <v>0.672</v>
      </c>
      <c r="J16" s="9" t="s">
        <v>85</v>
      </c>
      <c r="K16" s="9" t="s">
        <v>85</v>
      </c>
      <c r="L16" s="9">
        <v>0.676</v>
      </c>
      <c r="M16" s="9" t="s">
        <v>85</v>
      </c>
      <c r="N16" s="9" t="s">
        <v>85</v>
      </c>
      <c r="O16" s="9">
        <v>0.808</v>
      </c>
      <c r="P16" s="9" t="s">
        <v>85</v>
      </c>
      <c r="Q16" s="9" t="s">
        <v>85</v>
      </c>
      <c r="R16" s="9">
        <v>0.816</v>
      </c>
      <c r="S16" s="9" t="s">
        <v>85</v>
      </c>
      <c r="T16" s="9" t="s">
        <v>85</v>
      </c>
      <c r="U16" s="9">
        <v>0.704</v>
      </c>
      <c r="V16" s="9" t="s">
        <v>85</v>
      </c>
      <c r="W16" s="9" t="s">
        <v>85</v>
      </c>
      <c r="X16" s="9">
        <v>0.688</v>
      </c>
      <c r="Y16" s="9" t="s">
        <v>85</v>
      </c>
      <c r="Z16" s="9" t="s">
        <v>85</v>
      </c>
      <c r="AA16" s="30">
        <v>0.832</v>
      </c>
      <c r="AB16" s="9" t="s">
        <v>85</v>
      </c>
      <c r="AC16" s="9" t="s">
        <v>85</v>
      </c>
      <c r="AD16" s="30">
        <v>0.824</v>
      </c>
      <c r="AE16" s="9" t="s">
        <v>85</v>
      </c>
      <c r="AF16" s="9" t="s">
        <v>85</v>
      </c>
      <c r="AG16" s="9">
        <v>0.66</v>
      </c>
      <c r="AH16" s="9" t="s">
        <v>85</v>
      </c>
      <c r="AI16" s="9" t="s">
        <v>85</v>
      </c>
      <c r="AJ16" s="9">
        <v>0.656</v>
      </c>
      <c r="AK16" s="9" t="s">
        <v>85</v>
      </c>
      <c r="AL16" s="9" t="s">
        <v>85</v>
      </c>
      <c r="AM16" s="9">
        <v>0.812</v>
      </c>
      <c r="AN16" s="9" t="s">
        <v>85</v>
      </c>
      <c r="AO16" s="9" t="s">
        <v>85</v>
      </c>
      <c r="AP16" s="30">
        <v>0.808</v>
      </c>
      <c r="AQ16" s="9" t="s">
        <v>85</v>
      </c>
      <c r="AR16" s="9" t="s">
        <v>85</v>
      </c>
      <c r="AS16" s="9">
        <v>0.672</v>
      </c>
      <c r="AT16" s="9" t="s">
        <v>85</v>
      </c>
      <c r="AU16" s="9" t="s">
        <v>85</v>
      </c>
      <c r="AV16" s="9">
        <v>0.632</v>
      </c>
      <c r="AW16" s="9" t="s">
        <v>85</v>
      </c>
      <c r="AX16" s="9" t="s">
        <v>85</v>
      </c>
      <c r="AY16" s="9">
        <v>0.792</v>
      </c>
      <c r="AZ16" s="9" t="s">
        <v>85</v>
      </c>
      <c r="BA16" s="9" t="s">
        <v>85</v>
      </c>
      <c r="BB16" s="30">
        <v>0.68</v>
      </c>
      <c r="BC16" s="9" t="s">
        <v>85</v>
      </c>
      <c r="BD16" s="10" t="s">
        <v>85</v>
      </c>
      <c r="BE16" s="10" t="s">
        <v>85</v>
      </c>
      <c r="BF16" s="9" t="s">
        <v>85</v>
      </c>
      <c r="BG16" s="6"/>
      <c r="BH16" s="6" t="str">
        <f t="shared" si="1"/>
        <v>10B_Fold_Median</v>
      </c>
      <c r="BI16" s="6" t="str">
        <f t="shared" si="2"/>
        <v>10BN_Fold_Median</v>
      </c>
      <c r="BJ16" s="6" t="str">
        <f t="shared" si="3"/>
        <v>8BN_Fold_Median</v>
      </c>
      <c r="BK16" s="6"/>
      <c r="BM16" s="6" t="s">
        <v>255</v>
      </c>
      <c r="BN16" s="6" t="s">
        <v>256</v>
      </c>
      <c r="BO16" s="6" t="s">
        <v>257</v>
      </c>
      <c r="BP16" s="6" t="s">
        <v>258</v>
      </c>
      <c r="BQ16" s="6" t="s">
        <v>259</v>
      </c>
      <c r="BR16" s="6"/>
      <c r="BS16" s="6"/>
      <c r="BU16" s="6"/>
      <c r="BV16" s="6"/>
      <c r="BW16" s="6"/>
      <c r="BX16" s="6"/>
      <c r="BY16" s="6"/>
      <c r="BZ16" s="6"/>
      <c r="CA16" s="6"/>
    </row>
    <row r="17" ht="15.75" customHeight="1">
      <c r="A17" s="1" t="s">
        <v>111</v>
      </c>
      <c r="B17" s="9" t="s">
        <v>85</v>
      </c>
      <c r="C17" s="9">
        <v>0.406548</v>
      </c>
      <c r="D17" s="9" t="s">
        <v>85</v>
      </c>
      <c r="E17" s="9" t="s">
        <v>85</v>
      </c>
      <c r="F17" s="30">
        <v>0.441726178</v>
      </c>
      <c r="G17" s="9" t="s">
        <v>85</v>
      </c>
      <c r="H17" s="9" t="s">
        <v>85</v>
      </c>
      <c r="I17" s="9">
        <v>0.399048</v>
      </c>
      <c r="J17" s="9" t="s">
        <v>85</v>
      </c>
      <c r="K17" s="9" t="s">
        <v>85</v>
      </c>
      <c r="L17" s="9">
        <v>0.451548</v>
      </c>
      <c r="M17" s="9" t="s">
        <v>85</v>
      </c>
      <c r="N17" s="9" t="s">
        <v>85</v>
      </c>
      <c r="O17" s="9">
        <v>0.43619</v>
      </c>
      <c r="P17" s="9" t="s">
        <v>85</v>
      </c>
      <c r="Q17" s="9" t="s">
        <v>85</v>
      </c>
      <c r="R17" s="9">
        <v>0.501071</v>
      </c>
      <c r="S17" s="9" t="s">
        <v>85</v>
      </c>
      <c r="T17" s="9" t="s">
        <v>85</v>
      </c>
      <c r="U17" s="9">
        <v>0.35625</v>
      </c>
      <c r="V17" s="9" t="s">
        <v>85</v>
      </c>
      <c r="W17" s="9" t="s">
        <v>85</v>
      </c>
      <c r="X17" s="9">
        <v>0.4275</v>
      </c>
      <c r="Y17" s="9" t="s">
        <v>85</v>
      </c>
      <c r="Z17" s="9" t="s">
        <v>85</v>
      </c>
      <c r="AA17" s="30">
        <v>0.458274</v>
      </c>
      <c r="AB17" s="9" t="s">
        <v>85</v>
      </c>
      <c r="AC17" s="9" t="s">
        <v>85</v>
      </c>
      <c r="AD17" s="30">
        <v>0.431786</v>
      </c>
      <c r="AE17" s="9" t="s">
        <v>85</v>
      </c>
      <c r="AF17" s="9" t="s">
        <v>85</v>
      </c>
      <c r="AG17" s="9">
        <v>0.236786</v>
      </c>
      <c r="AH17" s="9" t="s">
        <v>85</v>
      </c>
      <c r="AI17" s="9" t="s">
        <v>85</v>
      </c>
      <c r="AJ17" s="9">
        <v>0.207679</v>
      </c>
      <c r="AK17" s="9" t="s">
        <v>85</v>
      </c>
      <c r="AL17" s="9" t="s">
        <v>85</v>
      </c>
      <c r="AM17" s="9">
        <v>0.496012</v>
      </c>
      <c r="AN17" s="9" t="s">
        <v>85</v>
      </c>
      <c r="AO17" s="9" t="s">
        <v>85</v>
      </c>
      <c r="AP17" s="30">
        <v>0.504881</v>
      </c>
      <c r="AQ17" s="9" t="s">
        <v>85</v>
      </c>
      <c r="AR17" s="9" t="s">
        <v>85</v>
      </c>
      <c r="AS17" s="9">
        <v>0.363512</v>
      </c>
      <c r="AT17" s="9" t="s">
        <v>85</v>
      </c>
      <c r="AU17" s="9" t="s">
        <v>85</v>
      </c>
      <c r="AV17" s="9">
        <v>0.317976</v>
      </c>
      <c r="AW17" s="9" t="s">
        <v>85</v>
      </c>
      <c r="AX17" s="9" t="s">
        <v>85</v>
      </c>
      <c r="AY17" s="9">
        <v>0.425774</v>
      </c>
      <c r="AZ17" s="9" t="s">
        <v>85</v>
      </c>
      <c r="BA17" s="9" t="s">
        <v>85</v>
      </c>
      <c r="BB17" s="30">
        <v>0.270179</v>
      </c>
      <c r="BC17" s="9" t="s">
        <v>85</v>
      </c>
      <c r="BD17" s="10" t="s">
        <v>85</v>
      </c>
      <c r="BE17" s="10" t="s">
        <v>85</v>
      </c>
      <c r="BF17" s="9" t="s">
        <v>85</v>
      </c>
      <c r="BG17" s="6"/>
      <c r="BH17" s="6" t="str">
        <f t="shared" si="1"/>
        <v>12BN_Fold_Median</v>
      </c>
      <c r="BI17" s="6" t="str">
        <f t="shared" si="2"/>
        <v>8BN_Fold_Median</v>
      </c>
      <c r="BJ17" s="6" t="str">
        <f t="shared" si="3"/>
        <v>12B_Fold_Median</v>
      </c>
      <c r="BK17" s="6"/>
      <c r="BL17" s="6"/>
      <c r="BM17" s="6">
        <f>COUNTIF(BI3:BI100,"*5*")</f>
        <v>35</v>
      </c>
      <c r="BN17" s="6">
        <f>COUNTIF(BI3:BI100,"*8*")</f>
        <v>19</v>
      </c>
      <c r="BO17" s="6">
        <f>COUNTIF(BI3:BI100,"*10*")</f>
        <v>18</v>
      </c>
      <c r="BP17" s="6">
        <f>COUNTIF(BI3:BI100,"*12*")</f>
        <v>18</v>
      </c>
      <c r="BQ17" s="6">
        <f>COUNTIF(BI3:BI100,"*20*")</f>
        <v>8</v>
      </c>
      <c r="BR17" s="6"/>
      <c r="BS17" s="6"/>
      <c r="BT17" s="6"/>
      <c r="BU17" s="6"/>
      <c r="BV17" s="6"/>
      <c r="BW17" s="6"/>
      <c r="BX17" s="6"/>
      <c r="BY17" s="6"/>
      <c r="BZ17" s="6"/>
      <c r="CA17" s="6"/>
    </row>
    <row r="18" ht="15.75" customHeight="1">
      <c r="A18" s="1" t="s">
        <v>112</v>
      </c>
      <c r="B18" s="9" t="s">
        <v>85</v>
      </c>
      <c r="C18" s="9">
        <v>0.882353</v>
      </c>
      <c r="D18" s="9" t="s">
        <v>85</v>
      </c>
      <c r="E18" s="9" t="s">
        <v>85</v>
      </c>
      <c r="F18" s="30">
        <v>0.879084945</v>
      </c>
      <c r="G18" s="9" t="s">
        <v>85</v>
      </c>
      <c r="H18" s="9" t="s">
        <v>85</v>
      </c>
      <c r="I18" s="9">
        <v>0.885621</v>
      </c>
      <c r="J18" s="9" t="s">
        <v>85</v>
      </c>
      <c r="K18" s="9" t="s">
        <v>85</v>
      </c>
      <c r="L18" s="9">
        <v>0.843137</v>
      </c>
      <c r="M18" s="9" t="s">
        <v>85</v>
      </c>
      <c r="N18" s="9" t="s">
        <v>85</v>
      </c>
      <c r="O18" s="9">
        <v>0.879085</v>
      </c>
      <c r="P18" s="9" t="s">
        <v>85</v>
      </c>
      <c r="Q18" s="9" t="s">
        <v>85</v>
      </c>
      <c r="R18" s="9">
        <v>0.892157</v>
      </c>
      <c r="S18" s="9" t="s">
        <v>85</v>
      </c>
      <c r="T18" s="9" t="s">
        <v>85</v>
      </c>
      <c r="U18" s="9">
        <v>0.892157</v>
      </c>
      <c r="V18" s="9" t="s">
        <v>85</v>
      </c>
      <c r="W18" s="9" t="s">
        <v>85</v>
      </c>
      <c r="X18" s="9">
        <v>0.892157</v>
      </c>
      <c r="Y18" s="9" t="s">
        <v>85</v>
      </c>
      <c r="Z18" s="9" t="s">
        <v>85</v>
      </c>
      <c r="AA18" s="30">
        <v>0.888889</v>
      </c>
      <c r="AB18" s="9" t="s">
        <v>85</v>
      </c>
      <c r="AC18" s="9" t="s">
        <v>85</v>
      </c>
      <c r="AD18" s="30">
        <v>0.882353</v>
      </c>
      <c r="AE18" s="9" t="s">
        <v>85</v>
      </c>
      <c r="AF18" s="9" t="s">
        <v>85</v>
      </c>
      <c r="AG18" s="9">
        <v>0.888889</v>
      </c>
      <c r="AH18" s="9" t="s">
        <v>85</v>
      </c>
      <c r="AI18" s="9" t="s">
        <v>85</v>
      </c>
      <c r="AJ18" s="9">
        <v>0.892157</v>
      </c>
      <c r="AK18" s="9" t="s">
        <v>85</v>
      </c>
      <c r="AL18" s="9" t="s">
        <v>85</v>
      </c>
      <c r="AM18" s="9">
        <v>0.888889</v>
      </c>
      <c r="AN18" s="9" t="s">
        <v>85</v>
      </c>
      <c r="AO18" s="9" t="s">
        <v>85</v>
      </c>
      <c r="AP18" s="30">
        <v>0.892157</v>
      </c>
      <c r="AQ18" s="9" t="s">
        <v>85</v>
      </c>
      <c r="AR18" s="9" t="s">
        <v>85</v>
      </c>
      <c r="AS18" s="9">
        <v>0.875817</v>
      </c>
      <c r="AT18" s="9" t="s">
        <v>85</v>
      </c>
      <c r="AU18" s="9" t="s">
        <v>85</v>
      </c>
      <c r="AV18" s="9">
        <v>0.888889</v>
      </c>
      <c r="AW18" s="9" t="s">
        <v>85</v>
      </c>
      <c r="AX18" s="9" t="s">
        <v>85</v>
      </c>
      <c r="AY18" s="9">
        <v>0.892157</v>
      </c>
      <c r="AZ18" s="9" t="s">
        <v>85</v>
      </c>
      <c r="BA18" s="9" t="s">
        <v>85</v>
      </c>
      <c r="BB18" s="30">
        <v>0.892157</v>
      </c>
      <c r="BC18" s="9" t="s">
        <v>85</v>
      </c>
      <c r="BD18" s="10" t="s">
        <v>85</v>
      </c>
      <c r="BE18" s="10" t="s">
        <v>85</v>
      </c>
      <c r="BF18" s="9" t="s">
        <v>85</v>
      </c>
      <c r="BG18" s="6"/>
      <c r="BH18" s="6" t="str">
        <f t="shared" si="1"/>
        <v>8BN_Fold_Median</v>
      </c>
      <c r="BI18" s="6" t="str">
        <f t="shared" si="2"/>
        <v>8BN_Fold_Median</v>
      </c>
      <c r="BJ18" s="6" t="str">
        <f t="shared" si="3"/>
        <v>8BN_Fold_Median</v>
      </c>
      <c r="BK18" s="6"/>
      <c r="BL18" s="6" t="s">
        <v>226</v>
      </c>
      <c r="BM18" s="18">
        <f t="shared" ref="BM18:BQ18" si="6">MINUS(BM17,SUM(BM19,BM20))</f>
        <v>18</v>
      </c>
      <c r="BN18" s="18">
        <f t="shared" si="6"/>
        <v>12</v>
      </c>
      <c r="BO18" s="18">
        <f t="shared" si="6"/>
        <v>11</v>
      </c>
      <c r="BP18" s="18">
        <f t="shared" si="6"/>
        <v>11</v>
      </c>
      <c r="BQ18" s="18">
        <f t="shared" si="6"/>
        <v>3</v>
      </c>
      <c r="BR18" s="6">
        <f t="shared" ref="BR18:BR20" si="7">SUM(BM18:BQ18)</f>
        <v>55</v>
      </c>
      <c r="BS18" s="6"/>
      <c r="BT18" s="6"/>
      <c r="BU18" s="6"/>
      <c r="BV18" s="6"/>
      <c r="BW18" s="6"/>
      <c r="BX18" s="6"/>
      <c r="BY18" s="6"/>
      <c r="BZ18" s="6"/>
      <c r="CA18" s="6"/>
    </row>
    <row r="19" ht="15.75" customHeight="1">
      <c r="A19" s="1" t="s">
        <v>113</v>
      </c>
      <c r="B19" s="9" t="s">
        <v>85</v>
      </c>
      <c r="C19" s="9">
        <v>0.669065</v>
      </c>
      <c r="D19" s="9" t="s">
        <v>85</v>
      </c>
      <c r="E19" s="9" t="s">
        <v>85</v>
      </c>
      <c r="F19" s="30">
        <v>0.676258981</v>
      </c>
      <c r="G19" s="9" t="s">
        <v>85</v>
      </c>
      <c r="H19" s="9" t="s">
        <v>85</v>
      </c>
      <c r="I19" s="9">
        <v>0.741007</v>
      </c>
      <c r="J19" s="9" t="s">
        <v>85</v>
      </c>
      <c r="K19" s="9" t="s">
        <v>85</v>
      </c>
      <c r="L19" s="9">
        <v>0.733813</v>
      </c>
      <c r="M19" s="9" t="s">
        <v>85</v>
      </c>
      <c r="N19" s="9" t="s">
        <v>85</v>
      </c>
      <c r="O19" s="9">
        <v>0.683453</v>
      </c>
      <c r="P19" s="9" t="s">
        <v>85</v>
      </c>
      <c r="Q19" s="9" t="s">
        <v>85</v>
      </c>
      <c r="R19" s="9">
        <v>0.683453</v>
      </c>
      <c r="S19" s="9" t="s">
        <v>85</v>
      </c>
      <c r="T19" s="9" t="s">
        <v>85</v>
      </c>
      <c r="U19" s="9">
        <v>0.683453</v>
      </c>
      <c r="V19" s="9" t="s">
        <v>85</v>
      </c>
      <c r="W19" s="9" t="s">
        <v>85</v>
      </c>
      <c r="X19" s="9">
        <v>0.683453</v>
      </c>
      <c r="Y19" s="9" t="s">
        <v>85</v>
      </c>
      <c r="Z19" s="9" t="s">
        <v>85</v>
      </c>
      <c r="AA19" s="30">
        <v>0.683453</v>
      </c>
      <c r="AB19" s="9" t="s">
        <v>85</v>
      </c>
      <c r="AC19" s="9" t="s">
        <v>85</v>
      </c>
      <c r="AD19" s="30">
        <v>0.71223</v>
      </c>
      <c r="AE19" s="9" t="s">
        <v>85</v>
      </c>
      <c r="AF19" s="9" t="s">
        <v>85</v>
      </c>
      <c r="AG19" s="9">
        <v>0.705036</v>
      </c>
      <c r="AH19" s="9" t="s">
        <v>85</v>
      </c>
      <c r="AI19" s="9" t="s">
        <v>85</v>
      </c>
      <c r="AJ19" s="9">
        <v>0.683453</v>
      </c>
      <c r="AK19" s="9" t="s">
        <v>85</v>
      </c>
      <c r="AL19" s="9" t="s">
        <v>85</v>
      </c>
      <c r="AM19" s="9">
        <v>0.683453</v>
      </c>
      <c r="AN19" s="9" t="s">
        <v>85</v>
      </c>
      <c r="AO19" s="9" t="s">
        <v>85</v>
      </c>
      <c r="AP19" s="30">
        <v>0.697842</v>
      </c>
      <c r="AQ19" s="9" t="s">
        <v>85</v>
      </c>
      <c r="AR19" s="9" t="s">
        <v>85</v>
      </c>
      <c r="AS19" s="9">
        <v>0.683453</v>
      </c>
      <c r="AT19" s="9" t="s">
        <v>85</v>
      </c>
      <c r="AU19" s="9" t="s">
        <v>85</v>
      </c>
      <c r="AV19" s="9">
        <v>0.683453</v>
      </c>
      <c r="AW19" s="9" t="s">
        <v>85</v>
      </c>
      <c r="AX19" s="9" t="s">
        <v>85</v>
      </c>
      <c r="AY19" s="9">
        <v>0.669065</v>
      </c>
      <c r="AZ19" s="9" t="s">
        <v>85</v>
      </c>
      <c r="BA19" s="9" t="s">
        <v>85</v>
      </c>
      <c r="BB19" s="30">
        <v>0.683453</v>
      </c>
      <c r="BC19" s="9" t="s">
        <v>85</v>
      </c>
      <c r="BD19" s="10" t="s">
        <v>85</v>
      </c>
      <c r="BE19" s="10" t="s">
        <v>85</v>
      </c>
      <c r="BF19" s="9" t="s">
        <v>85</v>
      </c>
      <c r="BG19" s="6"/>
      <c r="BH19" s="6" t="str">
        <f t="shared" si="1"/>
        <v>5V_Fold_Median</v>
      </c>
      <c r="BI19" s="6" t="str">
        <f t="shared" si="2"/>
        <v>5VB_Fold_Median</v>
      </c>
      <c r="BJ19" s="6" t="str">
        <f t="shared" si="3"/>
        <v>10BN_Fold_Median</v>
      </c>
      <c r="BK19" s="6"/>
      <c r="BL19" s="6" t="s">
        <v>227</v>
      </c>
      <c r="BM19" s="18">
        <f>COUNTIFS(BI3:BI100,"*V*",BI3:BI100,"*5*")</f>
        <v>17</v>
      </c>
      <c r="BN19" s="19">
        <f>COUNTIFS(BI3:BI100,"*V*",BI3:BI100,"*8*")</f>
        <v>7</v>
      </c>
      <c r="BO19" s="18">
        <f>COUNTIFS(BI3:BI100,"*V*",BI3:BI100,"*10*")</f>
        <v>7</v>
      </c>
      <c r="BP19" s="18">
        <f>COUNTIFS(BI3:BI100,"*V*",BI3:BI100,"*12*")</f>
        <v>7</v>
      </c>
      <c r="BQ19" s="18">
        <f>COUNTIFS(BI3:BI100,"*V*",BI3:BI100,"*20*")</f>
        <v>5</v>
      </c>
      <c r="BR19" s="6">
        <f t="shared" si="7"/>
        <v>43</v>
      </c>
      <c r="BS19" s="6"/>
      <c r="BT19" s="6"/>
      <c r="BU19" s="6"/>
      <c r="BW19" s="6"/>
      <c r="BX19" s="6"/>
      <c r="BY19" s="6"/>
      <c r="BZ19" s="6"/>
      <c r="CA19" s="6"/>
    </row>
    <row r="20" ht="15.75" customHeight="1">
      <c r="A20" s="1" t="s">
        <v>114</v>
      </c>
      <c r="B20" s="9" t="s">
        <v>85</v>
      </c>
      <c r="C20" s="9">
        <v>0.728261</v>
      </c>
      <c r="D20" s="9" t="s">
        <v>85</v>
      </c>
      <c r="E20" s="9" t="s">
        <v>85</v>
      </c>
      <c r="F20" s="30">
        <v>0.728260875</v>
      </c>
      <c r="G20" s="9" t="s">
        <v>85</v>
      </c>
      <c r="H20" s="9" t="s">
        <v>85</v>
      </c>
      <c r="I20" s="9">
        <v>0.75</v>
      </c>
      <c r="J20" s="9" t="s">
        <v>85</v>
      </c>
      <c r="K20" s="9" t="s">
        <v>85</v>
      </c>
      <c r="L20" s="9">
        <v>0.75</v>
      </c>
      <c r="M20" s="9" t="s">
        <v>85</v>
      </c>
      <c r="N20" s="9" t="s">
        <v>85</v>
      </c>
      <c r="O20" s="9">
        <v>0.735507</v>
      </c>
      <c r="P20" s="9" t="s">
        <v>85</v>
      </c>
      <c r="Q20" s="9" t="s">
        <v>85</v>
      </c>
      <c r="R20" s="9">
        <v>0.728261</v>
      </c>
      <c r="S20" s="9" t="s">
        <v>85</v>
      </c>
      <c r="T20" s="9" t="s">
        <v>85</v>
      </c>
      <c r="U20" s="9">
        <v>0.757246</v>
      </c>
      <c r="V20" s="9" t="s">
        <v>85</v>
      </c>
      <c r="W20" s="9" t="s">
        <v>85</v>
      </c>
      <c r="X20" s="9">
        <v>0.757246</v>
      </c>
      <c r="Y20" s="9" t="s">
        <v>85</v>
      </c>
      <c r="Z20" s="9" t="s">
        <v>85</v>
      </c>
      <c r="AA20" s="30">
        <v>0.742754</v>
      </c>
      <c r="AB20" s="9" t="s">
        <v>85</v>
      </c>
      <c r="AC20" s="9" t="s">
        <v>85</v>
      </c>
      <c r="AD20" s="30">
        <v>0.75</v>
      </c>
      <c r="AE20" s="9" t="s">
        <v>85</v>
      </c>
      <c r="AF20" s="9" t="s">
        <v>85</v>
      </c>
      <c r="AG20" s="9">
        <v>0.735507</v>
      </c>
      <c r="AH20" s="9" t="s">
        <v>85</v>
      </c>
      <c r="AI20" s="9" t="s">
        <v>85</v>
      </c>
      <c r="AJ20" s="9">
        <v>0.724638</v>
      </c>
      <c r="AK20" s="9" t="s">
        <v>85</v>
      </c>
      <c r="AL20" s="9" t="s">
        <v>85</v>
      </c>
      <c r="AM20" s="9">
        <v>0.764493</v>
      </c>
      <c r="AN20" s="9" t="s">
        <v>85</v>
      </c>
      <c r="AO20" s="9" t="s">
        <v>85</v>
      </c>
      <c r="AP20" s="30">
        <v>0.757246</v>
      </c>
      <c r="AQ20" s="9" t="s">
        <v>85</v>
      </c>
      <c r="AR20" s="9" t="s">
        <v>85</v>
      </c>
      <c r="AS20" s="9">
        <v>0.764493</v>
      </c>
      <c r="AT20" s="9" t="s">
        <v>85</v>
      </c>
      <c r="AU20" s="9" t="s">
        <v>85</v>
      </c>
      <c r="AV20" s="9">
        <v>0.764493</v>
      </c>
      <c r="AW20" s="9" t="s">
        <v>85</v>
      </c>
      <c r="AX20" s="9" t="s">
        <v>85</v>
      </c>
      <c r="AY20" s="9">
        <v>0.753623</v>
      </c>
      <c r="AZ20" s="9" t="s">
        <v>85</v>
      </c>
      <c r="BA20" s="9" t="s">
        <v>85</v>
      </c>
      <c r="BB20" s="30">
        <v>0.757246</v>
      </c>
      <c r="BC20" s="9" t="s">
        <v>85</v>
      </c>
      <c r="BD20" s="10" t="s">
        <v>85</v>
      </c>
      <c r="BE20" s="10" t="s">
        <v>85</v>
      </c>
      <c r="BF20" s="9" t="s">
        <v>85</v>
      </c>
      <c r="BG20" s="6"/>
      <c r="BH20" s="6" t="str">
        <f t="shared" si="1"/>
        <v>12B_Fold_Median</v>
      </c>
      <c r="BI20" s="6" t="str">
        <f t="shared" si="2"/>
        <v>12B_Fold_Median</v>
      </c>
      <c r="BJ20" s="6" t="str">
        <f t="shared" si="3"/>
        <v>12B_Fold_Median</v>
      </c>
      <c r="BK20" s="6"/>
      <c r="BL20" s="6" t="s">
        <v>20</v>
      </c>
      <c r="BM20" s="18">
        <f>COUNTIFS(BI3:BI100,"*De*",BI3:BI100,"*5*")</f>
        <v>0</v>
      </c>
      <c r="BN20" s="19">
        <f>COUNTIFS(BI3:BI100,"*De*",BI3:BI100,"*8*")</f>
        <v>0</v>
      </c>
      <c r="BO20" s="18">
        <f>COUNTIFS(BI3:BI100,"*De*",BI3:BI100,"*10*")</f>
        <v>0</v>
      </c>
      <c r="BP20" s="18">
        <f>COUNTIFS(BI3:BI100,"*De*",BI3:BI100,"*12*")</f>
        <v>0</v>
      </c>
      <c r="BQ20" s="18">
        <f>COUNTIFS(BI3:BI100,"*De*",BI3:BI100,"*20*")</f>
        <v>0</v>
      </c>
      <c r="BR20" s="6">
        <f t="shared" si="7"/>
        <v>0</v>
      </c>
      <c r="BS20" s="6"/>
      <c r="BT20" s="6"/>
      <c r="BU20" s="6"/>
      <c r="BW20" s="6"/>
      <c r="BX20" s="6"/>
      <c r="BY20" s="6"/>
      <c r="BZ20" s="6"/>
      <c r="CA20" s="6"/>
    </row>
    <row r="21" ht="15.75" customHeight="1">
      <c r="A21" s="1" t="s">
        <v>115</v>
      </c>
      <c r="B21" s="9" t="s">
        <v>85</v>
      </c>
      <c r="C21" s="9">
        <v>0.597122</v>
      </c>
      <c r="D21" s="9" t="s">
        <v>85</v>
      </c>
      <c r="E21" s="9" t="s">
        <v>85</v>
      </c>
      <c r="F21" s="30">
        <v>0.597122312</v>
      </c>
      <c r="G21" s="9" t="s">
        <v>85</v>
      </c>
      <c r="H21" s="9" t="s">
        <v>85</v>
      </c>
      <c r="I21" s="9">
        <v>0.669065</v>
      </c>
      <c r="J21" s="9" t="s">
        <v>85</v>
      </c>
      <c r="K21" s="9" t="s">
        <v>85</v>
      </c>
      <c r="L21" s="9">
        <v>0.654676</v>
      </c>
      <c r="M21" s="9" t="s">
        <v>85</v>
      </c>
      <c r="N21" s="9" t="s">
        <v>85</v>
      </c>
      <c r="O21" s="9">
        <v>0.589928</v>
      </c>
      <c r="P21" s="9" t="s">
        <v>85</v>
      </c>
      <c r="Q21" s="9" t="s">
        <v>85</v>
      </c>
      <c r="R21" s="9">
        <v>0.611511</v>
      </c>
      <c r="S21" s="9" t="s">
        <v>85</v>
      </c>
      <c r="T21" s="9" t="s">
        <v>85</v>
      </c>
      <c r="U21" s="9">
        <v>0.66187</v>
      </c>
      <c r="V21" s="9" t="s">
        <v>85</v>
      </c>
      <c r="W21" s="9" t="s">
        <v>85</v>
      </c>
      <c r="X21" s="9">
        <v>0.669065</v>
      </c>
      <c r="Y21" s="9" t="s">
        <v>85</v>
      </c>
      <c r="Z21" s="9" t="s">
        <v>85</v>
      </c>
      <c r="AA21" s="30">
        <v>0.582734</v>
      </c>
      <c r="AB21" s="9" t="s">
        <v>85</v>
      </c>
      <c r="AC21" s="9" t="s">
        <v>85</v>
      </c>
      <c r="AD21" s="30">
        <v>0.604317</v>
      </c>
      <c r="AE21" s="9" t="s">
        <v>85</v>
      </c>
      <c r="AF21" s="9" t="s">
        <v>85</v>
      </c>
      <c r="AG21" s="9">
        <v>0.633094</v>
      </c>
      <c r="AH21" s="9" t="s">
        <v>85</v>
      </c>
      <c r="AI21" s="9" t="s">
        <v>85</v>
      </c>
      <c r="AJ21" s="9">
        <v>0.647482</v>
      </c>
      <c r="AK21" s="9" t="s">
        <v>85</v>
      </c>
      <c r="AL21" s="9" t="s">
        <v>85</v>
      </c>
      <c r="AM21" s="9">
        <v>0.625899</v>
      </c>
      <c r="AN21" s="9" t="s">
        <v>85</v>
      </c>
      <c r="AO21" s="9" t="s">
        <v>85</v>
      </c>
      <c r="AP21" s="30">
        <v>0.582734</v>
      </c>
      <c r="AQ21" s="9" t="s">
        <v>85</v>
      </c>
      <c r="AR21" s="9" t="s">
        <v>85</v>
      </c>
      <c r="AS21" s="9">
        <v>0.654676</v>
      </c>
      <c r="AT21" s="9" t="s">
        <v>85</v>
      </c>
      <c r="AU21" s="9" t="s">
        <v>85</v>
      </c>
      <c r="AV21" s="9">
        <v>0.654676</v>
      </c>
      <c r="AW21" s="9" t="s">
        <v>85</v>
      </c>
      <c r="AX21" s="9" t="s">
        <v>85</v>
      </c>
      <c r="AY21" s="9">
        <v>0.633094</v>
      </c>
      <c r="AZ21" s="9" t="s">
        <v>85</v>
      </c>
      <c r="BA21" s="9" t="s">
        <v>85</v>
      </c>
      <c r="BB21" s="30">
        <v>0.654676</v>
      </c>
      <c r="BC21" s="9" t="s">
        <v>85</v>
      </c>
      <c r="BD21" s="10" t="s">
        <v>85</v>
      </c>
      <c r="BE21" s="10" t="s">
        <v>85</v>
      </c>
      <c r="BF21" s="9" t="s">
        <v>85</v>
      </c>
      <c r="BG21" s="6"/>
      <c r="BH21" s="6" t="str">
        <f t="shared" si="1"/>
        <v>5V_Fold_Median</v>
      </c>
      <c r="BI21" s="6" t="str">
        <f t="shared" si="2"/>
        <v>5V_Fold_Median</v>
      </c>
      <c r="BJ21" s="6" t="str">
        <f t="shared" si="3"/>
        <v>8V_Fold_Median</v>
      </c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</row>
    <row r="22" ht="15.75" customHeight="1">
      <c r="A22" s="1" t="s">
        <v>116</v>
      </c>
      <c r="B22" s="9" t="s">
        <v>85</v>
      </c>
      <c r="C22" s="9">
        <v>0.748201</v>
      </c>
      <c r="D22" s="9" t="s">
        <v>85</v>
      </c>
      <c r="E22" s="9" t="s">
        <v>85</v>
      </c>
      <c r="F22" s="30">
        <v>0.74820143</v>
      </c>
      <c r="G22" s="9" t="s">
        <v>85</v>
      </c>
      <c r="H22" s="9" t="s">
        <v>85</v>
      </c>
      <c r="I22" s="9">
        <v>0.748201</v>
      </c>
      <c r="J22" s="9" t="s">
        <v>85</v>
      </c>
      <c r="K22" s="9" t="s">
        <v>85</v>
      </c>
      <c r="L22" s="9">
        <v>0.748201</v>
      </c>
      <c r="M22" s="9" t="s">
        <v>85</v>
      </c>
      <c r="N22" s="9" t="s">
        <v>85</v>
      </c>
      <c r="O22" s="9">
        <v>0.748201</v>
      </c>
      <c r="P22" s="9" t="s">
        <v>85</v>
      </c>
      <c r="Q22" s="9" t="s">
        <v>85</v>
      </c>
      <c r="R22" s="9">
        <v>0.748201</v>
      </c>
      <c r="S22" s="9" t="s">
        <v>85</v>
      </c>
      <c r="T22" s="9" t="s">
        <v>85</v>
      </c>
      <c r="U22" s="9">
        <v>0.748201</v>
      </c>
      <c r="V22" s="9" t="s">
        <v>85</v>
      </c>
      <c r="W22" s="9" t="s">
        <v>85</v>
      </c>
      <c r="X22" s="9">
        <v>0.748201</v>
      </c>
      <c r="Y22" s="9" t="s">
        <v>85</v>
      </c>
      <c r="Z22" s="9" t="s">
        <v>85</v>
      </c>
      <c r="AA22" s="30">
        <v>0.748201</v>
      </c>
      <c r="AB22" s="9" t="s">
        <v>85</v>
      </c>
      <c r="AC22" s="9" t="s">
        <v>85</v>
      </c>
      <c r="AD22" s="30">
        <v>0.748201</v>
      </c>
      <c r="AE22" s="9" t="s">
        <v>85</v>
      </c>
      <c r="AF22" s="9" t="s">
        <v>85</v>
      </c>
      <c r="AG22" s="9">
        <v>0.748201</v>
      </c>
      <c r="AH22" s="9" t="s">
        <v>85</v>
      </c>
      <c r="AI22" s="9" t="s">
        <v>85</v>
      </c>
      <c r="AJ22" s="9">
        <v>0.748201</v>
      </c>
      <c r="AK22" s="9" t="s">
        <v>85</v>
      </c>
      <c r="AL22" s="9" t="s">
        <v>85</v>
      </c>
      <c r="AM22" s="9">
        <v>0.748201</v>
      </c>
      <c r="AN22" s="9" t="s">
        <v>85</v>
      </c>
      <c r="AO22" s="9" t="s">
        <v>85</v>
      </c>
      <c r="AP22" s="30">
        <v>0.748201</v>
      </c>
      <c r="AQ22" s="9" t="s">
        <v>85</v>
      </c>
      <c r="AR22" s="9" t="s">
        <v>85</v>
      </c>
      <c r="AS22" s="9">
        <v>0.748201</v>
      </c>
      <c r="AT22" s="9" t="s">
        <v>85</v>
      </c>
      <c r="AU22" s="9" t="s">
        <v>85</v>
      </c>
      <c r="AV22" s="9">
        <v>0.748201</v>
      </c>
      <c r="AW22" s="9" t="s">
        <v>85</v>
      </c>
      <c r="AX22" s="9" t="s">
        <v>85</v>
      </c>
      <c r="AY22" s="9">
        <v>0.748201</v>
      </c>
      <c r="AZ22" s="9" t="s">
        <v>85</v>
      </c>
      <c r="BA22" s="9" t="s">
        <v>85</v>
      </c>
      <c r="BB22" s="30">
        <v>0.748201</v>
      </c>
      <c r="BC22" s="9" t="s">
        <v>85</v>
      </c>
      <c r="BD22" s="10" t="s">
        <v>85</v>
      </c>
      <c r="BE22" s="10" t="s">
        <v>85</v>
      </c>
      <c r="BF22" s="9" t="s">
        <v>85</v>
      </c>
      <c r="BG22" s="6"/>
      <c r="BH22" s="6" t="str">
        <f t="shared" si="1"/>
        <v>5BN_Fold_Median</v>
      </c>
      <c r="BI22" s="6" t="str">
        <f t="shared" si="2"/>
        <v>5B_Fold_Median</v>
      </c>
      <c r="BJ22" s="6" t="str">
        <f t="shared" si="3"/>
        <v>5B_Fold_Median</v>
      </c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</row>
    <row r="23" ht="15.75" customHeight="1">
      <c r="A23" s="1" t="s">
        <v>117</v>
      </c>
      <c r="B23" s="9" t="s">
        <v>85</v>
      </c>
      <c r="C23" s="9">
        <v>0.64</v>
      </c>
      <c r="D23" s="9" t="s">
        <v>85</v>
      </c>
      <c r="E23" s="9" t="s">
        <v>85</v>
      </c>
      <c r="F23" s="30">
        <v>0.639999986</v>
      </c>
      <c r="G23" s="9" t="s">
        <v>85</v>
      </c>
      <c r="H23" s="9" t="s">
        <v>85</v>
      </c>
      <c r="I23" s="9">
        <v>0.64</v>
      </c>
      <c r="J23" s="9" t="s">
        <v>85</v>
      </c>
      <c r="K23" s="9" t="s">
        <v>85</v>
      </c>
      <c r="L23" s="9">
        <v>0.64</v>
      </c>
      <c r="M23" s="9" t="s">
        <v>85</v>
      </c>
      <c r="N23" s="9" t="s">
        <v>85</v>
      </c>
      <c r="O23" s="9">
        <v>0.64</v>
      </c>
      <c r="P23" s="9" t="s">
        <v>85</v>
      </c>
      <c r="Q23" s="9" t="s">
        <v>85</v>
      </c>
      <c r="R23" s="9">
        <v>0.64</v>
      </c>
      <c r="S23" s="9" t="s">
        <v>85</v>
      </c>
      <c r="T23" s="9" t="s">
        <v>85</v>
      </c>
      <c r="U23" s="9">
        <v>0.64</v>
      </c>
      <c r="V23" s="9" t="s">
        <v>85</v>
      </c>
      <c r="W23" s="9" t="s">
        <v>85</v>
      </c>
      <c r="X23" s="9">
        <v>0.64</v>
      </c>
      <c r="Y23" s="9" t="s">
        <v>85</v>
      </c>
      <c r="Z23" s="9" t="s">
        <v>85</v>
      </c>
      <c r="AA23" s="30">
        <v>0.64</v>
      </c>
      <c r="AB23" s="9" t="s">
        <v>85</v>
      </c>
      <c r="AC23" s="9" t="s">
        <v>85</v>
      </c>
      <c r="AD23" s="30">
        <v>0.64</v>
      </c>
      <c r="AE23" s="9" t="s">
        <v>85</v>
      </c>
      <c r="AF23" s="9" t="s">
        <v>85</v>
      </c>
      <c r="AG23" s="9">
        <v>0.64</v>
      </c>
      <c r="AH23" s="9" t="s">
        <v>85</v>
      </c>
      <c r="AI23" s="9" t="s">
        <v>85</v>
      </c>
      <c r="AJ23" s="9">
        <v>0.64</v>
      </c>
      <c r="AK23" s="9" t="s">
        <v>85</v>
      </c>
      <c r="AL23" s="9" t="s">
        <v>85</v>
      </c>
      <c r="AM23" s="9">
        <v>0.64</v>
      </c>
      <c r="AN23" s="9" t="s">
        <v>85</v>
      </c>
      <c r="AO23" s="9" t="s">
        <v>85</v>
      </c>
      <c r="AP23" s="30">
        <v>0.64</v>
      </c>
      <c r="AQ23" s="9" t="s">
        <v>85</v>
      </c>
      <c r="AR23" s="9" t="s">
        <v>85</v>
      </c>
      <c r="AS23" s="9">
        <v>0.64</v>
      </c>
      <c r="AT23" s="9" t="s">
        <v>85</v>
      </c>
      <c r="AU23" s="9" t="s">
        <v>85</v>
      </c>
      <c r="AV23" s="9">
        <v>0.64</v>
      </c>
      <c r="AW23" s="9" t="s">
        <v>85</v>
      </c>
      <c r="AX23" s="9" t="s">
        <v>85</v>
      </c>
      <c r="AY23" s="9">
        <v>0.64</v>
      </c>
      <c r="AZ23" s="9" t="s">
        <v>85</v>
      </c>
      <c r="BA23" s="9" t="s">
        <v>85</v>
      </c>
      <c r="BB23" s="30">
        <v>0.64</v>
      </c>
      <c r="BC23" s="9" t="s">
        <v>85</v>
      </c>
      <c r="BD23" s="10" t="s">
        <v>85</v>
      </c>
      <c r="BE23" s="10" t="s">
        <v>85</v>
      </c>
      <c r="BF23" s="9" t="s">
        <v>85</v>
      </c>
      <c r="BG23" s="6"/>
      <c r="BH23" s="6" t="str">
        <f t="shared" si="1"/>
        <v>5B_Fold_Median</v>
      </c>
      <c r="BI23" s="6" t="str">
        <f t="shared" si="2"/>
        <v>5B_Fold_Median</v>
      </c>
      <c r="BJ23" s="6" t="str">
        <f t="shared" si="3"/>
        <v>5B_Fold_Median</v>
      </c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</row>
    <row r="24" ht="15.75" customHeight="1">
      <c r="A24" s="1" t="s">
        <v>118</v>
      </c>
      <c r="B24" s="9" t="s">
        <v>85</v>
      </c>
      <c r="C24" s="9">
        <v>0.913333</v>
      </c>
      <c r="D24" s="9" t="s">
        <v>85</v>
      </c>
      <c r="E24" s="9" t="s">
        <v>85</v>
      </c>
      <c r="F24" s="30">
        <v>0.914444447</v>
      </c>
      <c r="G24" s="9" t="s">
        <v>85</v>
      </c>
      <c r="H24" s="9" t="s">
        <v>85</v>
      </c>
      <c r="I24" s="9">
        <v>0.917556</v>
      </c>
      <c r="J24" s="9" t="s">
        <v>85</v>
      </c>
      <c r="K24" s="9" t="s">
        <v>85</v>
      </c>
      <c r="L24" s="9">
        <v>0.915111</v>
      </c>
      <c r="M24" s="9" t="s">
        <v>85</v>
      </c>
      <c r="N24" s="9" t="s">
        <v>85</v>
      </c>
      <c r="O24" s="9">
        <v>0.915111</v>
      </c>
      <c r="P24" s="9" t="s">
        <v>85</v>
      </c>
      <c r="Q24" s="9" t="s">
        <v>85</v>
      </c>
      <c r="R24" s="9">
        <v>0.914889</v>
      </c>
      <c r="S24" s="9" t="s">
        <v>85</v>
      </c>
      <c r="T24" s="9" t="s">
        <v>85</v>
      </c>
      <c r="U24" s="9">
        <v>0.921333</v>
      </c>
      <c r="V24" s="9" t="s">
        <v>85</v>
      </c>
      <c r="W24" s="9" t="s">
        <v>85</v>
      </c>
      <c r="X24" s="9">
        <v>0.920222</v>
      </c>
      <c r="Y24" s="9" t="s">
        <v>85</v>
      </c>
      <c r="Z24" s="9" t="s">
        <v>85</v>
      </c>
      <c r="AA24" s="30">
        <v>0.916222</v>
      </c>
      <c r="AB24" s="9" t="s">
        <v>85</v>
      </c>
      <c r="AC24" s="9" t="s">
        <v>85</v>
      </c>
      <c r="AD24" s="30">
        <v>0.916222</v>
      </c>
      <c r="AE24" s="9" t="s">
        <v>85</v>
      </c>
      <c r="AF24" s="9" t="s">
        <v>85</v>
      </c>
      <c r="AG24" s="9">
        <v>0.920444</v>
      </c>
      <c r="AH24" s="9" t="s">
        <v>85</v>
      </c>
      <c r="AI24" s="9" t="s">
        <v>85</v>
      </c>
      <c r="AJ24" s="9">
        <v>0.920889</v>
      </c>
      <c r="AK24" s="9" t="s">
        <v>85</v>
      </c>
      <c r="AL24" s="9" t="s">
        <v>85</v>
      </c>
      <c r="AM24" s="9">
        <v>0.916667</v>
      </c>
      <c r="AN24" s="9" t="s">
        <v>85</v>
      </c>
      <c r="AO24" s="9" t="s">
        <v>85</v>
      </c>
      <c r="AP24" s="30">
        <v>0.916</v>
      </c>
      <c r="AQ24" s="9" t="s">
        <v>85</v>
      </c>
      <c r="AR24" s="9" t="s">
        <v>85</v>
      </c>
      <c r="AS24" s="9">
        <v>0.920667</v>
      </c>
      <c r="AT24" s="9" t="s">
        <v>85</v>
      </c>
      <c r="AU24" s="9" t="s">
        <v>85</v>
      </c>
      <c r="AV24" s="9">
        <v>0.920444</v>
      </c>
      <c r="AW24" s="9" t="s">
        <v>85</v>
      </c>
      <c r="AX24" s="9" t="s">
        <v>85</v>
      </c>
      <c r="AY24" s="9">
        <v>0.914222</v>
      </c>
      <c r="AZ24" s="9" t="s">
        <v>85</v>
      </c>
      <c r="BA24" s="9" t="s">
        <v>85</v>
      </c>
      <c r="BB24" s="30">
        <v>0.920444</v>
      </c>
      <c r="BC24" s="9" t="s">
        <v>85</v>
      </c>
      <c r="BD24" s="10" t="s">
        <v>85</v>
      </c>
      <c r="BE24" s="10" t="s">
        <v>85</v>
      </c>
      <c r="BF24" s="9" t="s">
        <v>85</v>
      </c>
      <c r="BG24" s="6"/>
      <c r="BH24" s="6" t="str">
        <f t="shared" si="1"/>
        <v>8V_Fold_Median</v>
      </c>
      <c r="BI24" s="6" t="str">
        <f t="shared" si="2"/>
        <v>10VB_Fold_Median</v>
      </c>
      <c r="BJ24" s="6" t="str">
        <f t="shared" si="3"/>
        <v>12V_Fold_Median</v>
      </c>
      <c r="BK24" s="6"/>
      <c r="BL24" s="1" t="s">
        <v>215</v>
      </c>
      <c r="BM24" s="6" t="s">
        <v>249</v>
      </c>
      <c r="BN24" s="6"/>
      <c r="BO24" s="6"/>
      <c r="BP24" s="6"/>
      <c r="BQ24" s="6"/>
      <c r="BR24" s="6"/>
      <c r="BS24" s="6"/>
      <c r="BU24" s="6"/>
      <c r="BV24" s="6"/>
      <c r="BW24" s="6"/>
      <c r="BX24" s="6"/>
      <c r="BY24" s="6"/>
      <c r="BZ24" s="6"/>
      <c r="CA24" s="6"/>
    </row>
    <row r="25" ht="15.75" customHeight="1">
      <c r="A25" s="1" t="s">
        <v>119</v>
      </c>
      <c r="B25" s="9" t="s">
        <v>85</v>
      </c>
      <c r="C25" s="9">
        <v>0.785134</v>
      </c>
      <c r="D25" s="9" t="s">
        <v>85</v>
      </c>
      <c r="E25" s="9" t="s">
        <v>85</v>
      </c>
      <c r="F25" s="30">
        <v>0.59814167</v>
      </c>
      <c r="G25" s="9" t="s">
        <v>85</v>
      </c>
      <c r="H25" s="9" t="s">
        <v>85</v>
      </c>
      <c r="I25" s="9">
        <v>0.888502</v>
      </c>
      <c r="J25" s="9" t="s">
        <v>85</v>
      </c>
      <c r="K25" s="9" t="s">
        <v>85</v>
      </c>
      <c r="L25" s="9">
        <v>0.878049</v>
      </c>
      <c r="M25" s="9" t="s">
        <v>85</v>
      </c>
      <c r="N25" s="9" t="s">
        <v>85</v>
      </c>
      <c r="O25" s="9">
        <v>0.765389</v>
      </c>
      <c r="P25" s="9" t="s">
        <v>85</v>
      </c>
      <c r="Q25" s="9" t="s">
        <v>85</v>
      </c>
      <c r="R25" s="9">
        <v>0.704994</v>
      </c>
      <c r="S25" s="9" t="s">
        <v>85</v>
      </c>
      <c r="T25" s="9" t="s">
        <v>85</v>
      </c>
      <c r="U25" s="9">
        <v>0.858304</v>
      </c>
      <c r="V25" s="9" t="s">
        <v>85</v>
      </c>
      <c r="W25" s="9" t="s">
        <v>85</v>
      </c>
      <c r="X25" s="9">
        <v>0.826945</v>
      </c>
      <c r="Y25" s="9" t="s">
        <v>85</v>
      </c>
      <c r="Z25" s="9" t="s">
        <v>85</v>
      </c>
      <c r="AA25" s="30">
        <v>0.745645</v>
      </c>
      <c r="AB25" s="9" t="s">
        <v>85</v>
      </c>
      <c r="AC25" s="9" t="s">
        <v>85</v>
      </c>
      <c r="AD25" s="30">
        <v>0.71777</v>
      </c>
      <c r="AE25" s="9" t="s">
        <v>85</v>
      </c>
      <c r="AF25" s="9" t="s">
        <v>85</v>
      </c>
      <c r="AG25" s="9">
        <v>0.68525</v>
      </c>
      <c r="AH25" s="9" t="s">
        <v>85</v>
      </c>
      <c r="AI25" s="9" t="s">
        <v>85</v>
      </c>
      <c r="AJ25" s="9">
        <v>0.627178</v>
      </c>
      <c r="AK25" s="9" t="s">
        <v>85</v>
      </c>
      <c r="AL25" s="9" t="s">
        <v>85</v>
      </c>
      <c r="AM25" s="9">
        <v>0.807201</v>
      </c>
      <c r="AN25" s="9" t="s">
        <v>85</v>
      </c>
      <c r="AO25" s="9" t="s">
        <v>85</v>
      </c>
      <c r="AP25" s="30">
        <v>0.735192</v>
      </c>
      <c r="AQ25" s="9" t="s">
        <v>85</v>
      </c>
      <c r="AR25" s="9" t="s">
        <v>85</v>
      </c>
      <c r="AS25" s="9">
        <v>0.810685</v>
      </c>
      <c r="AT25" s="9" t="s">
        <v>85</v>
      </c>
      <c r="AU25" s="9" t="s">
        <v>85</v>
      </c>
      <c r="AV25" s="9">
        <v>0.829268</v>
      </c>
      <c r="AW25" s="9" t="s">
        <v>85</v>
      </c>
      <c r="AX25" s="9" t="s">
        <v>85</v>
      </c>
      <c r="AY25" s="9">
        <v>0.790941</v>
      </c>
      <c r="AZ25" s="9" t="s">
        <v>85</v>
      </c>
      <c r="BA25" s="9" t="s">
        <v>85</v>
      </c>
      <c r="BB25" s="30">
        <v>0.497096</v>
      </c>
      <c r="BC25" s="9" t="s">
        <v>85</v>
      </c>
      <c r="BD25" s="10" t="s">
        <v>85</v>
      </c>
      <c r="BE25" s="10" t="s">
        <v>85</v>
      </c>
      <c r="BF25" s="9" t="s">
        <v>85</v>
      </c>
      <c r="BG25" s="6"/>
      <c r="BH25" s="6" t="str">
        <f t="shared" si="1"/>
        <v>5V_Fold_Median</v>
      </c>
      <c r="BI25" s="6" t="str">
        <f t="shared" si="2"/>
        <v>5VB_Fold_Median</v>
      </c>
      <c r="BJ25" s="6" t="str">
        <f t="shared" si="3"/>
        <v>8V_Fold_Median</v>
      </c>
      <c r="BK25" s="6"/>
      <c r="BM25" s="6" t="s">
        <v>255</v>
      </c>
      <c r="BN25" s="6" t="s">
        <v>256</v>
      </c>
      <c r="BO25" s="6" t="s">
        <v>257</v>
      </c>
      <c r="BP25" s="6" t="s">
        <v>258</v>
      </c>
      <c r="BQ25" s="6" t="s">
        <v>259</v>
      </c>
      <c r="BR25" s="6"/>
      <c r="BS25" s="6"/>
      <c r="BU25" s="6"/>
      <c r="BV25" s="6"/>
      <c r="BW25" s="6"/>
      <c r="BX25" s="6"/>
      <c r="BY25" s="6"/>
      <c r="BZ25" s="6"/>
      <c r="CA25" s="6"/>
    </row>
    <row r="26" ht="15.75" customHeight="1">
      <c r="A26" s="1" t="s">
        <v>120</v>
      </c>
      <c r="B26" s="9" t="s">
        <v>85</v>
      </c>
      <c r="C26" s="9">
        <v>0.630787</v>
      </c>
      <c r="D26" s="9" t="s">
        <v>85</v>
      </c>
      <c r="E26" s="9" t="s">
        <v>85</v>
      </c>
      <c r="F26" s="30">
        <v>0.556866825</v>
      </c>
      <c r="G26" s="9" t="s">
        <v>85</v>
      </c>
      <c r="H26" s="9" t="s">
        <v>85</v>
      </c>
      <c r="I26" s="9">
        <v>0.628712</v>
      </c>
      <c r="J26" s="9" t="s">
        <v>85</v>
      </c>
      <c r="K26" s="9" t="s">
        <v>85</v>
      </c>
      <c r="L26" s="9">
        <v>0.637012</v>
      </c>
      <c r="M26" s="9" t="s">
        <v>85</v>
      </c>
      <c r="N26" s="9" t="s">
        <v>85</v>
      </c>
      <c r="O26" s="9">
        <v>0.648165</v>
      </c>
      <c r="P26" s="9" t="s">
        <v>85</v>
      </c>
      <c r="Q26" s="9" t="s">
        <v>85</v>
      </c>
      <c r="R26" s="9">
        <v>0.652056</v>
      </c>
      <c r="S26" s="9" t="s">
        <v>85</v>
      </c>
      <c r="T26" s="9" t="s">
        <v>85</v>
      </c>
      <c r="U26" s="9">
        <v>0.635975</v>
      </c>
      <c r="V26" s="9" t="s">
        <v>85</v>
      </c>
      <c r="W26" s="9" t="s">
        <v>85</v>
      </c>
      <c r="X26" s="9">
        <v>0.651277</v>
      </c>
      <c r="Y26" s="9" t="s">
        <v>85</v>
      </c>
      <c r="Z26" s="9" t="s">
        <v>85</v>
      </c>
      <c r="AA26" s="30">
        <v>0.635067</v>
      </c>
      <c r="AB26" s="9" t="s">
        <v>85</v>
      </c>
      <c r="AC26" s="9" t="s">
        <v>85</v>
      </c>
      <c r="AD26" s="30">
        <v>0.664765</v>
      </c>
      <c r="AE26" s="9" t="s">
        <v>85</v>
      </c>
      <c r="AF26" s="9" t="s">
        <v>85</v>
      </c>
      <c r="AG26" s="9">
        <v>0.651018</v>
      </c>
      <c r="AH26" s="9" t="s">
        <v>85</v>
      </c>
      <c r="AI26" s="9" t="s">
        <v>85</v>
      </c>
      <c r="AJ26" s="9">
        <v>0.638698</v>
      </c>
      <c r="AK26" s="9" t="s">
        <v>85</v>
      </c>
      <c r="AL26" s="9" t="s">
        <v>85</v>
      </c>
      <c r="AM26" s="9">
        <v>0.622487</v>
      </c>
      <c r="AN26" s="9" t="s">
        <v>85</v>
      </c>
      <c r="AO26" s="9" t="s">
        <v>85</v>
      </c>
      <c r="AP26" s="30">
        <v>0.61328</v>
      </c>
      <c r="AQ26" s="9" t="s">
        <v>85</v>
      </c>
      <c r="AR26" s="9" t="s">
        <v>85</v>
      </c>
      <c r="AS26" s="9">
        <v>0.631436</v>
      </c>
      <c r="AT26" s="9" t="s">
        <v>85</v>
      </c>
      <c r="AU26" s="9" t="s">
        <v>85</v>
      </c>
      <c r="AV26" s="9">
        <v>0.638179</v>
      </c>
      <c r="AW26" s="9" t="s">
        <v>85</v>
      </c>
      <c r="AX26" s="9" t="s">
        <v>85</v>
      </c>
      <c r="AY26" s="9">
        <v>0.62158</v>
      </c>
      <c r="AZ26" s="9" t="s">
        <v>85</v>
      </c>
      <c r="BA26" s="9" t="s">
        <v>85</v>
      </c>
      <c r="BB26" s="30">
        <v>0.641551</v>
      </c>
      <c r="BC26" s="9" t="s">
        <v>85</v>
      </c>
      <c r="BD26" s="10" t="s">
        <v>85</v>
      </c>
      <c r="BE26" s="10" t="s">
        <v>85</v>
      </c>
      <c r="BF26" s="9" t="s">
        <v>85</v>
      </c>
      <c r="BG26" s="6"/>
      <c r="BH26" s="6" t="str">
        <f t="shared" si="1"/>
        <v>10BN_Fold_Median</v>
      </c>
      <c r="BI26" s="6" t="str">
        <f t="shared" si="2"/>
        <v>8BN_Fold_Median</v>
      </c>
      <c r="BJ26" s="6" t="str">
        <f t="shared" si="3"/>
        <v>8VB_Fold_Median</v>
      </c>
      <c r="BK26" s="6"/>
      <c r="BL26" s="6"/>
      <c r="BM26" s="6">
        <f>COUNTIF(BJ3:BJ100,"*5*")</f>
        <v>24</v>
      </c>
      <c r="BN26" s="6">
        <f>COUNTIF(BJ3:BJ100,"*8*")</f>
        <v>24</v>
      </c>
      <c r="BO26" s="6">
        <f>COUNTIF(BJ3:BJ100,"*10*")</f>
        <v>19</v>
      </c>
      <c r="BP26" s="6">
        <f>COUNTIF(BJ3:BJ100,"*12*")</f>
        <v>22</v>
      </c>
      <c r="BQ26" s="6">
        <f>COUNTIF(BJ3:BJ100,"*20*")</f>
        <v>9</v>
      </c>
      <c r="BR26" s="6"/>
      <c r="BS26" s="6"/>
      <c r="BT26" s="6"/>
      <c r="BU26" s="6"/>
      <c r="BV26" s="6"/>
      <c r="BW26" s="6"/>
      <c r="BX26" s="6"/>
      <c r="BY26" s="6"/>
      <c r="BZ26" s="6"/>
      <c r="CA26" s="6"/>
    </row>
    <row r="27" ht="15.75" customHeight="1">
      <c r="A27" s="1" t="s">
        <v>121</v>
      </c>
      <c r="B27" s="9" t="s">
        <v>85</v>
      </c>
      <c r="C27" s="9">
        <v>0.252</v>
      </c>
      <c r="D27" s="9" t="s">
        <v>85</v>
      </c>
      <c r="E27" s="9" t="s">
        <v>85</v>
      </c>
      <c r="F27" s="30">
        <v>0.256000012</v>
      </c>
      <c r="G27" s="9" t="s">
        <v>85</v>
      </c>
      <c r="H27" s="9" t="s">
        <v>85</v>
      </c>
      <c r="I27" s="9">
        <v>0.25</v>
      </c>
      <c r="J27" s="9" t="s">
        <v>85</v>
      </c>
      <c r="K27" s="9" t="s">
        <v>85</v>
      </c>
      <c r="L27" s="9">
        <v>0.248</v>
      </c>
      <c r="M27" s="9" t="s">
        <v>85</v>
      </c>
      <c r="N27" s="9" t="s">
        <v>85</v>
      </c>
      <c r="O27" s="9">
        <v>0.284</v>
      </c>
      <c r="P27" s="9" t="s">
        <v>85</v>
      </c>
      <c r="Q27" s="9" t="s">
        <v>85</v>
      </c>
      <c r="R27" s="9">
        <v>0.248</v>
      </c>
      <c r="S27" s="9" t="s">
        <v>85</v>
      </c>
      <c r="T27" s="9" t="s">
        <v>85</v>
      </c>
      <c r="U27" s="9">
        <v>0.252</v>
      </c>
      <c r="V27" s="9" t="s">
        <v>85</v>
      </c>
      <c r="W27" s="9" t="s">
        <v>85</v>
      </c>
      <c r="X27" s="9">
        <v>0.252</v>
      </c>
      <c r="Y27" s="9" t="s">
        <v>85</v>
      </c>
      <c r="Z27" s="9" t="s">
        <v>85</v>
      </c>
      <c r="AA27" s="30">
        <v>0.268</v>
      </c>
      <c r="AB27" s="9" t="s">
        <v>85</v>
      </c>
      <c r="AC27" s="9" t="s">
        <v>85</v>
      </c>
      <c r="AD27" s="30">
        <v>0.284</v>
      </c>
      <c r="AE27" s="9" t="s">
        <v>85</v>
      </c>
      <c r="AF27" s="9" t="s">
        <v>85</v>
      </c>
      <c r="AG27" s="9">
        <v>0.294</v>
      </c>
      <c r="AH27" s="9" t="s">
        <v>85</v>
      </c>
      <c r="AI27" s="9" t="s">
        <v>85</v>
      </c>
      <c r="AJ27" s="9">
        <v>0.356</v>
      </c>
      <c r="AK27" s="9" t="s">
        <v>85</v>
      </c>
      <c r="AL27" s="9" t="s">
        <v>85</v>
      </c>
      <c r="AM27" s="9">
        <v>0.248</v>
      </c>
      <c r="AN27" s="9" t="s">
        <v>85</v>
      </c>
      <c r="AO27" s="9" t="s">
        <v>85</v>
      </c>
      <c r="AP27" s="30">
        <v>0.258</v>
      </c>
      <c r="AQ27" s="9" t="s">
        <v>85</v>
      </c>
      <c r="AR27" s="9" t="s">
        <v>85</v>
      </c>
      <c r="AS27" s="9">
        <v>0.248</v>
      </c>
      <c r="AT27" s="9" t="s">
        <v>85</v>
      </c>
      <c r="AU27" s="9" t="s">
        <v>85</v>
      </c>
      <c r="AV27" s="9">
        <v>0.248</v>
      </c>
      <c r="AW27" s="9" t="s">
        <v>85</v>
      </c>
      <c r="AX27" s="9" t="s">
        <v>85</v>
      </c>
      <c r="AY27" s="9">
        <v>0.248</v>
      </c>
      <c r="AZ27" s="9" t="s">
        <v>85</v>
      </c>
      <c r="BA27" s="9" t="s">
        <v>85</v>
      </c>
      <c r="BB27" s="30">
        <v>0.26</v>
      </c>
      <c r="BC27" s="9" t="s">
        <v>85</v>
      </c>
      <c r="BD27" s="10" t="s">
        <v>85</v>
      </c>
      <c r="BE27" s="10" t="s">
        <v>85</v>
      </c>
      <c r="BF27" s="9" t="s">
        <v>85</v>
      </c>
      <c r="BG27" s="6"/>
      <c r="BH27" s="6" t="str">
        <f t="shared" si="1"/>
        <v>10VB_Fold_Median</v>
      </c>
      <c r="BI27" s="6" t="str">
        <f t="shared" si="2"/>
        <v>10V_Fold_Median</v>
      </c>
      <c r="BJ27" s="6" t="str">
        <f t="shared" si="3"/>
        <v>8B_Fold_Median</v>
      </c>
      <c r="BK27" s="6"/>
      <c r="BL27" s="6" t="s">
        <v>226</v>
      </c>
      <c r="BM27" s="18">
        <f t="shared" ref="BM27:BQ27" si="8">MINUS(BM26,SUM(BM28,BM29))</f>
        <v>16</v>
      </c>
      <c r="BN27" s="18">
        <f t="shared" si="8"/>
        <v>15</v>
      </c>
      <c r="BO27" s="18">
        <f t="shared" si="8"/>
        <v>9</v>
      </c>
      <c r="BP27" s="18">
        <f t="shared" si="8"/>
        <v>12</v>
      </c>
      <c r="BQ27" s="18">
        <f t="shared" si="8"/>
        <v>4</v>
      </c>
      <c r="BR27" s="6">
        <f t="shared" ref="BR27:BR29" si="9">SUM(BM27:BQ27)</f>
        <v>56</v>
      </c>
      <c r="BS27" s="6"/>
      <c r="BT27" s="6"/>
      <c r="BU27" s="6"/>
      <c r="BV27" s="6"/>
      <c r="BW27" s="6"/>
      <c r="BX27" s="6"/>
      <c r="BY27" s="6"/>
      <c r="BZ27" s="6"/>
      <c r="CA27" s="6"/>
    </row>
    <row r="28" ht="15.75" customHeight="1">
      <c r="A28" s="1" t="s">
        <v>122</v>
      </c>
      <c r="B28" s="9" t="s">
        <v>85</v>
      </c>
      <c r="C28" s="9">
        <v>0.395266</v>
      </c>
      <c r="D28" s="9" t="s">
        <v>85</v>
      </c>
      <c r="E28" s="9" t="s">
        <v>85</v>
      </c>
      <c r="F28" s="30">
        <v>0.411834329</v>
      </c>
      <c r="G28" s="9" t="s">
        <v>85</v>
      </c>
      <c r="H28" s="9" t="s">
        <v>85</v>
      </c>
      <c r="I28" s="9">
        <v>0.554438</v>
      </c>
      <c r="J28" s="9" t="s">
        <v>85</v>
      </c>
      <c r="K28" s="9" t="s">
        <v>85</v>
      </c>
      <c r="L28" s="9">
        <v>0.36568</v>
      </c>
      <c r="M28" s="9" t="s">
        <v>85</v>
      </c>
      <c r="N28" s="9" t="s">
        <v>85</v>
      </c>
      <c r="O28" s="9">
        <v>0.587574</v>
      </c>
      <c r="P28" s="9" t="s">
        <v>85</v>
      </c>
      <c r="Q28" s="9" t="s">
        <v>85</v>
      </c>
      <c r="R28" s="9">
        <v>0.557396</v>
      </c>
      <c r="S28" s="9" t="s">
        <v>85</v>
      </c>
      <c r="T28" s="9" t="s">
        <v>85</v>
      </c>
      <c r="U28" s="9">
        <v>0.523077</v>
      </c>
      <c r="V28" s="9" t="s">
        <v>85</v>
      </c>
      <c r="W28" s="9" t="s">
        <v>85</v>
      </c>
      <c r="X28" s="9">
        <v>0.443787</v>
      </c>
      <c r="Y28" s="9" t="s">
        <v>85</v>
      </c>
      <c r="Z28" s="9" t="s">
        <v>85</v>
      </c>
      <c r="AA28" s="30">
        <v>0.580473</v>
      </c>
      <c r="AB28" s="9" t="s">
        <v>85</v>
      </c>
      <c r="AC28" s="9" t="s">
        <v>85</v>
      </c>
      <c r="AD28" s="30">
        <v>0.673373</v>
      </c>
      <c r="AE28" s="9" t="s">
        <v>85</v>
      </c>
      <c r="AF28" s="9" t="s">
        <v>85</v>
      </c>
      <c r="AG28" s="9">
        <v>0.550888</v>
      </c>
      <c r="AH28" s="9" t="s">
        <v>85</v>
      </c>
      <c r="AI28" s="9" t="s">
        <v>85</v>
      </c>
      <c r="AJ28" s="9">
        <v>0.374556</v>
      </c>
      <c r="AK28" s="9" t="s">
        <v>85</v>
      </c>
      <c r="AL28" s="9" t="s">
        <v>85</v>
      </c>
      <c r="AM28" s="9">
        <v>0.591124</v>
      </c>
      <c r="AN28" s="9" t="s">
        <v>85</v>
      </c>
      <c r="AO28" s="9" t="s">
        <v>85</v>
      </c>
      <c r="AP28" s="30">
        <v>0.629586</v>
      </c>
      <c r="AQ28" s="9" t="s">
        <v>85</v>
      </c>
      <c r="AR28" s="9" t="s">
        <v>85</v>
      </c>
      <c r="AS28" s="9">
        <v>0.420118</v>
      </c>
      <c r="AT28" s="9" t="s">
        <v>85</v>
      </c>
      <c r="AU28" s="9" t="s">
        <v>85</v>
      </c>
      <c r="AV28" s="9">
        <v>0.46568</v>
      </c>
      <c r="AW28" s="9" t="s">
        <v>85</v>
      </c>
      <c r="AX28" s="9" t="s">
        <v>85</v>
      </c>
      <c r="AY28" s="9">
        <v>0.678106</v>
      </c>
      <c r="AZ28" s="9" t="s">
        <v>85</v>
      </c>
      <c r="BA28" s="9" t="s">
        <v>85</v>
      </c>
      <c r="BB28" s="30">
        <v>0.405325</v>
      </c>
      <c r="BC28" s="9" t="s">
        <v>85</v>
      </c>
      <c r="BD28" s="10" t="s">
        <v>85</v>
      </c>
      <c r="BE28" s="10" t="s">
        <v>85</v>
      </c>
      <c r="BF28" s="9" t="s">
        <v>85</v>
      </c>
      <c r="BG28" s="6"/>
      <c r="BH28" s="6" t="str">
        <f t="shared" si="1"/>
        <v>20B_Fold_Median</v>
      </c>
      <c r="BI28" s="6" t="str">
        <f t="shared" si="2"/>
        <v>10BN_Fold_Median</v>
      </c>
      <c r="BJ28" s="6" t="str">
        <f t="shared" si="3"/>
        <v>12BN_Fold_Median</v>
      </c>
      <c r="BK28" s="6"/>
      <c r="BL28" s="6" t="s">
        <v>227</v>
      </c>
      <c r="BM28" s="18">
        <f>COUNTIFS(BJ3:BJ100,"*V*",BJ3:BJ100,"*5*")</f>
        <v>8</v>
      </c>
      <c r="BN28" s="19">
        <f>COUNTIFS(BJ3:BJ100,"*V*",BJ3:BJ100,"*8*")</f>
        <v>9</v>
      </c>
      <c r="BO28" s="18">
        <f>COUNTIFS(BJ3:BJ100,"*V*",BJ3:BJ100,"*10*")</f>
        <v>10</v>
      </c>
      <c r="BP28" s="18">
        <f>COUNTIFS(BJ3:BJ100,"*V*",BJ3:BJ100,"*12*")</f>
        <v>10</v>
      </c>
      <c r="BQ28" s="18">
        <f>COUNTIFS(BJ3:BJ100,"*V*",BJ3:BJ100,"*20*")</f>
        <v>5</v>
      </c>
      <c r="BR28" s="6">
        <f t="shared" si="9"/>
        <v>42</v>
      </c>
      <c r="BS28" s="6"/>
      <c r="BT28" s="6"/>
      <c r="BU28" s="6"/>
      <c r="BW28" s="6"/>
      <c r="BX28" s="6"/>
      <c r="BY28" s="6"/>
      <c r="BZ28" s="6"/>
      <c r="CA28" s="6"/>
    </row>
    <row r="29" ht="15.75" customHeight="1">
      <c r="A29" s="1" t="s">
        <v>123</v>
      </c>
      <c r="B29" s="9" t="s">
        <v>85</v>
      </c>
      <c r="C29" s="9">
        <v>0.397727</v>
      </c>
      <c r="D29" s="9" t="s">
        <v>85</v>
      </c>
      <c r="E29" s="9" t="s">
        <v>85</v>
      </c>
      <c r="F29" s="30">
        <v>0.363636374</v>
      </c>
      <c r="G29" s="9" t="s">
        <v>85</v>
      </c>
      <c r="H29" s="9" t="s">
        <v>85</v>
      </c>
      <c r="I29" s="9">
        <v>0.522727</v>
      </c>
      <c r="J29" s="9" t="s">
        <v>85</v>
      </c>
      <c r="K29" s="9" t="s">
        <v>85</v>
      </c>
      <c r="L29" s="9">
        <v>0.545455</v>
      </c>
      <c r="M29" s="9" t="s">
        <v>85</v>
      </c>
      <c r="N29" s="9" t="s">
        <v>85</v>
      </c>
      <c r="O29" s="9">
        <v>0.409091</v>
      </c>
      <c r="P29" s="9" t="s">
        <v>85</v>
      </c>
      <c r="Q29" s="9" t="s">
        <v>85</v>
      </c>
      <c r="R29" s="9">
        <v>0.488636</v>
      </c>
      <c r="S29" s="9" t="s">
        <v>85</v>
      </c>
      <c r="T29" s="9" t="s">
        <v>85</v>
      </c>
      <c r="U29" s="9">
        <v>0.715909</v>
      </c>
      <c r="V29" s="9" t="s">
        <v>85</v>
      </c>
      <c r="W29" s="9" t="s">
        <v>85</v>
      </c>
      <c r="X29" s="9">
        <v>0.602273</v>
      </c>
      <c r="Y29" s="9" t="s">
        <v>85</v>
      </c>
      <c r="Z29" s="9" t="s">
        <v>85</v>
      </c>
      <c r="AA29" s="30">
        <v>0.454545</v>
      </c>
      <c r="AB29" s="9" t="s">
        <v>85</v>
      </c>
      <c r="AC29" s="9" t="s">
        <v>85</v>
      </c>
      <c r="AD29" s="30">
        <v>0.477273</v>
      </c>
      <c r="AE29" s="9" t="s">
        <v>85</v>
      </c>
      <c r="AF29" s="9" t="s">
        <v>85</v>
      </c>
      <c r="AG29" s="9">
        <v>0.556818</v>
      </c>
      <c r="AH29" s="9" t="s">
        <v>85</v>
      </c>
      <c r="AI29" s="9" t="s">
        <v>85</v>
      </c>
      <c r="AJ29" s="9">
        <v>0.625</v>
      </c>
      <c r="AK29" s="9" t="s">
        <v>85</v>
      </c>
      <c r="AL29" s="9" t="s">
        <v>85</v>
      </c>
      <c r="AM29" s="9">
        <v>0.534091</v>
      </c>
      <c r="AN29" s="9" t="s">
        <v>85</v>
      </c>
      <c r="AO29" s="9" t="s">
        <v>85</v>
      </c>
      <c r="AP29" s="30">
        <v>0.647727</v>
      </c>
      <c r="AQ29" s="9" t="s">
        <v>85</v>
      </c>
      <c r="AR29" s="9" t="s">
        <v>85</v>
      </c>
      <c r="AS29" s="9">
        <v>0.545455</v>
      </c>
      <c r="AT29" s="9" t="s">
        <v>85</v>
      </c>
      <c r="AU29" s="9" t="s">
        <v>85</v>
      </c>
      <c r="AV29" s="9">
        <v>0.602273</v>
      </c>
      <c r="AW29" s="9" t="s">
        <v>85</v>
      </c>
      <c r="AX29" s="9" t="s">
        <v>85</v>
      </c>
      <c r="AY29" s="9">
        <v>0.488636</v>
      </c>
      <c r="AZ29" s="9" t="s">
        <v>85</v>
      </c>
      <c r="BA29" s="9" t="s">
        <v>85</v>
      </c>
      <c r="BB29" s="30">
        <v>0.681818</v>
      </c>
      <c r="BC29" s="9" t="s">
        <v>85</v>
      </c>
      <c r="BD29" s="10" t="s">
        <v>85</v>
      </c>
      <c r="BE29" s="10" t="s">
        <v>85</v>
      </c>
      <c r="BF29" s="9" t="s">
        <v>85</v>
      </c>
      <c r="BG29" s="6"/>
      <c r="BH29" s="6" t="str">
        <f t="shared" si="1"/>
        <v>8V_Fold_Median</v>
      </c>
      <c r="BI29" s="6" t="str">
        <f t="shared" si="2"/>
        <v>20V_Fold_Median</v>
      </c>
      <c r="BJ29" s="6" t="str">
        <f t="shared" si="3"/>
        <v>12BN_Fold_Median</v>
      </c>
      <c r="BK29" s="6"/>
      <c r="BL29" s="6" t="s">
        <v>20</v>
      </c>
      <c r="BM29" s="18">
        <f>COUNTIFS(BJ3:BJ100,"*De*",BJ3:BJ100,"*5*")</f>
        <v>0</v>
      </c>
      <c r="BN29" s="19">
        <f>COUNTIFS(BJ3:BJ100,"*De*",BJ3:BJ100,"*8*")</f>
        <v>0</v>
      </c>
      <c r="BO29" s="18">
        <f>COUNTIFS(BJ3:BJ100,"*De*",BJ3:BJ100,"*10*")</f>
        <v>0</v>
      </c>
      <c r="BP29" s="18">
        <f>COUNTIFS(BJ3:BJ100,"*De*",BJ3:BJ100,"*12*")</f>
        <v>0</v>
      </c>
      <c r="BQ29" s="18">
        <f>COUNTIFS(BJ3:BJ100,"*De*",BJ3:BJ100,"*20*")</f>
        <v>0</v>
      </c>
      <c r="BR29" s="6">
        <f t="shared" si="9"/>
        <v>0</v>
      </c>
      <c r="BS29" s="6"/>
      <c r="BT29" s="6"/>
      <c r="BU29" s="6"/>
      <c r="BW29" s="6"/>
      <c r="BX29" s="6"/>
      <c r="BY29" s="6"/>
      <c r="BZ29" s="6"/>
      <c r="CA29" s="6"/>
    </row>
    <row r="30" ht="15.75" customHeight="1">
      <c r="A30" s="1" t="s">
        <v>124</v>
      </c>
      <c r="B30" s="9" t="s">
        <v>85</v>
      </c>
      <c r="C30" s="9">
        <v>0.519024</v>
      </c>
      <c r="D30" s="9" t="s">
        <v>85</v>
      </c>
      <c r="E30" s="9" t="s">
        <v>85</v>
      </c>
      <c r="F30" s="30">
        <v>0.458048791</v>
      </c>
      <c r="G30" s="9" t="s">
        <v>85</v>
      </c>
      <c r="H30" s="9" t="s">
        <v>85</v>
      </c>
      <c r="I30" s="9">
        <v>0.581951</v>
      </c>
      <c r="J30" s="9" t="s">
        <v>85</v>
      </c>
      <c r="K30" s="9" t="s">
        <v>85</v>
      </c>
      <c r="L30" s="9">
        <v>0.556585</v>
      </c>
      <c r="M30" s="9" t="s">
        <v>85</v>
      </c>
      <c r="N30" s="9" t="s">
        <v>85</v>
      </c>
      <c r="O30" s="9">
        <v>0.625366</v>
      </c>
      <c r="P30" s="9" t="s">
        <v>85</v>
      </c>
      <c r="Q30" s="9" t="s">
        <v>85</v>
      </c>
      <c r="R30" s="9">
        <v>0.598537</v>
      </c>
      <c r="S30" s="9" t="s">
        <v>85</v>
      </c>
      <c r="T30" s="9" t="s">
        <v>85</v>
      </c>
      <c r="U30" s="9">
        <v>0.61122</v>
      </c>
      <c r="V30" s="9" t="s">
        <v>85</v>
      </c>
      <c r="W30" s="9" t="s">
        <v>85</v>
      </c>
      <c r="X30" s="9">
        <v>0.583902</v>
      </c>
      <c r="Y30" s="9" t="s">
        <v>85</v>
      </c>
      <c r="Z30" s="9" t="s">
        <v>85</v>
      </c>
      <c r="AA30" s="30">
        <v>0.610244</v>
      </c>
      <c r="AB30" s="9" t="s">
        <v>85</v>
      </c>
      <c r="AC30" s="9" t="s">
        <v>85</v>
      </c>
      <c r="AD30" s="30">
        <v>0.640976</v>
      </c>
      <c r="AE30" s="9" t="s">
        <v>85</v>
      </c>
      <c r="AF30" s="9" t="s">
        <v>85</v>
      </c>
      <c r="AG30" s="9">
        <v>0.537073</v>
      </c>
      <c r="AH30" s="9" t="s">
        <v>85</v>
      </c>
      <c r="AI30" s="9" t="s">
        <v>85</v>
      </c>
      <c r="AJ30" s="9">
        <v>0.581463</v>
      </c>
      <c r="AK30" s="9" t="s">
        <v>85</v>
      </c>
      <c r="AL30" s="9" t="s">
        <v>85</v>
      </c>
      <c r="AM30" s="9">
        <v>0.649268</v>
      </c>
      <c r="AN30" s="9" t="s">
        <v>85</v>
      </c>
      <c r="AO30" s="9" t="s">
        <v>85</v>
      </c>
      <c r="AP30" s="30">
        <v>0.636585</v>
      </c>
      <c r="AQ30" s="9" t="s">
        <v>85</v>
      </c>
      <c r="AR30" s="9" t="s">
        <v>85</v>
      </c>
      <c r="AS30" s="9">
        <v>0.565366</v>
      </c>
      <c r="AT30" s="9" t="s">
        <v>85</v>
      </c>
      <c r="AU30" s="9" t="s">
        <v>85</v>
      </c>
      <c r="AV30" s="9">
        <v>0.61122</v>
      </c>
      <c r="AW30" s="9" t="s">
        <v>85</v>
      </c>
      <c r="AX30" s="9" t="s">
        <v>85</v>
      </c>
      <c r="AY30" s="9">
        <v>0.687805</v>
      </c>
      <c r="AZ30" s="9" t="s">
        <v>85</v>
      </c>
      <c r="BA30" s="9" t="s">
        <v>85</v>
      </c>
      <c r="BB30" s="30">
        <v>0.541463</v>
      </c>
      <c r="BC30" s="9" t="s">
        <v>85</v>
      </c>
      <c r="BD30" s="10" t="s">
        <v>85</v>
      </c>
      <c r="BE30" s="10" t="s">
        <v>85</v>
      </c>
      <c r="BF30" s="9" t="s">
        <v>85</v>
      </c>
      <c r="BG30" s="6"/>
      <c r="BH30" s="6" t="str">
        <f t="shared" si="1"/>
        <v>20B_Fold_Median</v>
      </c>
      <c r="BI30" s="6" t="str">
        <f t="shared" si="2"/>
        <v>12B_Fold_Median</v>
      </c>
      <c r="BJ30" s="6" t="str">
        <f t="shared" si="3"/>
        <v>10BN_Fold_Median</v>
      </c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</row>
    <row r="31" ht="15.75" customHeight="1">
      <c r="A31" s="1" t="s">
        <v>125</v>
      </c>
      <c r="B31" s="9" t="s">
        <v>85</v>
      </c>
      <c r="C31" s="9">
        <v>0.413187</v>
      </c>
      <c r="D31" s="9" t="s">
        <v>85</v>
      </c>
      <c r="E31" s="9" t="s">
        <v>85</v>
      </c>
      <c r="F31" s="30">
        <v>0.353846163</v>
      </c>
      <c r="G31" s="9" t="s">
        <v>85</v>
      </c>
      <c r="H31" s="9" t="s">
        <v>85</v>
      </c>
      <c r="I31" s="9">
        <v>0.386813</v>
      </c>
      <c r="J31" s="9" t="s">
        <v>85</v>
      </c>
      <c r="K31" s="9" t="s">
        <v>85</v>
      </c>
      <c r="L31" s="9">
        <v>0.373626</v>
      </c>
      <c r="M31" s="9" t="s">
        <v>85</v>
      </c>
      <c r="N31" s="9" t="s">
        <v>85</v>
      </c>
      <c r="O31" s="9">
        <v>0.446154</v>
      </c>
      <c r="P31" s="9" t="s">
        <v>85</v>
      </c>
      <c r="Q31" s="9" t="s">
        <v>85</v>
      </c>
      <c r="R31" s="9">
        <v>0.476923</v>
      </c>
      <c r="S31" s="9" t="s">
        <v>85</v>
      </c>
      <c r="T31" s="9" t="s">
        <v>85</v>
      </c>
      <c r="U31" s="9">
        <v>0.397802</v>
      </c>
      <c r="V31" s="9" t="s">
        <v>85</v>
      </c>
      <c r="W31" s="9" t="s">
        <v>85</v>
      </c>
      <c r="X31" s="9">
        <v>0.378022</v>
      </c>
      <c r="Y31" s="9" t="s">
        <v>85</v>
      </c>
      <c r="Z31" s="9" t="s">
        <v>85</v>
      </c>
      <c r="AA31" s="30">
        <v>0.430769</v>
      </c>
      <c r="AB31" s="9" t="s">
        <v>85</v>
      </c>
      <c r="AC31" s="9" t="s">
        <v>85</v>
      </c>
      <c r="AD31" s="30">
        <v>0.432967</v>
      </c>
      <c r="AE31" s="9" t="s">
        <v>85</v>
      </c>
      <c r="AF31" s="9" t="s">
        <v>85</v>
      </c>
      <c r="AG31" s="9">
        <v>0.259341</v>
      </c>
      <c r="AH31" s="9" t="s">
        <v>85</v>
      </c>
      <c r="AI31" s="9" t="s">
        <v>85</v>
      </c>
      <c r="AJ31" s="9">
        <v>0.424176</v>
      </c>
      <c r="AK31" s="9" t="s">
        <v>85</v>
      </c>
      <c r="AL31" s="9" t="s">
        <v>85</v>
      </c>
      <c r="AM31" s="9">
        <v>0.413187</v>
      </c>
      <c r="AN31" s="9" t="s">
        <v>85</v>
      </c>
      <c r="AO31" s="9" t="s">
        <v>85</v>
      </c>
      <c r="AP31" s="30">
        <v>0.481319</v>
      </c>
      <c r="AQ31" s="9" t="s">
        <v>85</v>
      </c>
      <c r="AR31" s="9" t="s">
        <v>85</v>
      </c>
      <c r="AS31" s="9">
        <v>0.342857</v>
      </c>
      <c r="AT31" s="9" t="s">
        <v>85</v>
      </c>
      <c r="AU31" s="9" t="s">
        <v>85</v>
      </c>
      <c r="AV31" s="9">
        <v>0.336264</v>
      </c>
      <c r="AW31" s="9" t="s">
        <v>85</v>
      </c>
      <c r="AX31" s="9" t="s">
        <v>85</v>
      </c>
      <c r="AY31" s="9">
        <v>0.373626</v>
      </c>
      <c r="AZ31" s="9" t="s">
        <v>85</v>
      </c>
      <c r="BA31" s="9" t="s">
        <v>85</v>
      </c>
      <c r="BB31" s="30">
        <v>0.382418</v>
      </c>
      <c r="BC31" s="9" t="s">
        <v>85</v>
      </c>
      <c r="BD31" s="10" t="s">
        <v>85</v>
      </c>
      <c r="BE31" s="10" t="s">
        <v>85</v>
      </c>
      <c r="BF31" s="9" t="s">
        <v>85</v>
      </c>
      <c r="BG31" s="6"/>
      <c r="BH31" s="6" t="str">
        <f t="shared" si="1"/>
        <v>12BN_Fold_Median</v>
      </c>
      <c r="BI31" s="6" t="str">
        <f t="shared" si="2"/>
        <v>8BN_Fold_Median</v>
      </c>
      <c r="BJ31" s="6" t="str">
        <f t="shared" si="3"/>
        <v>8B_Fold_Median</v>
      </c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</row>
    <row r="32" ht="15.75" customHeight="1">
      <c r="A32" s="1" t="s">
        <v>126</v>
      </c>
      <c r="B32" s="9" t="s">
        <v>85</v>
      </c>
      <c r="C32" s="9">
        <v>0.514286</v>
      </c>
      <c r="D32" s="9" t="s">
        <v>85</v>
      </c>
      <c r="E32" s="9" t="s">
        <v>85</v>
      </c>
      <c r="F32" s="30">
        <v>0.497142851</v>
      </c>
      <c r="G32" s="9" t="s">
        <v>85</v>
      </c>
      <c r="H32" s="9" t="s">
        <v>85</v>
      </c>
      <c r="I32" s="9">
        <v>0.68</v>
      </c>
      <c r="J32" s="9" t="s">
        <v>85</v>
      </c>
      <c r="K32" s="9" t="s">
        <v>85</v>
      </c>
      <c r="L32" s="9">
        <v>0.651429</v>
      </c>
      <c r="M32" s="9" t="s">
        <v>85</v>
      </c>
      <c r="N32" s="9" t="s">
        <v>85</v>
      </c>
      <c r="O32" s="9">
        <v>0.577143</v>
      </c>
      <c r="P32" s="9" t="s">
        <v>85</v>
      </c>
      <c r="Q32" s="9" t="s">
        <v>85</v>
      </c>
      <c r="R32" s="9">
        <v>0.628571</v>
      </c>
      <c r="S32" s="9" t="s">
        <v>85</v>
      </c>
      <c r="T32" s="9" t="s">
        <v>85</v>
      </c>
      <c r="U32" s="9">
        <v>0.691429</v>
      </c>
      <c r="V32" s="9" t="s">
        <v>85</v>
      </c>
      <c r="W32" s="9" t="s">
        <v>85</v>
      </c>
      <c r="X32" s="9">
        <v>0.64</v>
      </c>
      <c r="Y32" s="9" t="s">
        <v>85</v>
      </c>
      <c r="Z32" s="9" t="s">
        <v>85</v>
      </c>
      <c r="AA32" s="30">
        <v>0.577143</v>
      </c>
      <c r="AB32" s="9" t="s">
        <v>85</v>
      </c>
      <c r="AC32" s="9" t="s">
        <v>85</v>
      </c>
      <c r="AD32" s="30">
        <v>0.6</v>
      </c>
      <c r="AE32" s="9" t="s">
        <v>85</v>
      </c>
      <c r="AF32" s="9" t="s">
        <v>85</v>
      </c>
      <c r="AG32" s="9">
        <v>0.611429</v>
      </c>
      <c r="AH32" s="9" t="s">
        <v>85</v>
      </c>
      <c r="AI32" s="9" t="s">
        <v>85</v>
      </c>
      <c r="AJ32" s="9">
        <v>0.537143</v>
      </c>
      <c r="AK32" s="9" t="s">
        <v>85</v>
      </c>
      <c r="AL32" s="9" t="s">
        <v>85</v>
      </c>
      <c r="AM32" s="9">
        <v>0.588571</v>
      </c>
      <c r="AN32" s="9" t="s">
        <v>85</v>
      </c>
      <c r="AO32" s="9" t="s">
        <v>85</v>
      </c>
      <c r="AP32" s="30">
        <v>0.554286</v>
      </c>
      <c r="AQ32" s="9" t="s">
        <v>85</v>
      </c>
      <c r="AR32" s="9" t="s">
        <v>85</v>
      </c>
      <c r="AS32" s="9">
        <v>0.571429</v>
      </c>
      <c r="AT32" s="9" t="s">
        <v>85</v>
      </c>
      <c r="AU32" s="9" t="s">
        <v>85</v>
      </c>
      <c r="AV32" s="9">
        <v>0.537143</v>
      </c>
      <c r="AW32" s="9" t="s">
        <v>85</v>
      </c>
      <c r="AX32" s="9" t="s">
        <v>85</v>
      </c>
      <c r="AY32" s="9">
        <v>0.565714</v>
      </c>
      <c r="AZ32" s="9" t="s">
        <v>85</v>
      </c>
      <c r="BA32" s="9" t="s">
        <v>85</v>
      </c>
      <c r="BB32" s="30">
        <v>0.657143</v>
      </c>
      <c r="BC32" s="9" t="s">
        <v>85</v>
      </c>
      <c r="BD32" s="10" t="s">
        <v>85</v>
      </c>
      <c r="BE32" s="10" t="s">
        <v>85</v>
      </c>
      <c r="BF32" s="9" t="s">
        <v>85</v>
      </c>
      <c r="BG32" s="6"/>
      <c r="BH32" s="6" t="str">
        <f t="shared" si="1"/>
        <v>8V_Fold_Median</v>
      </c>
      <c r="BI32" s="6" t="str">
        <f t="shared" si="2"/>
        <v>5V_Fold_Median</v>
      </c>
      <c r="BJ32" s="6" t="str">
        <f t="shared" si="3"/>
        <v>20V_Fold_Median</v>
      </c>
      <c r="BK32" s="6"/>
      <c r="BL32" s="32" t="s">
        <v>319</v>
      </c>
      <c r="BM32" s="33">
        <f>COUNTIF(BH3:BH100,"*_Mean*")</f>
        <v>0</v>
      </c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</row>
    <row r="33" ht="15.75" customHeight="1">
      <c r="A33" s="1" t="s">
        <v>127</v>
      </c>
      <c r="B33" s="9" t="s">
        <v>85</v>
      </c>
      <c r="C33" s="9">
        <v>0.484091</v>
      </c>
      <c r="D33" s="9" t="s">
        <v>85</v>
      </c>
      <c r="E33" s="9" t="s">
        <v>85</v>
      </c>
      <c r="F33" s="30">
        <v>0.484090894</v>
      </c>
      <c r="G33" s="9" t="s">
        <v>85</v>
      </c>
      <c r="H33" s="9" t="s">
        <v>85</v>
      </c>
      <c r="I33" s="9">
        <v>0.484091</v>
      </c>
      <c r="J33" s="9" t="s">
        <v>85</v>
      </c>
      <c r="K33" s="9" t="s">
        <v>85</v>
      </c>
      <c r="L33" s="9">
        <v>0.484091</v>
      </c>
      <c r="M33" s="9" t="s">
        <v>85</v>
      </c>
      <c r="N33" s="9" t="s">
        <v>85</v>
      </c>
      <c r="O33" s="9">
        <v>0.484091</v>
      </c>
      <c r="P33" s="9" t="s">
        <v>85</v>
      </c>
      <c r="Q33" s="9" t="s">
        <v>85</v>
      </c>
      <c r="R33" s="9">
        <v>0.484091</v>
      </c>
      <c r="S33" s="9" t="s">
        <v>85</v>
      </c>
      <c r="T33" s="9" t="s">
        <v>85</v>
      </c>
      <c r="U33" s="9">
        <v>0.484091</v>
      </c>
      <c r="V33" s="9" t="s">
        <v>85</v>
      </c>
      <c r="W33" s="9" t="s">
        <v>85</v>
      </c>
      <c r="X33" s="9">
        <v>0.484091</v>
      </c>
      <c r="Y33" s="9" t="s">
        <v>85</v>
      </c>
      <c r="Z33" s="9" t="s">
        <v>85</v>
      </c>
      <c r="AA33" s="30">
        <v>0.484091</v>
      </c>
      <c r="AB33" s="9" t="s">
        <v>85</v>
      </c>
      <c r="AC33" s="9" t="s">
        <v>85</v>
      </c>
      <c r="AD33" s="30">
        <v>0.484091</v>
      </c>
      <c r="AE33" s="9" t="s">
        <v>85</v>
      </c>
      <c r="AF33" s="9" t="s">
        <v>85</v>
      </c>
      <c r="AG33" s="9">
        <v>0.484091</v>
      </c>
      <c r="AH33" s="9" t="s">
        <v>85</v>
      </c>
      <c r="AI33" s="9" t="s">
        <v>85</v>
      </c>
      <c r="AJ33" s="9">
        <v>0.484091</v>
      </c>
      <c r="AK33" s="9" t="s">
        <v>85</v>
      </c>
      <c r="AL33" s="9" t="s">
        <v>85</v>
      </c>
      <c r="AM33" s="9">
        <v>0.484091</v>
      </c>
      <c r="AN33" s="9" t="s">
        <v>85</v>
      </c>
      <c r="AO33" s="9" t="s">
        <v>85</v>
      </c>
      <c r="AP33" s="30">
        <v>0.484091</v>
      </c>
      <c r="AQ33" s="9" t="s">
        <v>85</v>
      </c>
      <c r="AR33" s="9" t="s">
        <v>85</v>
      </c>
      <c r="AS33" s="9">
        <v>0.484091</v>
      </c>
      <c r="AT33" s="9" t="s">
        <v>85</v>
      </c>
      <c r="AU33" s="9" t="s">
        <v>85</v>
      </c>
      <c r="AV33" s="9">
        <v>0.484091</v>
      </c>
      <c r="AW33" s="9" t="s">
        <v>85</v>
      </c>
      <c r="AX33" s="9" t="s">
        <v>85</v>
      </c>
      <c r="AY33" s="9">
        <v>0.484091</v>
      </c>
      <c r="AZ33" s="9" t="s">
        <v>85</v>
      </c>
      <c r="BA33" s="9" t="s">
        <v>85</v>
      </c>
      <c r="BB33" s="30">
        <v>0.484091</v>
      </c>
      <c r="BC33" s="9" t="s">
        <v>85</v>
      </c>
      <c r="BD33" s="10" t="s">
        <v>85</v>
      </c>
      <c r="BE33" s="10" t="s">
        <v>85</v>
      </c>
      <c r="BF33" s="9" t="s">
        <v>85</v>
      </c>
      <c r="BG33" s="6"/>
      <c r="BH33" s="6" t="str">
        <f t="shared" si="1"/>
        <v>5B_Fold_Median</v>
      </c>
      <c r="BI33" s="6" t="str">
        <f t="shared" si="2"/>
        <v>5B_Fold_Median</v>
      </c>
      <c r="BJ33" s="6" t="str">
        <f t="shared" si="3"/>
        <v>5B_Fold_Median</v>
      </c>
      <c r="BK33" s="6"/>
      <c r="BL33" s="6" t="s">
        <v>320</v>
      </c>
      <c r="BM33" s="33">
        <f>COUNTIF(BH3:BH100,"*_Median*")</f>
        <v>98</v>
      </c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</row>
    <row r="34" ht="15.75" customHeight="1">
      <c r="A34" s="14" t="s">
        <v>128</v>
      </c>
      <c r="B34" s="9" t="s">
        <v>85</v>
      </c>
      <c r="C34" s="9">
        <v>0.504938</v>
      </c>
      <c r="D34" s="9" t="s">
        <v>85</v>
      </c>
      <c r="E34" s="9" t="s">
        <v>85</v>
      </c>
      <c r="F34" s="30">
        <v>0.504938245</v>
      </c>
      <c r="G34" s="9" t="s">
        <v>85</v>
      </c>
      <c r="H34" s="9" t="s">
        <v>85</v>
      </c>
      <c r="I34" s="9">
        <v>0.504938</v>
      </c>
      <c r="J34" s="9" t="s">
        <v>85</v>
      </c>
      <c r="K34" s="9" t="s">
        <v>85</v>
      </c>
      <c r="L34" s="9">
        <v>0.504938</v>
      </c>
      <c r="M34" s="9" t="s">
        <v>85</v>
      </c>
      <c r="N34" s="9" t="s">
        <v>85</v>
      </c>
      <c r="O34" s="9">
        <v>0.504938</v>
      </c>
      <c r="P34" s="9" t="s">
        <v>85</v>
      </c>
      <c r="Q34" s="9" t="s">
        <v>85</v>
      </c>
      <c r="R34" s="9">
        <v>0.504938</v>
      </c>
      <c r="S34" s="9" t="s">
        <v>85</v>
      </c>
      <c r="T34" s="9" t="s">
        <v>85</v>
      </c>
      <c r="U34" s="9">
        <v>0.504938</v>
      </c>
      <c r="V34" s="9" t="s">
        <v>85</v>
      </c>
      <c r="W34" s="9" t="s">
        <v>85</v>
      </c>
      <c r="X34" s="9">
        <v>0.504938</v>
      </c>
      <c r="Y34" s="9" t="s">
        <v>85</v>
      </c>
      <c r="Z34" s="9" t="s">
        <v>85</v>
      </c>
      <c r="AA34" s="30">
        <v>0.504938</v>
      </c>
      <c r="AB34" s="9" t="s">
        <v>85</v>
      </c>
      <c r="AC34" s="9" t="s">
        <v>85</v>
      </c>
      <c r="AD34" s="30">
        <v>0.504938</v>
      </c>
      <c r="AE34" s="9" t="s">
        <v>85</v>
      </c>
      <c r="AF34" s="9" t="s">
        <v>85</v>
      </c>
      <c r="AG34" s="9">
        <v>0.504938</v>
      </c>
      <c r="AH34" s="9" t="s">
        <v>85</v>
      </c>
      <c r="AI34" s="9" t="s">
        <v>85</v>
      </c>
      <c r="AJ34" s="9">
        <v>0.504938</v>
      </c>
      <c r="AK34" s="9" t="s">
        <v>85</v>
      </c>
      <c r="AL34" s="9" t="s">
        <v>85</v>
      </c>
      <c r="AM34" s="9">
        <v>0.504938</v>
      </c>
      <c r="AN34" s="9" t="s">
        <v>85</v>
      </c>
      <c r="AO34" s="9" t="s">
        <v>85</v>
      </c>
      <c r="AP34" s="30">
        <v>0.504938</v>
      </c>
      <c r="AQ34" s="9" t="s">
        <v>85</v>
      </c>
      <c r="AR34" s="9" t="s">
        <v>85</v>
      </c>
      <c r="AS34" s="9">
        <v>0.504938</v>
      </c>
      <c r="AT34" s="9" t="s">
        <v>85</v>
      </c>
      <c r="AU34" s="9" t="s">
        <v>85</v>
      </c>
      <c r="AV34" s="9">
        <v>0.504938</v>
      </c>
      <c r="AW34" s="9" t="s">
        <v>85</v>
      </c>
      <c r="AX34" s="9" t="s">
        <v>85</v>
      </c>
      <c r="AY34" s="9">
        <v>0.504938</v>
      </c>
      <c r="AZ34" s="9" t="s">
        <v>85</v>
      </c>
      <c r="BA34" s="9" t="s">
        <v>85</v>
      </c>
      <c r="BB34" s="30">
        <v>0.504938</v>
      </c>
      <c r="BC34" s="9" t="s">
        <v>85</v>
      </c>
      <c r="BD34" s="10" t="s">
        <v>85</v>
      </c>
      <c r="BE34" s="10" t="s">
        <v>85</v>
      </c>
      <c r="BF34" s="9" t="s">
        <v>85</v>
      </c>
      <c r="BG34" s="6"/>
      <c r="BH34" s="6" t="str">
        <f t="shared" si="1"/>
        <v>5BN_Fold_Median</v>
      </c>
      <c r="BI34" s="6" t="str">
        <f t="shared" si="2"/>
        <v>5B_Fold_Median</v>
      </c>
      <c r="BJ34" s="6" t="str">
        <f t="shared" si="3"/>
        <v>5B_Fold_Median</v>
      </c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</row>
    <row r="35" ht="15.75" customHeight="1">
      <c r="A35" s="1" t="s">
        <v>129</v>
      </c>
      <c r="B35" s="9" t="s">
        <v>85</v>
      </c>
      <c r="C35" s="9">
        <v>0.967018</v>
      </c>
      <c r="D35" s="9" t="s">
        <v>85</v>
      </c>
      <c r="E35" s="9" t="s">
        <v>85</v>
      </c>
      <c r="F35" s="30">
        <v>0.968070149</v>
      </c>
      <c r="G35" s="9" t="s">
        <v>85</v>
      </c>
      <c r="H35" s="9" t="s">
        <v>85</v>
      </c>
      <c r="I35" s="9">
        <v>0.944211</v>
      </c>
      <c r="J35" s="9" t="s">
        <v>85</v>
      </c>
      <c r="K35" s="9" t="s">
        <v>85</v>
      </c>
      <c r="L35" s="9">
        <v>0.94386</v>
      </c>
      <c r="M35" s="9" t="s">
        <v>85</v>
      </c>
      <c r="N35" s="9" t="s">
        <v>85</v>
      </c>
      <c r="O35" s="9">
        <v>0.968421</v>
      </c>
      <c r="P35" s="9" t="s">
        <v>85</v>
      </c>
      <c r="Q35" s="9" t="s">
        <v>85</v>
      </c>
      <c r="R35" s="9">
        <v>0.971228</v>
      </c>
      <c r="S35" s="9" t="s">
        <v>85</v>
      </c>
      <c r="T35" s="9" t="s">
        <v>85</v>
      </c>
      <c r="U35" s="9">
        <v>0.975088</v>
      </c>
      <c r="V35" s="9" t="s">
        <v>85</v>
      </c>
      <c r="W35" s="9" t="s">
        <v>85</v>
      </c>
      <c r="X35" s="9">
        <v>0.969123</v>
      </c>
      <c r="Y35" s="9" t="s">
        <v>85</v>
      </c>
      <c r="Z35" s="9" t="s">
        <v>85</v>
      </c>
      <c r="AA35" s="30">
        <v>0.973333</v>
      </c>
      <c r="AB35" s="9" t="s">
        <v>85</v>
      </c>
      <c r="AC35" s="9" t="s">
        <v>85</v>
      </c>
      <c r="AD35" s="30">
        <v>0.970877</v>
      </c>
      <c r="AE35" s="9" t="s">
        <v>85</v>
      </c>
      <c r="AF35" s="9" t="s">
        <v>85</v>
      </c>
      <c r="AG35" s="9">
        <v>0.962456</v>
      </c>
      <c r="AH35" s="9" t="s">
        <v>85</v>
      </c>
      <c r="AI35" s="9" t="s">
        <v>85</v>
      </c>
      <c r="AJ35" s="9">
        <v>0.961403</v>
      </c>
      <c r="AK35" s="9" t="s">
        <v>85</v>
      </c>
      <c r="AL35" s="9" t="s">
        <v>85</v>
      </c>
      <c r="AM35" s="9">
        <v>0.970175</v>
      </c>
      <c r="AN35" s="9" t="s">
        <v>85</v>
      </c>
      <c r="AO35" s="9" t="s">
        <v>85</v>
      </c>
      <c r="AP35" s="30">
        <v>0.970175</v>
      </c>
      <c r="AQ35" s="9" t="s">
        <v>85</v>
      </c>
      <c r="AR35" s="9" t="s">
        <v>85</v>
      </c>
      <c r="AS35" s="9">
        <v>0.963158</v>
      </c>
      <c r="AT35" s="9" t="s">
        <v>85</v>
      </c>
      <c r="AU35" s="9" t="s">
        <v>85</v>
      </c>
      <c r="AV35" s="9">
        <v>0.965263</v>
      </c>
      <c r="AW35" s="9" t="s">
        <v>85</v>
      </c>
      <c r="AX35" s="9" t="s">
        <v>85</v>
      </c>
      <c r="AY35" s="9">
        <v>0.970877</v>
      </c>
      <c r="AZ35" s="9" t="s">
        <v>85</v>
      </c>
      <c r="BA35" s="9" t="s">
        <v>85</v>
      </c>
      <c r="BB35" s="30">
        <v>0.945965</v>
      </c>
      <c r="BC35" s="9" t="s">
        <v>85</v>
      </c>
      <c r="BD35" s="10" t="s">
        <v>85</v>
      </c>
      <c r="BE35" s="10" t="s">
        <v>85</v>
      </c>
      <c r="BF35" s="9" t="s">
        <v>85</v>
      </c>
      <c r="BG35" s="6"/>
      <c r="BH35" s="6" t="str">
        <f t="shared" si="1"/>
        <v>8V_Fold_Median</v>
      </c>
      <c r="BI35" s="6" t="str">
        <f t="shared" si="2"/>
        <v>10B_Fold_Median</v>
      </c>
      <c r="BJ35" s="6" t="str">
        <f t="shared" si="3"/>
        <v>8BN_Fold_Median</v>
      </c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</row>
    <row r="36" ht="15.75" customHeight="1">
      <c r="A36" s="1" t="s">
        <v>130</v>
      </c>
      <c r="B36" s="9" t="s">
        <v>85</v>
      </c>
      <c r="C36" s="9">
        <v>0.962807</v>
      </c>
      <c r="D36" s="9" t="s">
        <v>85</v>
      </c>
      <c r="E36" s="9" t="s">
        <v>85</v>
      </c>
      <c r="F36" s="30">
        <v>0.958947361</v>
      </c>
      <c r="G36" s="9" t="s">
        <v>85</v>
      </c>
      <c r="H36" s="9" t="s">
        <v>85</v>
      </c>
      <c r="I36" s="9">
        <v>0.793333</v>
      </c>
      <c r="J36" s="9" t="s">
        <v>85</v>
      </c>
      <c r="K36" s="9" t="s">
        <v>85</v>
      </c>
      <c r="L36" s="9">
        <v>0.801053</v>
      </c>
      <c r="M36" s="9" t="s">
        <v>85</v>
      </c>
      <c r="N36" s="9" t="s">
        <v>85</v>
      </c>
      <c r="O36" s="9">
        <v>0.950175</v>
      </c>
      <c r="P36" s="9" t="s">
        <v>85</v>
      </c>
      <c r="Q36" s="9" t="s">
        <v>85</v>
      </c>
      <c r="R36" s="9">
        <v>0.949825</v>
      </c>
      <c r="S36" s="9" t="s">
        <v>85</v>
      </c>
      <c r="T36" s="9" t="s">
        <v>85</v>
      </c>
      <c r="U36" s="9">
        <v>0.921404</v>
      </c>
      <c r="V36" s="9" t="s">
        <v>85</v>
      </c>
      <c r="W36" s="9" t="s">
        <v>85</v>
      </c>
      <c r="X36" s="9">
        <v>0.910526</v>
      </c>
      <c r="Y36" s="9" t="s">
        <v>85</v>
      </c>
      <c r="Z36" s="9" t="s">
        <v>85</v>
      </c>
      <c r="AA36" s="31" t="s">
        <v>85</v>
      </c>
      <c r="AB36" s="9" t="s">
        <v>85</v>
      </c>
      <c r="AC36" s="9" t="s">
        <v>85</v>
      </c>
      <c r="AD36" s="30">
        <v>0.966316</v>
      </c>
      <c r="AE36" s="9" t="s">
        <v>85</v>
      </c>
      <c r="AF36" s="9" t="s">
        <v>85</v>
      </c>
      <c r="AG36" s="9">
        <v>0.889474</v>
      </c>
      <c r="AH36" s="9" t="s">
        <v>85</v>
      </c>
      <c r="AI36" s="9" t="s">
        <v>85</v>
      </c>
      <c r="AJ36" s="9">
        <v>0.886316</v>
      </c>
      <c r="AK36" s="9" t="s">
        <v>85</v>
      </c>
      <c r="AL36" s="9" t="s">
        <v>85</v>
      </c>
      <c r="AM36" s="9">
        <v>0.954386</v>
      </c>
      <c r="AN36" s="9" t="s">
        <v>85</v>
      </c>
      <c r="AO36" s="9" t="s">
        <v>85</v>
      </c>
      <c r="AP36" s="30">
        <v>0.952632</v>
      </c>
      <c r="AQ36" s="9" t="s">
        <v>85</v>
      </c>
      <c r="AR36" s="9" t="s">
        <v>85</v>
      </c>
      <c r="AS36" s="9">
        <v>0.782105</v>
      </c>
      <c r="AT36" s="9" t="s">
        <v>85</v>
      </c>
      <c r="AU36" s="9" t="s">
        <v>85</v>
      </c>
      <c r="AV36" s="9">
        <v>0.799649</v>
      </c>
      <c r="AW36" s="9" t="s">
        <v>85</v>
      </c>
      <c r="AX36" s="9" t="s">
        <v>85</v>
      </c>
      <c r="AY36" s="9">
        <v>0.968772</v>
      </c>
      <c r="AZ36" s="9" t="s">
        <v>85</v>
      </c>
      <c r="BA36" s="9" t="s">
        <v>85</v>
      </c>
      <c r="BB36" s="30">
        <v>0.886667</v>
      </c>
      <c r="BC36" s="9" t="s">
        <v>85</v>
      </c>
      <c r="BD36" s="10" t="s">
        <v>85</v>
      </c>
      <c r="BE36" s="10" t="s">
        <v>85</v>
      </c>
      <c r="BF36" s="9" t="s">
        <v>85</v>
      </c>
      <c r="BG36" s="6"/>
      <c r="BH36" s="6" t="str">
        <f t="shared" si="1"/>
        <v>20B_Fold_Median</v>
      </c>
      <c r="BI36" s="6" t="str">
        <f t="shared" si="2"/>
        <v>10BN_Fold_Median</v>
      </c>
      <c r="BJ36" s="6" t="str">
        <f t="shared" si="3"/>
        <v>5B_Fold_Median</v>
      </c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</row>
    <row r="37" ht="15.75" customHeight="1">
      <c r="A37" s="1" t="s">
        <v>131</v>
      </c>
      <c r="B37" s="9" t="s">
        <v>85</v>
      </c>
      <c r="C37" s="9">
        <v>0.906667</v>
      </c>
      <c r="D37" s="9" t="s">
        <v>85</v>
      </c>
      <c r="E37" s="9" t="s">
        <v>85</v>
      </c>
      <c r="F37" s="30">
        <v>0.913333356</v>
      </c>
      <c r="G37" s="9" t="s">
        <v>85</v>
      </c>
      <c r="H37" s="9" t="s">
        <v>85</v>
      </c>
      <c r="I37" s="9">
        <v>0.9</v>
      </c>
      <c r="J37" s="9" t="s">
        <v>85</v>
      </c>
      <c r="K37" s="9" t="s">
        <v>85</v>
      </c>
      <c r="L37" s="9">
        <v>0.926667</v>
      </c>
      <c r="M37" s="9" t="s">
        <v>85</v>
      </c>
      <c r="N37" s="9" t="s">
        <v>85</v>
      </c>
      <c r="O37" s="9">
        <v>0.946667</v>
      </c>
      <c r="P37" s="9" t="s">
        <v>85</v>
      </c>
      <c r="Q37" s="9" t="s">
        <v>85</v>
      </c>
      <c r="R37" s="9">
        <v>0.94</v>
      </c>
      <c r="S37" s="9" t="s">
        <v>85</v>
      </c>
      <c r="T37" s="9" t="s">
        <v>85</v>
      </c>
      <c r="U37" s="9">
        <v>0.84</v>
      </c>
      <c r="V37" s="9" t="s">
        <v>85</v>
      </c>
      <c r="W37" s="9" t="s">
        <v>85</v>
      </c>
      <c r="X37" s="9">
        <v>0.813333</v>
      </c>
      <c r="Y37" s="9" t="s">
        <v>85</v>
      </c>
      <c r="Z37" s="9" t="s">
        <v>85</v>
      </c>
      <c r="AA37" s="30">
        <v>0.933333</v>
      </c>
      <c r="AB37" s="9" t="s">
        <v>85</v>
      </c>
      <c r="AC37" s="9" t="s">
        <v>85</v>
      </c>
      <c r="AD37" s="30">
        <v>0.92</v>
      </c>
      <c r="AE37" s="9" t="s">
        <v>85</v>
      </c>
      <c r="AF37" s="9" t="s">
        <v>85</v>
      </c>
      <c r="AG37" s="9">
        <v>0.826667</v>
      </c>
      <c r="AH37" s="9" t="s">
        <v>85</v>
      </c>
      <c r="AI37" s="9" t="s">
        <v>85</v>
      </c>
      <c r="AJ37" s="9">
        <v>0.833333</v>
      </c>
      <c r="AK37" s="9" t="s">
        <v>85</v>
      </c>
      <c r="AL37" s="9" t="s">
        <v>85</v>
      </c>
      <c r="AM37" s="9">
        <v>0.953333</v>
      </c>
      <c r="AN37" s="9" t="s">
        <v>85</v>
      </c>
      <c r="AO37" s="9" t="s">
        <v>85</v>
      </c>
      <c r="AP37" s="30">
        <v>0.94</v>
      </c>
      <c r="AQ37" s="9" t="s">
        <v>85</v>
      </c>
      <c r="AR37" s="9" t="s">
        <v>85</v>
      </c>
      <c r="AS37" s="9">
        <v>0.873333</v>
      </c>
      <c r="AT37" s="9" t="s">
        <v>85</v>
      </c>
      <c r="AU37" s="9" t="s">
        <v>85</v>
      </c>
      <c r="AV37" s="9">
        <v>0.853333</v>
      </c>
      <c r="AW37" s="9" t="s">
        <v>85</v>
      </c>
      <c r="AX37" s="9" t="s">
        <v>85</v>
      </c>
      <c r="AY37" s="9">
        <v>0.92</v>
      </c>
      <c r="AZ37" s="9" t="s">
        <v>85</v>
      </c>
      <c r="BA37" s="9" t="s">
        <v>85</v>
      </c>
      <c r="BB37" s="30">
        <v>0.893333</v>
      </c>
      <c r="BC37" s="9" t="s">
        <v>85</v>
      </c>
      <c r="BD37" s="10" t="s">
        <v>85</v>
      </c>
      <c r="BE37" s="10" t="s">
        <v>85</v>
      </c>
      <c r="BF37" s="9" t="s">
        <v>85</v>
      </c>
      <c r="BG37" s="6"/>
      <c r="BH37" s="6" t="str">
        <f t="shared" si="1"/>
        <v>12B_Fold_Median</v>
      </c>
      <c r="BI37" s="6" t="str">
        <f t="shared" si="2"/>
        <v>8B_Fold_Median</v>
      </c>
      <c r="BJ37" s="6" t="str">
        <f t="shared" si="3"/>
        <v>8BN_Fold_Median</v>
      </c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</row>
    <row r="38" ht="15.75" customHeight="1">
      <c r="A38" s="1" t="s">
        <v>132</v>
      </c>
      <c r="B38" s="9" t="s">
        <v>85</v>
      </c>
      <c r="C38" s="9">
        <v>0.955696</v>
      </c>
      <c r="D38" s="9" t="s">
        <v>85</v>
      </c>
      <c r="E38" s="9" t="s">
        <v>85</v>
      </c>
      <c r="F38" s="30">
        <v>0.946202517</v>
      </c>
      <c r="G38" s="9" t="s">
        <v>85</v>
      </c>
      <c r="H38" s="9" t="s">
        <v>85</v>
      </c>
      <c r="I38" s="9">
        <v>0.936709</v>
      </c>
      <c r="J38" s="9" t="s">
        <v>85</v>
      </c>
      <c r="K38" s="9" t="s">
        <v>85</v>
      </c>
      <c r="L38" s="9">
        <v>0.946203</v>
      </c>
      <c r="M38" s="9" t="s">
        <v>85</v>
      </c>
      <c r="N38" s="9" t="s">
        <v>85</v>
      </c>
      <c r="O38" s="9">
        <v>0.946203</v>
      </c>
      <c r="P38" s="9" t="s">
        <v>85</v>
      </c>
      <c r="Q38" s="9" t="s">
        <v>85</v>
      </c>
      <c r="R38" s="9">
        <v>0.955696</v>
      </c>
      <c r="S38" s="9" t="s">
        <v>85</v>
      </c>
      <c r="T38" s="9" t="s">
        <v>85</v>
      </c>
      <c r="U38" s="9">
        <v>0.89557</v>
      </c>
      <c r="V38" s="9" t="s">
        <v>85</v>
      </c>
      <c r="W38" s="9" t="s">
        <v>85</v>
      </c>
      <c r="X38" s="9">
        <v>0.898734</v>
      </c>
      <c r="Y38" s="9" t="s">
        <v>85</v>
      </c>
      <c r="Z38" s="9" t="s">
        <v>85</v>
      </c>
      <c r="AA38" s="30">
        <v>0.936709</v>
      </c>
      <c r="AB38" s="9" t="s">
        <v>85</v>
      </c>
      <c r="AC38" s="9" t="s">
        <v>85</v>
      </c>
      <c r="AD38" s="30">
        <v>0.939873</v>
      </c>
      <c r="AE38" s="9" t="s">
        <v>85</v>
      </c>
      <c r="AF38" s="9" t="s">
        <v>85</v>
      </c>
      <c r="AG38" s="9">
        <v>0.908228</v>
      </c>
      <c r="AH38" s="9" t="s">
        <v>85</v>
      </c>
      <c r="AI38" s="9" t="s">
        <v>85</v>
      </c>
      <c r="AJ38" s="9">
        <v>0.914557</v>
      </c>
      <c r="AK38" s="9" t="s">
        <v>85</v>
      </c>
      <c r="AL38" s="9" t="s">
        <v>85</v>
      </c>
      <c r="AM38" s="9">
        <v>0.93038</v>
      </c>
      <c r="AN38" s="9" t="s">
        <v>85</v>
      </c>
      <c r="AO38" s="9" t="s">
        <v>85</v>
      </c>
      <c r="AP38" s="30">
        <v>0.93038</v>
      </c>
      <c r="AQ38" s="9" t="s">
        <v>85</v>
      </c>
      <c r="AR38" s="9" t="s">
        <v>85</v>
      </c>
      <c r="AS38" s="9">
        <v>0.917722</v>
      </c>
      <c r="AT38" s="9" t="s">
        <v>85</v>
      </c>
      <c r="AU38" s="9" t="s">
        <v>85</v>
      </c>
      <c r="AV38" s="9">
        <v>0.914557</v>
      </c>
      <c r="AW38" s="9" t="s">
        <v>85</v>
      </c>
      <c r="AX38" s="9" t="s">
        <v>85</v>
      </c>
      <c r="AY38" s="9">
        <v>0.920886</v>
      </c>
      <c r="AZ38" s="9" t="s">
        <v>85</v>
      </c>
      <c r="BA38" s="9" t="s">
        <v>85</v>
      </c>
      <c r="BB38" s="30">
        <v>0.920886</v>
      </c>
      <c r="BC38" s="9" t="s">
        <v>85</v>
      </c>
      <c r="BD38" s="10" t="s">
        <v>85</v>
      </c>
      <c r="BE38" s="10" t="s">
        <v>85</v>
      </c>
      <c r="BF38" s="9" t="s">
        <v>85</v>
      </c>
      <c r="BG38" s="6"/>
      <c r="BH38" s="6" t="str">
        <f t="shared" si="1"/>
        <v>5B_Fold_Median</v>
      </c>
      <c r="BI38" s="6" t="str">
        <f t="shared" si="2"/>
        <v>5B_Fold_Median</v>
      </c>
      <c r="BJ38" s="6" t="str">
        <f t="shared" si="3"/>
        <v>5VB_Fold_Median</v>
      </c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</row>
    <row r="39" ht="15.75" customHeight="1">
      <c r="A39" s="1" t="s">
        <v>133</v>
      </c>
      <c r="B39" s="9" t="s">
        <v>85</v>
      </c>
      <c r="C39" s="9">
        <v>0.96519</v>
      </c>
      <c r="D39" s="9" t="s">
        <v>85</v>
      </c>
      <c r="E39" s="9" t="s">
        <v>85</v>
      </c>
      <c r="F39" s="30">
        <v>0.958860755</v>
      </c>
      <c r="G39" s="9" t="s">
        <v>85</v>
      </c>
      <c r="H39" s="9" t="s">
        <v>85</v>
      </c>
      <c r="I39" s="9">
        <v>0.946203</v>
      </c>
      <c r="J39" s="9" t="s">
        <v>85</v>
      </c>
      <c r="K39" s="9" t="s">
        <v>85</v>
      </c>
      <c r="L39" s="9">
        <v>0.96519</v>
      </c>
      <c r="M39" s="9" t="s">
        <v>85</v>
      </c>
      <c r="N39" s="9" t="s">
        <v>85</v>
      </c>
      <c r="O39" s="9">
        <v>0.977848</v>
      </c>
      <c r="P39" s="9" t="s">
        <v>85</v>
      </c>
      <c r="Q39" s="9" t="s">
        <v>85</v>
      </c>
      <c r="R39" s="9">
        <v>0.974684</v>
      </c>
      <c r="S39" s="9" t="s">
        <v>85</v>
      </c>
      <c r="T39" s="9" t="s">
        <v>85</v>
      </c>
      <c r="U39" s="9">
        <v>0.949367</v>
      </c>
      <c r="V39" s="9" t="s">
        <v>85</v>
      </c>
      <c r="W39" s="9" t="s">
        <v>85</v>
      </c>
      <c r="X39" s="9">
        <v>0.958861</v>
      </c>
      <c r="Y39" s="9" t="s">
        <v>85</v>
      </c>
      <c r="Z39" s="9" t="s">
        <v>85</v>
      </c>
      <c r="AA39" s="30">
        <v>0.987342</v>
      </c>
      <c r="AB39" s="9" t="s">
        <v>85</v>
      </c>
      <c r="AC39" s="9" t="s">
        <v>85</v>
      </c>
      <c r="AD39" s="30">
        <v>0.981013</v>
      </c>
      <c r="AE39" s="9" t="s">
        <v>85</v>
      </c>
      <c r="AF39" s="9" t="s">
        <v>85</v>
      </c>
      <c r="AG39" s="9">
        <v>0.974684</v>
      </c>
      <c r="AH39" s="9" t="s">
        <v>85</v>
      </c>
      <c r="AI39" s="9" t="s">
        <v>85</v>
      </c>
      <c r="AJ39" s="9">
        <v>0.968354</v>
      </c>
      <c r="AK39" s="9" t="s">
        <v>85</v>
      </c>
      <c r="AL39" s="9" t="s">
        <v>85</v>
      </c>
      <c r="AM39" s="9">
        <v>0.96519</v>
      </c>
      <c r="AN39" s="9" t="s">
        <v>85</v>
      </c>
      <c r="AO39" s="9" t="s">
        <v>85</v>
      </c>
      <c r="AP39" s="30">
        <v>0.968354</v>
      </c>
      <c r="AQ39" s="9" t="s">
        <v>85</v>
      </c>
      <c r="AR39" s="9" t="s">
        <v>85</v>
      </c>
      <c r="AS39" s="9">
        <v>0.987342</v>
      </c>
      <c r="AT39" s="9" t="s">
        <v>85</v>
      </c>
      <c r="AU39" s="9" t="s">
        <v>85</v>
      </c>
      <c r="AV39" s="9">
        <v>0.987342</v>
      </c>
      <c r="AW39" s="9" t="s">
        <v>85</v>
      </c>
      <c r="AX39" s="9" t="s">
        <v>85</v>
      </c>
      <c r="AY39" s="9">
        <v>0.968354</v>
      </c>
      <c r="AZ39" s="9" t="s">
        <v>85</v>
      </c>
      <c r="BA39" s="9" t="s">
        <v>85</v>
      </c>
      <c r="BB39" s="30">
        <v>0.96519</v>
      </c>
      <c r="BC39" s="9" t="s">
        <v>85</v>
      </c>
      <c r="BD39" s="10" t="s">
        <v>85</v>
      </c>
      <c r="BE39" s="10" t="s">
        <v>85</v>
      </c>
      <c r="BF39" s="9" t="s">
        <v>85</v>
      </c>
      <c r="BG39" s="6"/>
      <c r="BH39" s="6" t="str">
        <f t="shared" si="1"/>
        <v>10B_Fold_Median</v>
      </c>
      <c r="BI39" s="6" t="str">
        <f t="shared" si="2"/>
        <v>10B_Fold_Median</v>
      </c>
      <c r="BJ39" s="6" t="str">
        <f t="shared" si="3"/>
        <v>10B_Fold_Median</v>
      </c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</row>
    <row r="40" ht="15.75" customHeight="1">
      <c r="A40" s="1" t="s">
        <v>134</v>
      </c>
      <c r="B40" s="9" t="s">
        <v>85</v>
      </c>
      <c r="C40" s="9">
        <v>0.968254</v>
      </c>
      <c r="D40" s="9" t="s">
        <v>85</v>
      </c>
      <c r="E40" s="9" t="s">
        <v>85</v>
      </c>
      <c r="F40" s="30">
        <v>0.965079367</v>
      </c>
      <c r="G40" s="9" t="s">
        <v>85</v>
      </c>
      <c r="H40" s="9" t="s">
        <v>85</v>
      </c>
      <c r="I40" s="9">
        <v>0.942857</v>
      </c>
      <c r="J40" s="9" t="s">
        <v>85</v>
      </c>
      <c r="K40" s="9" t="s">
        <v>85</v>
      </c>
      <c r="L40" s="9">
        <v>0.936508</v>
      </c>
      <c r="M40" s="9" t="s">
        <v>85</v>
      </c>
      <c r="N40" s="9" t="s">
        <v>85</v>
      </c>
      <c r="O40" s="9">
        <v>0.936508</v>
      </c>
      <c r="P40" s="9" t="s">
        <v>85</v>
      </c>
      <c r="Q40" s="9" t="s">
        <v>85</v>
      </c>
      <c r="R40" s="9">
        <v>0.936508</v>
      </c>
      <c r="S40" s="9" t="s">
        <v>85</v>
      </c>
      <c r="T40" s="9" t="s">
        <v>85</v>
      </c>
      <c r="U40" s="9">
        <v>0.936508</v>
      </c>
      <c r="V40" s="9" t="s">
        <v>85</v>
      </c>
      <c r="W40" s="9" t="s">
        <v>85</v>
      </c>
      <c r="X40" s="9">
        <v>0.933333</v>
      </c>
      <c r="Y40" s="9" t="s">
        <v>85</v>
      </c>
      <c r="Z40" s="9" t="s">
        <v>85</v>
      </c>
      <c r="AA40" s="30">
        <v>0.949206</v>
      </c>
      <c r="AB40" s="9" t="s">
        <v>85</v>
      </c>
      <c r="AC40" s="9" t="s">
        <v>85</v>
      </c>
      <c r="AD40" s="30">
        <v>0.952381</v>
      </c>
      <c r="AE40" s="9" t="s">
        <v>85</v>
      </c>
      <c r="AF40" s="9" t="s">
        <v>85</v>
      </c>
      <c r="AG40" s="9">
        <v>0.914286</v>
      </c>
      <c r="AH40" s="9" t="s">
        <v>85</v>
      </c>
      <c r="AI40" s="9" t="s">
        <v>85</v>
      </c>
      <c r="AJ40" s="9">
        <v>0.91746</v>
      </c>
      <c r="AK40" s="9" t="s">
        <v>85</v>
      </c>
      <c r="AL40" s="9" t="s">
        <v>85</v>
      </c>
      <c r="AM40" s="9">
        <v>0.95873</v>
      </c>
      <c r="AN40" s="9" t="s">
        <v>85</v>
      </c>
      <c r="AO40" s="9" t="s">
        <v>85</v>
      </c>
      <c r="AP40" s="30">
        <v>0.946032</v>
      </c>
      <c r="AQ40" s="9" t="s">
        <v>85</v>
      </c>
      <c r="AR40" s="9" t="s">
        <v>85</v>
      </c>
      <c r="AS40" s="9">
        <v>0.91746</v>
      </c>
      <c r="AT40" s="9" t="s">
        <v>85</v>
      </c>
      <c r="AU40" s="9" t="s">
        <v>85</v>
      </c>
      <c r="AV40" s="9">
        <v>0.911111</v>
      </c>
      <c r="AW40" s="9" t="s">
        <v>85</v>
      </c>
      <c r="AX40" s="9" t="s">
        <v>85</v>
      </c>
      <c r="AY40" s="9">
        <v>0.946032</v>
      </c>
      <c r="AZ40" s="9" t="s">
        <v>85</v>
      </c>
      <c r="BA40" s="9" t="s">
        <v>85</v>
      </c>
      <c r="BB40" s="30">
        <v>0.91746</v>
      </c>
      <c r="BC40" s="9" t="s">
        <v>85</v>
      </c>
      <c r="BD40" s="10" t="s">
        <v>85</v>
      </c>
      <c r="BE40" s="10" t="s">
        <v>85</v>
      </c>
      <c r="BF40" s="9" t="s">
        <v>85</v>
      </c>
      <c r="BG40" s="6"/>
      <c r="BH40" s="6" t="str">
        <f t="shared" si="1"/>
        <v>5B_Fold_Median</v>
      </c>
      <c r="BI40" s="6" t="str">
        <f t="shared" si="2"/>
        <v>5BN_Fold_Median</v>
      </c>
      <c r="BJ40" s="6" t="str">
        <f t="shared" si="3"/>
        <v>12B_Fold_Median</v>
      </c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</row>
    <row r="41" ht="15.75" customHeight="1">
      <c r="A41" s="1" t="s">
        <v>135</v>
      </c>
      <c r="B41" s="9" t="s">
        <v>85</v>
      </c>
      <c r="C41" s="9">
        <v>0.542857</v>
      </c>
      <c r="D41" s="9" t="s">
        <v>85</v>
      </c>
      <c r="E41" s="9" t="s">
        <v>85</v>
      </c>
      <c r="F41" s="30">
        <v>0.45714286</v>
      </c>
      <c r="G41" s="9" t="s">
        <v>85</v>
      </c>
      <c r="H41" s="9" t="s">
        <v>85</v>
      </c>
      <c r="I41" s="9">
        <v>0.514286</v>
      </c>
      <c r="J41" s="9" t="s">
        <v>85</v>
      </c>
      <c r="K41" s="9" t="s">
        <v>85</v>
      </c>
      <c r="L41" s="9">
        <v>0.495238</v>
      </c>
      <c r="M41" s="9" t="s">
        <v>85</v>
      </c>
      <c r="N41" s="9" t="s">
        <v>85</v>
      </c>
      <c r="O41" s="9">
        <v>0.561905</v>
      </c>
      <c r="P41" s="9" t="s">
        <v>85</v>
      </c>
      <c r="Q41" s="9" t="s">
        <v>85</v>
      </c>
      <c r="R41" s="9">
        <v>0.533333</v>
      </c>
      <c r="S41" s="9" t="s">
        <v>85</v>
      </c>
      <c r="T41" s="9" t="s">
        <v>85</v>
      </c>
      <c r="U41" s="9">
        <v>0.561905</v>
      </c>
      <c r="V41" s="9" t="s">
        <v>85</v>
      </c>
      <c r="W41" s="9" t="s">
        <v>85</v>
      </c>
      <c r="X41" s="9">
        <v>0.561905</v>
      </c>
      <c r="Y41" s="9" t="s">
        <v>85</v>
      </c>
      <c r="Z41" s="9" t="s">
        <v>85</v>
      </c>
      <c r="AA41" s="30">
        <v>0.571429</v>
      </c>
      <c r="AB41" s="9" t="s">
        <v>85</v>
      </c>
      <c r="AC41" s="9" t="s">
        <v>85</v>
      </c>
      <c r="AD41" s="30">
        <v>0.571429</v>
      </c>
      <c r="AE41" s="9" t="s">
        <v>85</v>
      </c>
      <c r="AF41" s="9" t="s">
        <v>85</v>
      </c>
      <c r="AG41" s="9">
        <v>0.628571</v>
      </c>
      <c r="AH41" s="9" t="s">
        <v>85</v>
      </c>
      <c r="AI41" s="9" t="s">
        <v>85</v>
      </c>
      <c r="AJ41" s="9">
        <v>0.647619</v>
      </c>
      <c r="AK41" s="9" t="s">
        <v>85</v>
      </c>
      <c r="AL41" s="9" t="s">
        <v>85</v>
      </c>
      <c r="AM41" s="9">
        <v>0.552381</v>
      </c>
      <c r="AN41" s="9" t="s">
        <v>85</v>
      </c>
      <c r="AO41" s="9" t="s">
        <v>85</v>
      </c>
      <c r="AP41" s="30">
        <v>0.561905</v>
      </c>
      <c r="AQ41" s="9" t="s">
        <v>85</v>
      </c>
      <c r="AR41" s="9" t="s">
        <v>85</v>
      </c>
      <c r="AS41" s="9">
        <v>0.609524</v>
      </c>
      <c r="AT41" s="9" t="s">
        <v>85</v>
      </c>
      <c r="AU41" s="9" t="s">
        <v>85</v>
      </c>
      <c r="AV41" s="9">
        <v>0.628571</v>
      </c>
      <c r="AW41" s="9" t="s">
        <v>85</v>
      </c>
      <c r="AX41" s="9" t="s">
        <v>85</v>
      </c>
      <c r="AY41" s="9">
        <v>0.619048</v>
      </c>
      <c r="AZ41" s="9" t="s">
        <v>85</v>
      </c>
      <c r="BA41" s="9" t="s">
        <v>85</v>
      </c>
      <c r="BB41" s="30">
        <v>0.609524</v>
      </c>
      <c r="BC41" s="9" t="s">
        <v>85</v>
      </c>
      <c r="BD41" s="10" t="s">
        <v>85</v>
      </c>
      <c r="BE41" s="10" t="s">
        <v>85</v>
      </c>
      <c r="BF41" s="9" t="s">
        <v>85</v>
      </c>
      <c r="BG41" s="6"/>
      <c r="BH41" s="6" t="str">
        <f t="shared" si="1"/>
        <v>10VB_Fold_Median</v>
      </c>
      <c r="BI41" s="6" t="str">
        <f t="shared" si="2"/>
        <v>10V_Fold_Median</v>
      </c>
      <c r="BJ41" s="6" t="str">
        <f t="shared" si="3"/>
        <v>10V_Fold_Median</v>
      </c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</row>
    <row r="42" ht="15.75" customHeight="1">
      <c r="A42" s="1" t="s">
        <v>136</v>
      </c>
      <c r="B42" s="9" t="s">
        <v>85</v>
      </c>
      <c r="C42" s="9">
        <v>0.38961</v>
      </c>
      <c r="D42" s="9" t="s">
        <v>85</v>
      </c>
      <c r="E42" s="9" t="s">
        <v>85</v>
      </c>
      <c r="F42" s="30">
        <v>0.344155848</v>
      </c>
      <c r="G42" s="9" t="s">
        <v>85</v>
      </c>
      <c r="H42" s="9" t="s">
        <v>85</v>
      </c>
      <c r="I42" s="9">
        <v>0.357143</v>
      </c>
      <c r="J42" s="9" t="s">
        <v>85</v>
      </c>
      <c r="K42" s="9" t="s">
        <v>85</v>
      </c>
      <c r="L42" s="9">
        <v>0.337662</v>
      </c>
      <c r="M42" s="9" t="s">
        <v>85</v>
      </c>
      <c r="N42" s="9" t="s">
        <v>85</v>
      </c>
      <c r="O42" s="9">
        <v>0.399351</v>
      </c>
      <c r="P42" s="9" t="s">
        <v>85</v>
      </c>
      <c r="Q42" s="9" t="s">
        <v>85</v>
      </c>
      <c r="R42" s="9">
        <v>0.409091</v>
      </c>
      <c r="S42" s="9" t="s">
        <v>85</v>
      </c>
      <c r="T42" s="9" t="s">
        <v>85</v>
      </c>
      <c r="U42" s="9">
        <v>0.405844</v>
      </c>
      <c r="V42" s="9" t="s">
        <v>85</v>
      </c>
      <c r="W42" s="9" t="s">
        <v>85</v>
      </c>
      <c r="X42" s="9">
        <v>0.38961</v>
      </c>
      <c r="Y42" s="9" t="s">
        <v>85</v>
      </c>
      <c r="Z42" s="9" t="s">
        <v>85</v>
      </c>
      <c r="AA42" s="30">
        <v>0.366883</v>
      </c>
      <c r="AB42" s="9" t="s">
        <v>85</v>
      </c>
      <c r="AC42" s="9" t="s">
        <v>85</v>
      </c>
      <c r="AD42" s="30">
        <v>0.418831</v>
      </c>
      <c r="AE42" s="9" t="s">
        <v>85</v>
      </c>
      <c r="AF42" s="9" t="s">
        <v>85</v>
      </c>
      <c r="AG42" s="9">
        <v>0.405844</v>
      </c>
      <c r="AH42" s="9" t="s">
        <v>85</v>
      </c>
      <c r="AI42" s="9" t="s">
        <v>85</v>
      </c>
      <c r="AJ42" s="9">
        <v>0.422078</v>
      </c>
      <c r="AK42" s="9" t="s">
        <v>85</v>
      </c>
      <c r="AL42" s="9" t="s">
        <v>85</v>
      </c>
      <c r="AM42" s="9">
        <v>0.431818</v>
      </c>
      <c r="AN42" s="9" t="s">
        <v>85</v>
      </c>
      <c r="AO42" s="9" t="s">
        <v>85</v>
      </c>
      <c r="AP42" s="30">
        <v>0.422078</v>
      </c>
      <c r="AQ42" s="9" t="s">
        <v>85</v>
      </c>
      <c r="AR42" s="9" t="s">
        <v>85</v>
      </c>
      <c r="AS42" s="9">
        <v>0.396104</v>
      </c>
      <c r="AT42" s="9" t="s">
        <v>85</v>
      </c>
      <c r="AU42" s="9" t="s">
        <v>85</v>
      </c>
      <c r="AV42" s="9">
        <v>0.405844</v>
      </c>
      <c r="AW42" s="9" t="s">
        <v>85</v>
      </c>
      <c r="AX42" s="9" t="s">
        <v>85</v>
      </c>
      <c r="AY42" s="9">
        <v>0.409091</v>
      </c>
      <c r="AZ42" s="9" t="s">
        <v>85</v>
      </c>
      <c r="BA42" s="9" t="s">
        <v>85</v>
      </c>
      <c r="BB42" s="30">
        <v>0.454545</v>
      </c>
      <c r="BC42" s="9" t="s">
        <v>85</v>
      </c>
      <c r="BD42" s="10" t="s">
        <v>85</v>
      </c>
      <c r="BE42" s="10" t="s">
        <v>85</v>
      </c>
      <c r="BF42" s="9" t="s">
        <v>85</v>
      </c>
      <c r="BG42" s="6"/>
      <c r="BH42" s="6" t="str">
        <f t="shared" si="1"/>
        <v>20V_Fold_Median</v>
      </c>
      <c r="BI42" s="6" t="str">
        <f t="shared" si="2"/>
        <v>12B_Fold_Median</v>
      </c>
      <c r="BJ42" s="6" t="str">
        <f t="shared" si="3"/>
        <v>10VB_Fold_Median</v>
      </c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</row>
    <row r="43" ht="15.75" customHeight="1">
      <c r="A43" s="1" t="s">
        <v>137</v>
      </c>
      <c r="B43" s="9" t="s">
        <v>85</v>
      </c>
      <c r="C43" s="9">
        <v>0.5625</v>
      </c>
      <c r="D43" s="9" t="s">
        <v>85</v>
      </c>
      <c r="E43" s="9" t="s">
        <v>85</v>
      </c>
      <c r="F43" s="30">
        <v>0.59375</v>
      </c>
      <c r="G43" s="9" t="s">
        <v>85</v>
      </c>
      <c r="H43" s="9" t="s">
        <v>85</v>
      </c>
      <c r="I43" s="9">
        <v>0.53125</v>
      </c>
      <c r="J43" s="9" t="s">
        <v>85</v>
      </c>
      <c r="K43" s="9" t="s">
        <v>85</v>
      </c>
      <c r="L43" s="9">
        <v>0.578125</v>
      </c>
      <c r="M43" s="9" t="s">
        <v>85</v>
      </c>
      <c r="N43" s="9" t="s">
        <v>85</v>
      </c>
      <c r="O43" s="9">
        <v>0.546875</v>
      </c>
      <c r="P43" s="9" t="s">
        <v>85</v>
      </c>
      <c r="Q43" s="9" t="s">
        <v>85</v>
      </c>
      <c r="R43" s="9">
        <v>0.53125</v>
      </c>
      <c r="S43" s="9" t="s">
        <v>85</v>
      </c>
      <c r="T43" s="9" t="s">
        <v>85</v>
      </c>
      <c r="U43" s="9">
        <v>0.5625</v>
      </c>
      <c r="V43" s="9" t="s">
        <v>85</v>
      </c>
      <c r="W43" s="9" t="s">
        <v>85</v>
      </c>
      <c r="X43" s="9">
        <v>0.59375</v>
      </c>
      <c r="Y43" s="9" t="s">
        <v>85</v>
      </c>
      <c r="Z43" s="9" t="s">
        <v>85</v>
      </c>
      <c r="AA43" s="30">
        <v>0.578125</v>
      </c>
      <c r="AB43" s="9" t="s">
        <v>85</v>
      </c>
      <c r="AC43" s="9" t="s">
        <v>85</v>
      </c>
      <c r="AD43" s="30">
        <v>0.59375</v>
      </c>
      <c r="AE43" s="9" t="s">
        <v>85</v>
      </c>
      <c r="AF43" s="9" t="s">
        <v>85</v>
      </c>
      <c r="AG43" s="9">
        <v>0.59375</v>
      </c>
      <c r="AH43" s="9" t="s">
        <v>85</v>
      </c>
      <c r="AI43" s="9" t="s">
        <v>85</v>
      </c>
      <c r="AJ43" s="9">
        <v>0.59375</v>
      </c>
      <c r="AK43" s="9" t="s">
        <v>85</v>
      </c>
      <c r="AL43" s="9" t="s">
        <v>85</v>
      </c>
      <c r="AM43" s="9">
        <v>0.59375</v>
      </c>
      <c r="AN43" s="9" t="s">
        <v>85</v>
      </c>
      <c r="AO43" s="9" t="s">
        <v>85</v>
      </c>
      <c r="AP43" s="30">
        <v>0.546875</v>
      </c>
      <c r="AQ43" s="9" t="s">
        <v>85</v>
      </c>
      <c r="AR43" s="9" t="s">
        <v>85</v>
      </c>
      <c r="AS43" s="9">
        <v>0.609375</v>
      </c>
      <c r="AT43" s="9" t="s">
        <v>85</v>
      </c>
      <c r="AU43" s="9" t="s">
        <v>85</v>
      </c>
      <c r="AV43" s="9">
        <v>0.609375</v>
      </c>
      <c r="AW43" s="9" t="s">
        <v>85</v>
      </c>
      <c r="AX43" s="9" t="s">
        <v>85</v>
      </c>
      <c r="AY43" s="9">
        <v>0.59375</v>
      </c>
      <c r="AZ43" s="9" t="s">
        <v>85</v>
      </c>
      <c r="BA43" s="9" t="s">
        <v>85</v>
      </c>
      <c r="BB43" s="30">
        <v>0.59375</v>
      </c>
      <c r="BC43" s="9" t="s">
        <v>85</v>
      </c>
      <c r="BD43" s="10" t="s">
        <v>85</v>
      </c>
      <c r="BE43" s="10" t="s">
        <v>85</v>
      </c>
      <c r="BF43" s="9" t="s">
        <v>85</v>
      </c>
      <c r="BG43" s="6"/>
      <c r="BH43" s="6" t="str">
        <f t="shared" si="1"/>
        <v>12V_Fold_Median</v>
      </c>
      <c r="BI43" s="6" t="str">
        <f t="shared" si="2"/>
        <v>12V_Fold_Median</v>
      </c>
      <c r="BJ43" s="6" t="str">
        <f t="shared" si="3"/>
        <v>5BN_Fold_Median</v>
      </c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</row>
    <row r="44" ht="15.75" customHeight="1">
      <c r="A44" s="1" t="s">
        <v>138</v>
      </c>
      <c r="B44" s="9" t="s">
        <v>85</v>
      </c>
      <c r="C44" s="9">
        <v>0.798319</v>
      </c>
      <c r="D44" s="9" t="s">
        <v>85</v>
      </c>
      <c r="E44" s="9" t="s">
        <v>85</v>
      </c>
      <c r="F44" s="30">
        <v>0.773109257</v>
      </c>
      <c r="G44" s="9" t="s">
        <v>85</v>
      </c>
      <c r="H44" s="9" t="s">
        <v>85</v>
      </c>
      <c r="I44" s="9">
        <v>0.722689</v>
      </c>
      <c r="J44" s="9" t="s">
        <v>85</v>
      </c>
      <c r="K44" s="9" t="s">
        <v>85</v>
      </c>
      <c r="L44" s="9">
        <v>0.697479</v>
      </c>
      <c r="M44" s="9" t="s">
        <v>85</v>
      </c>
      <c r="N44" s="9" t="s">
        <v>85</v>
      </c>
      <c r="O44" s="9">
        <v>0.806723</v>
      </c>
      <c r="P44" s="9" t="s">
        <v>85</v>
      </c>
      <c r="Q44" s="9" t="s">
        <v>85</v>
      </c>
      <c r="R44" s="9">
        <v>0.831933</v>
      </c>
      <c r="S44" s="9" t="s">
        <v>85</v>
      </c>
      <c r="T44" s="9" t="s">
        <v>85</v>
      </c>
      <c r="U44" s="9">
        <v>0.731092</v>
      </c>
      <c r="V44" s="9" t="s">
        <v>85</v>
      </c>
      <c r="W44" s="9" t="s">
        <v>85</v>
      </c>
      <c r="X44" s="9">
        <v>0.756303</v>
      </c>
      <c r="Y44" s="9" t="s">
        <v>85</v>
      </c>
      <c r="Z44" s="9" t="s">
        <v>85</v>
      </c>
      <c r="AA44" s="30">
        <v>0.831933</v>
      </c>
      <c r="AB44" s="9" t="s">
        <v>85</v>
      </c>
      <c r="AC44" s="9" t="s">
        <v>85</v>
      </c>
      <c r="AD44" s="30">
        <v>0.840336</v>
      </c>
      <c r="AE44" s="9" t="s">
        <v>85</v>
      </c>
      <c r="AF44" s="9" t="s">
        <v>85</v>
      </c>
      <c r="AG44" s="9">
        <v>0.689076</v>
      </c>
      <c r="AH44" s="9" t="s">
        <v>85</v>
      </c>
      <c r="AI44" s="9" t="s">
        <v>85</v>
      </c>
      <c r="AJ44" s="9">
        <v>0.714286</v>
      </c>
      <c r="AK44" s="9" t="s">
        <v>85</v>
      </c>
      <c r="AL44" s="9" t="s">
        <v>85</v>
      </c>
      <c r="AM44" s="9">
        <v>0.865546</v>
      </c>
      <c r="AN44" s="9" t="s">
        <v>85</v>
      </c>
      <c r="AO44" s="9" t="s">
        <v>85</v>
      </c>
      <c r="AP44" s="30">
        <v>0.857143</v>
      </c>
      <c r="AQ44" s="9" t="s">
        <v>85</v>
      </c>
      <c r="AR44" s="9" t="s">
        <v>85</v>
      </c>
      <c r="AS44" s="9">
        <v>0.705882</v>
      </c>
      <c r="AT44" s="9" t="s">
        <v>85</v>
      </c>
      <c r="AU44" s="9" t="s">
        <v>85</v>
      </c>
      <c r="AV44" s="9">
        <v>0.773109</v>
      </c>
      <c r="AW44" s="9" t="s">
        <v>85</v>
      </c>
      <c r="AX44" s="9" t="s">
        <v>85</v>
      </c>
      <c r="AY44" s="9">
        <v>0.865546</v>
      </c>
      <c r="AZ44" s="9" t="s">
        <v>85</v>
      </c>
      <c r="BA44" s="9" t="s">
        <v>85</v>
      </c>
      <c r="BB44" s="30">
        <v>0.773109</v>
      </c>
      <c r="BC44" s="9" t="s">
        <v>85</v>
      </c>
      <c r="BD44" s="10" t="s">
        <v>85</v>
      </c>
      <c r="BE44" s="10" t="s">
        <v>85</v>
      </c>
      <c r="BF44" s="9" t="s">
        <v>85</v>
      </c>
      <c r="BG44" s="6"/>
      <c r="BH44" s="6" t="str">
        <f t="shared" si="1"/>
        <v>12B_Fold_Median</v>
      </c>
      <c r="BI44" s="6" t="str">
        <f t="shared" si="2"/>
        <v>12B_Fold_Median</v>
      </c>
      <c r="BJ44" s="6" t="str">
        <f t="shared" si="3"/>
        <v>12BN_Fold_Median</v>
      </c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</row>
    <row r="45" ht="15.75" customHeight="1">
      <c r="A45" s="1" t="s">
        <v>139</v>
      </c>
      <c r="B45" s="9" t="s">
        <v>85</v>
      </c>
      <c r="C45" s="9">
        <v>0.303636</v>
      </c>
      <c r="D45" s="9" t="s">
        <v>85</v>
      </c>
      <c r="E45" s="9" t="s">
        <v>85</v>
      </c>
      <c r="F45" s="30">
        <v>0.298181832</v>
      </c>
      <c r="G45" s="9" t="s">
        <v>85</v>
      </c>
      <c r="H45" s="9" t="s">
        <v>85</v>
      </c>
      <c r="I45" s="9">
        <v>0.247273</v>
      </c>
      <c r="J45" s="9" t="s">
        <v>85</v>
      </c>
      <c r="K45" s="9" t="s">
        <v>85</v>
      </c>
      <c r="L45" s="9">
        <v>0.287273</v>
      </c>
      <c r="M45" s="9" t="s">
        <v>85</v>
      </c>
      <c r="N45" s="9" t="s">
        <v>85</v>
      </c>
      <c r="O45" s="9">
        <v>0.289091</v>
      </c>
      <c r="P45" s="9" t="s">
        <v>85</v>
      </c>
      <c r="Q45" s="9" t="s">
        <v>85</v>
      </c>
      <c r="R45" s="9">
        <v>0.289091</v>
      </c>
      <c r="S45" s="9" t="s">
        <v>85</v>
      </c>
      <c r="T45" s="9" t="s">
        <v>85</v>
      </c>
      <c r="U45" s="9">
        <v>0.203636</v>
      </c>
      <c r="V45" s="9" t="s">
        <v>85</v>
      </c>
      <c r="W45" s="9" t="s">
        <v>85</v>
      </c>
      <c r="X45" s="9">
        <v>0.223636</v>
      </c>
      <c r="Y45" s="9" t="s">
        <v>85</v>
      </c>
      <c r="Z45" s="9" t="s">
        <v>85</v>
      </c>
      <c r="AA45" s="30">
        <v>0.283636</v>
      </c>
      <c r="AB45" s="9" t="s">
        <v>85</v>
      </c>
      <c r="AC45" s="9" t="s">
        <v>85</v>
      </c>
      <c r="AD45" s="30">
        <v>0.269091</v>
      </c>
      <c r="AE45" s="9" t="s">
        <v>85</v>
      </c>
      <c r="AF45" s="9" t="s">
        <v>85</v>
      </c>
      <c r="AG45" s="9">
        <v>0.210909</v>
      </c>
      <c r="AH45" s="9" t="s">
        <v>85</v>
      </c>
      <c r="AI45" s="9" t="s">
        <v>85</v>
      </c>
      <c r="AJ45" s="9">
        <v>0.227273</v>
      </c>
      <c r="AK45" s="9" t="s">
        <v>85</v>
      </c>
      <c r="AL45" s="9" t="s">
        <v>85</v>
      </c>
      <c r="AM45" s="9">
        <v>0.267273</v>
      </c>
      <c r="AN45" s="9" t="s">
        <v>85</v>
      </c>
      <c r="AO45" s="9" t="s">
        <v>85</v>
      </c>
      <c r="AP45" s="30">
        <v>0.292727</v>
      </c>
      <c r="AQ45" s="9" t="s">
        <v>85</v>
      </c>
      <c r="AR45" s="9" t="s">
        <v>85</v>
      </c>
      <c r="AS45" s="9">
        <v>0.243636</v>
      </c>
      <c r="AT45" s="9" t="s">
        <v>85</v>
      </c>
      <c r="AU45" s="9" t="s">
        <v>85</v>
      </c>
      <c r="AV45" s="9">
        <v>0.236364</v>
      </c>
      <c r="AW45" s="9" t="s">
        <v>85</v>
      </c>
      <c r="AX45" s="9" t="s">
        <v>85</v>
      </c>
      <c r="AY45" s="9">
        <v>0.290909</v>
      </c>
      <c r="AZ45" s="9" t="s">
        <v>85</v>
      </c>
      <c r="BA45" s="9" t="s">
        <v>85</v>
      </c>
      <c r="BB45" s="30">
        <v>0.243636</v>
      </c>
      <c r="BC45" s="9" t="s">
        <v>85</v>
      </c>
      <c r="BD45" s="10" t="s">
        <v>85</v>
      </c>
      <c r="BE45" s="10" t="s">
        <v>85</v>
      </c>
      <c r="BF45" s="9" t="s">
        <v>85</v>
      </c>
      <c r="BG45" s="6"/>
      <c r="BH45" s="6" t="str">
        <f t="shared" si="1"/>
        <v>5B_Fold_Median</v>
      </c>
      <c r="BI45" s="6" t="str">
        <f t="shared" si="2"/>
        <v>5BN_Fold_Median</v>
      </c>
      <c r="BJ45" s="6" t="str">
        <f t="shared" si="3"/>
        <v>12BN_Fold_Median</v>
      </c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</row>
    <row r="46" ht="15.75" customHeight="1">
      <c r="A46" s="1" t="s">
        <v>140</v>
      </c>
      <c r="B46" s="9" t="s">
        <v>85</v>
      </c>
      <c r="C46" s="9">
        <v>0.803213</v>
      </c>
      <c r="D46" s="9" t="s">
        <v>85</v>
      </c>
      <c r="E46" s="9" t="s">
        <v>85</v>
      </c>
      <c r="F46" s="30">
        <v>0.795180738</v>
      </c>
      <c r="G46" s="9" t="s">
        <v>85</v>
      </c>
      <c r="H46" s="9" t="s">
        <v>85</v>
      </c>
      <c r="I46" s="9">
        <v>0.787149</v>
      </c>
      <c r="J46" s="9" t="s">
        <v>85</v>
      </c>
      <c r="K46" s="9" t="s">
        <v>85</v>
      </c>
      <c r="L46" s="9">
        <v>0.803213</v>
      </c>
      <c r="M46" s="9" t="s">
        <v>85</v>
      </c>
      <c r="N46" s="9" t="s">
        <v>85</v>
      </c>
      <c r="O46" s="9">
        <v>0.803213</v>
      </c>
      <c r="P46" s="9" t="s">
        <v>85</v>
      </c>
      <c r="Q46" s="9" t="s">
        <v>85</v>
      </c>
      <c r="R46" s="9">
        <v>0.803213</v>
      </c>
      <c r="S46" s="9" t="s">
        <v>85</v>
      </c>
      <c r="T46" s="9" t="s">
        <v>85</v>
      </c>
      <c r="U46" s="9">
        <v>0.799197</v>
      </c>
      <c r="V46" s="9" t="s">
        <v>85</v>
      </c>
      <c r="W46" s="9" t="s">
        <v>85</v>
      </c>
      <c r="X46" s="9">
        <v>0.795181</v>
      </c>
      <c r="Y46" s="9" t="s">
        <v>85</v>
      </c>
      <c r="Z46" s="9" t="s">
        <v>85</v>
      </c>
      <c r="AA46" s="30">
        <v>0.799197</v>
      </c>
      <c r="AB46" s="9" t="s">
        <v>85</v>
      </c>
      <c r="AC46" s="9" t="s">
        <v>85</v>
      </c>
      <c r="AD46" s="30">
        <v>0.811245</v>
      </c>
      <c r="AE46" s="9" t="s">
        <v>85</v>
      </c>
      <c r="AF46" s="9" t="s">
        <v>85</v>
      </c>
      <c r="AG46" s="9">
        <v>0.799197</v>
      </c>
      <c r="AH46" s="9" t="s">
        <v>85</v>
      </c>
      <c r="AI46" s="9" t="s">
        <v>85</v>
      </c>
      <c r="AJ46" s="9">
        <v>0.799197</v>
      </c>
      <c r="AK46" s="9" t="s">
        <v>85</v>
      </c>
      <c r="AL46" s="9" t="s">
        <v>85</v>
      </c>
      <c r="AM46" s="9">
        <v>0.807229</v>
      </c>
      <c r="AN46" s="9" t="s">
        <v>85</v>
      </c>
      <c r="AO46" s="9" t="s">
        <v>85</v>
      </c>
      <c r="AP46" s="30">
        <v>0.807229</v>
      </c>
      <c r="AQ46" s="9" t="s">
        <v>85</v>
      </c>
      <c r="AR46" s="9" t="s">
        <v>85</v>
      </c>
      <c r="AS46" s="9">
        <v>0.811245</v>
      </c>
      <c r="AT46" s="9" t="s">
        <v>85</v>
      </c>
      <c r="AU46" s="9" t="s">
        <v>85</v>
      </c>
      <c r="AV46" s="9">
        <v>0.811245</v>
      </c>
      <c r="AW46" s="9" t="s">
        <v>85</v>
      </c>
      <c r="AX46" s="9" t="s">
        <v>85</v>
      </c>
      <c r="AY46" s="9">
        <v>0.815261</v>
      </c>
      <c r="AZ46" s="9" t="s">
        <v>85</v>
      </c>
      <c r="BA46" s="9" t="s">
        <v>85</v>
      </c>
      <c r="BB46" s="30">
        <v>0.839357</v>
      </c>
      <c r="BC46" s="9" t="s">
        <v>85</v>
      </c>
      <c r="BD46" s="10" t="s">
        <v>85</v>
      </c>
      <c r="BE46" s="10" t="s">
        <v>85</v>
      </c>
      <c r="BF46" s="9" t="s">
        <v>85</v>
      </c>
      <c r="BG46" s="6"/>
      <c r="BH46" s="6" t="str">
        <f t="shared" si="1"/>
        <v>20V_Fold_Median</v>
      </c>
      <c r="BI46" s="6" t="str">
        <f t="shared" si="2"/>
        <v>20B_Fold_Median</v>
      </c>
      <c r="BJ46" s="6" t="str">
        <f t="shared" si="3"/>
        <v>10BN_Fold_Median</v>
      </c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</row>
    <row r="47" ht="15.75" customHeight="1">
      <c r="A47" s="1" t="s">
        <v>141</v>
      </c>
      <c r="B47" s="9" t="s">
        <v>85</v>
      </c>
      <c r="C47" s="9">
        <v>0.73494</v>
      </c>
      <c r="D47" s="9" t="s">
        <v>85</v>
      </c>
      <c r="E47" s="9" t="s">
        <v>85</v>
      </c>
      <c r="F47" s="30">
        <v>0.710843384</v>
      </c>
      <c r="G47" s="9" t="s">
        <v>85</v>
      </c>
      <c r="H47" s="9" t="s">
        <v>85</v>
      </c>
      <c r="I47" s="9">
        <v>0.751004</v>
      </c>
      <c r="J47" s="9" t="s">
        <v>85</v>
      </c>
      <c r="K47" s="9" t="s">
        <v>85</v>
      </c>
      <c r="L47" s="9">
        <v>0.75502</v>
      </c>
      <c r="M47" s="9" t="s">
        <v>85</v>
      </c>
      <c r="N47" s="9" t="s">
        <v>85</v>
      </c>
      <c r="O47" s="9">
        <v>0.75502</v>
      </c>
      <c r="P47" s="9" t="s">
        <v>85</v>
      </c>
      <c r="Q47" s="9" t="s">
        <v>85</v>
      </c>
      <c r="R47" s="9">
        <v>0.767068</v>
      </c>
      <c r="S47" s="9" t="s">
        <v>85</v>
      </c>
      <c r="T47" s="9" t="s">
        <v>85</v>
      </c>
      <c r="U47" s="9">
        <v>0.751004</v>
      </c>
      <c r="V47" s="9" t="s">
        <v>85</v>
      </c>
      <c r="W47" s="9" t="s">
        <v>85</v>
      </c>
      <c r="X47" s="9">
        <v>0.767068</v>
      </c>
      <c r="Y47" s="9" t="s">
        <v>85</v>
      </c>
      <c r="Z47" s="9" t="s">
        <v>85</v>
      </c>
      <c r="AA47" s="30">
        <v>0.759036</v>
      </c>
      <c r="AB47" s="9" t="s">
        <v>85</v>
      </c>
      <c r="AC47" s="9" t="s">
        <v>85</v>
      </c>
      <c r="AD47" s="30">
        <v>0.767068</v>
      </c>
      <c r="AE47" s="9" t="s">
        <v>85</v>
      </c>
      <c r="AF47" s="9" t="s">
        <v>85</v>
      </c>
      <c r="AG47" s="9">
        <v>0.75502</v>
      </c>
      <c r="AH47" s="9" t="s">
        <v>85</v>
      </c>
      <c r="AI47" s="9" t="s">
        <v>85</v>
      </c>
      <c r="AJ47" s="9">
        <v>0.742972</v>
      </c>
      <c r="AK47" s="9" t="s">
        <v>85</v>
      </c>
      <c r="AL47" s="9" t="s">
        <v>85</v>
      </c>
      <c r="AM47" s="9">
        <v>0.7751</v>
      </c>
      <c r="AN47" s="9" t="s">
        <v>85</v>
      </c>
      <c r="AO47" s="9" t="s">
        <v>85</v>
      </c>
      <c r="AP47" s="30">
        <v>0.759036</v>
      </c>
      <c r="AQ47" s="9" t="s">
        <v>85</v>
      </c>
      <c r="AR47" s="9" t="s">
        <v>85</v>
      </c>
      <c r="AS47" s="9">
        <v>0.73494</v>
      </c>
      <c r="AT47" s="9" t="s">
        <v>85</v>
      </c>
      <c r="AU47" s="9" t="s">
        <v>85</v>
      </c>
      <c r="AV47" s="9">
        <v>0.73494</v>
      </c>
      <c r="AW47" s="9" t="s">
        <v>85</v>
      </c>
      <c r="AX47" s="9" t="s">
        <v>85</v>
      </c>
      <c r="AY47" s="9">
        <v>0.481928</v>
      </c>
      <c r="AZ47" s="9" t="s">
        <v>85</v>
      </c>
      <c r="BA47" s="9" t="s">
        <v>85</v>
      </c>
      <c r="BB47" s="30">
        <v>0.759036</v>
      </c>
      <c r="BC47" s="9" t="s">
        <v>85</v>
      </c>
      <c r="BD47" s="10" t="s">
        <v>85</v>
      </c>
      <c r="BE47" s="10" t="s">
        <v>85</v>
      </c>
      <c r="BF47" s="9" t="s">
        <v>85</v>
      </c>
      <c r="BG47" s="6"/>
      <c r="BH47" s="6" t="str">
        <f t="shared" si="1"/>
        <v>12B_Fold_Median</v>
      </c>
      <c r="BI47" s="6" t="str">
        <f t="shared" si="2"/>
        <v>8BN_Fold_Median</v>
      </c>
      <c r="BJ47" s="6" t="str">
        <f t="shared" si="3"/>
        <v>8BN_Fold_Median</v>
      </c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</row>
    <row r="48" ht="15.75" customHeight="1">
      <c r="A48" s="1" t="s">
        <v>142</v>
      </c>
      <c r="B48" s="9" t="s">
        <v>85</v>
      </c>
      <c r="C48" s="9">
        <v>0.921283</v>
      </c>
      <c r="D48" s="9" t="s">
        <v>85</v>
      </c>
      <c r="E48" s="9" t="s">
        <v>85</v>
      </c>
      <c r="F48" s="30">
        <v>0.922254622</v>
      </c>
      <c r="G48" s="9" t="s">
        <v>85</v>
      </c>
      <c r="H48" s="9" t="s">
        <v>85</v>
      </c>
      <c r="I48" s="9">
        <v>0.83965</v>
      </c>
      <c r="J48" s="9" t="s">
        <v>85</v>
      </c>
      <c r="K48" s="9" t="s">
        <v>85</v>
      </c>
      <c r="L48" s="9">
        <v>0.836735</v>
      </c>
      <c r="M48" s="9" t="s">
        <v>85</v>
      </c>
      <c r="N48" s="9" t="s">
        <v>85</v>
      </c>
      <c r="O48" s="9">
        <v>0.909621</v>
      </c>
      <c r="P48" s="9" t="s">
        <v>85</v>
      </c>
      <c r="Q48" s="9" t="s">
        <v>85</v>
      </c>
      <c r="R48" s="9">
        <v>0.912536</v>
      </c>
      <c r="S48" s="9" t="s">
        <v>85</v>
      </c>
      <c r="T48" s="9" t="s">
        <v>85</v>
      </c>
      <c r="U48" s="9">
        <v>0.93586</v>
      </c>
      <c r="V48" s="9" t="s">
        <v>85</v>
      </c>
      <c r="W48" s="9" t="s">
        <v>85</v>
      </c>
      <c r="X48" s="9">
        <v>0.936832</v>
      </c>
      <c r="Y48" s="9" t="s">
        <v>85</v>
      </c>
      <c r="Z48" s="9" t="s">
        <v>85</v>
      </c>
      <c r="AA48" s="30">
        <v>0.922255</v>
      </c>
      <c r="AB48" s="9" t="s">
        <v>85</v>
      </c>
      <c r="AC48" s="9" t="s">
        <v>85</v>
      </c>
      <c r="AD48" s="30">
        <v>0.924198</v>
      </c>
      <c r="AE48" s="9" t="s">
        <v>85</v>
      </c>
      <c r="AF48" s="9" t="s">
        <v>85</v>
      </c>
      <c r="AG48" s="9">
        <v>0.886297</v>
      </c>
      <c r="AH48" s="9" t="s">
        <v>85</v>
      </c>
      <c r="AI48" s="9" t="s">
        <v>85</v>
      </c>
      <c r="AJ48" s="9">
        <v>0.901846</v>
      </c>
      <c r="AK48" s="9" t="s">
        <v>85</v>
      </c>
      <c r="AL48" s="9" t="s">
        <v>85</v>
      </c>
      <c r="AM48" s="9">
        <v>0.921283</v>
      </c>
      <c r="AN48" s="9" t="s">
        <v>85</v>
      </c>
      <c r="AO48" s="9" t="s">
        <v>85</v>
      </c>
      <c r="AP48" s="30">
        <v>0.922255</v>
      </c>
      <c r="AQ48" s="9" t="s">
        <v>85</v>
      </c>
      <c r="AR48" s="9" t="s">
        <v>85</v>
      </c>
      <c r="AS48" s="9">
        <v>0.8931</v>
      </c>
      <c r="AT48" s="9" t="s">
        <v>85</v>
      </c>
      <c r="AU48" s="9" t="s">
        <v>85</v>
      </c>
      <c r="AV48" s="9">
        <v>0.896987</v>
      </c>
      <c r="AW48" s="9" t="s">
        <v>85</v>
      </c>
      <c r="AX48" s="9" t="s">
        <v>85</v>
      </c>
      <c r="AY48" s="9">
        <v>0.880466</v>
      </c>
      <c r="AZ48" s="9" t="s">
        <v>85</v>
      </c>
      <c r="BA48" s="9" t="s">
        <v>85</v>
      </c>
      <c r="BB48" s="30">
        <v>0.90379</v>
      </c>
      <c r="BC48" s="9" t="s">
        <v>85</v>
      </c>
      <c r="BD48" s="10" t="s">
        <v>85</v>
      </c>
      <c r="BE48" s="10" t="s">
        <v>85</v>
      </c>
      <c r="BF48" s="9" t="s">
        <v>85</v>
      </c>
      <c r="BG48" s="6"/>
      <c r="BH48" s="6" t="str">
        <f t="shared" si="1"/>
        <v>8VB_Fold_Median</v>
      </c>
      <c r="BI48" s="6" t="str">
        <f t="shared" si="2"/>
        <v>8V_Fold_Median</v>
      </c>
      <c r="BJ48" s="6" t="str">
        <f t="shared" si="3"/>
        <v>10BN_Fold_Median</v>
      </c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</row>
    <row r="49" ht="15.75" customHeight="1">
      <c r="A49" s="1" t="s">
        <v>143</v>
      </c>
      <c r="B49" s="9" t="s">
        <v>85</v>
      </c>
      <c r="C49" s="9">
        <v>0.674667</v>
      </c>
      <c r="D49" s="9" t="s">
        <v>85</v>
      </c>
      <c r="E49" s="9" t="s">
        <v>85</v>
      </c>
      <c r="F49" s="30">
        <v>0.472000003</v>
      </c>
      <c r="G49" s="9" t="s">
        <v>85</v>
      </c>
      <c r="H49" s="9" t="s">
        <v>85</v>
      </c>
      <c r="I49" s="9">
        <v>0.6</v>
      </c>
      <c r="J49" s="9" t="s">
        <v>85</v>
      </c>
      <c r="K49" s="9" t="s">
        <v>85</v>
      </c>
      <c r="L49" s="9">
        <v>0.6</v>
      </c>
      <c r="M49" s="9" t="s">
        <v>85</v>
      </c>
      <c r="N49" s="9" t="s">
        <v>85</v>
      </c>
      <c r="O49" s="9">
        <v>0.672</v>
      </c>
      <c r="P49" s="9" t="s">
        <v>85</v>
      </c>
      <c r="Q49" s="9" t="s">
        <v>85</v>
      </c>
      <c r="R49" s="9">
        <v>0.664</v>
      </c>
      <c r="S49" s="9" t="s">
        <v>85</v>
      </c>
      <c r="T49" s="9" t="s">
        <v>85</v>
      </c>
      <c r="U49" s="9">
        <v>0.578667</v>
      </c>
      <c r="V49" s="9" t="s">
        <v>85</v>
      </c>
      <c r="W49" s="9" t="s">
        <v>85</v>
      </c>
      <c r="X49" s="9">
        <v>0.568</v>
      </c>
      <c r="Y49" s="9" t="s">
        <v>85</v>
      </c>
      <c r="Z49" s="9" t="s">
        <v>85</v>
      </c>
      <c r="AA49" s="30">
        <v>0.642667</v>
      </c>
      <c r="AB49" s="9" t="s">
        <v>85</v>
      </c>
      <c r="AC49" s="9" t="s">
        <v>85</v>
      </c>
      <c r="AD49" s="30">
        <v>0.653333</v>
      </c>
      <c r="AE49" s="9" t="s">
        <v>85</v>
      </c>
      <c r="AF49" s="9" t="s">
        <v>85</v>
      </c>
      <c r="AG49" s="9">
        <v>0.576</v>
      </c>
      <c r="AH49" s="9" t="s">
        <v>85</v>
      </c>
      <c r="AI49" s="9" t="s">
        <v>85</v>
      </c>
      <c r="AJ49" s="9">
        <v>0.573333</v>
      </c>
      <c r="AK49" s="9" t="s">
        <v>85</v>
      </c>
      <c r="AL49" s="9" t="s">
        <v>85</v>
      </c>
      <c r="AM49" s="9">
        <v>0.648</v>
      </c>
      <c r="AN49" s="9" t="s">
        <v>85</v>
      </c>
      <c r="AO49" s="9" t="s">
        <v>85</v>
      </c>
      <c r="AP49" s="30">
        <v>0.677333</v>
      </c>
      <c r="AQ49" s="9" t="s">
        <v>85</v>
      </c>
      <c r="AR49" s="9" t="s">
        <v>85</v>
      </c>
      <c r="AS49" s="9">
        <v>0.578667</v>
      </c>
      <c r="AT49" s="9" t="s">
        <v>85</v>
      </c>
      <c r="AU49" s="9" t="s">
        <v>85</v>
      </c>
      <c r="AV49" s="9">
        <v>0.594667</v>
      </c>
      <c r="AW49" s="9" t="s">
        <v>85</v>
      </c>
      <c r="AX49" s="9" t="s">
        <v>85</v>
      </c>
      <c r="AY49" s="9">
        <v>0.634667</v>
      </c>
      <c r="AZ49" s="9" t="s">
        <v>85</v>
      </c>
      <c r="BA49" s="9" t="s">
        <v>85</v>
      </c>
      <c r="BB49" s="30">
        <v>0.597333</v>
      </c>
      <c r="BC49" s="9" t="s">
        <v>85</v>
      </c>
      <c r="BD49" s="10" t="s">
        <v>85</v>
      </c>
      <c r="BE49" s="10" t="s">
        <v>85</v>
      </c>
      <c r="BF49" s="9" t="s">
        <v>85</v>
      </c>
      <c r="BG49" s="6"/>
      <c r="BH49" s="6" t="str">
        <f t="shared" si="1"/>
        <v>12BN_Fold_Median</v>
      </c>
      <c r="BI49" s="6" t="str">
        <f t="shared" si="2"/>
        <v>5B_Fold_Median</v>
      </c>
      <c r="BJ49" s="6" t="str">
        <f t="shared" si="3"/>
        <v>8B_Fold_Median</v>
      </c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</row>
    <row r="50" ht="15.75" customHeight="1">
      <c r="A50" s="1" t="s">
        <v>144</v>
      </c>
      <c r="B50" s="9" t="s">
        <v>85</v>
      </c>
      <c r="C50" s="9">
        <v>0.540984</v>
      </c>
      <c r="D50" s="9" t="s">
        <v>85</v>
      </c>
      <c r="E50" s="9" t="s">
        <v>85</v>
      </c>
      <c r="F50" s="30">
        <v>0.540983617</v>
      </c>
      <c r="G50" s="9" t="s">
        <v>85</v>
      </c>
      <c r="H50" s="9" t="s">
        <v>85</v>
      </c>
      <c r="I50" s="9">
        <v>0.540984</v>
      </c>
      <c r="J50" s="9" t="s">
        <v>85</v>
      </c>
      <c r="K50" s="9" t="s">
        <v>85</v>
      </c>
      <c r="L50" s="9">
        <v>0.540984</v>
      </c>
      <c r="M50" s="9" t="s">
        <v>85</v>
      </c>
      <c r="N50" s="9" t="s">
        <v>85</v>
      </c>
      <c r="O50" s="9">
        <v>0.540984</v>
      </c>
      <c r="P50" s="9" t="s">
        <v>85</v>
      </c>
      <c r="Q50" s="9" t="s">
        <v>85</v>
      </c>
      <c r="R50" s="9">
        <v>0.540984</v>
      </c>
      <c r="S50" s="9" t="s">
        <v>85</v>
      </c>
      <c r="T50" s="9" t="s">
        <v>85</v>
      </c>
      <c r="U50" s="9">
        <v>0.540984</v>
      </c>
      <c r="V50" s="9" t="s">
        <v>85</v>
      </c>
      <c r="W50" s="9" t="s">
        <v>85</v>
      </c>
      <c r="X50" s="9">
        <v>0.540984</v>
      </c>
      <c r="Y50" s="9" t="s">
        <v>85</v>
      </c>
      <c r="Z50" s="9" t="s">
        <v>85</v>
      </c>
      <c r="AA50" s="30">
        <v>0.540984</v>
      </c>
      <c r="AB50" s="9" t="s">
        <v>85</v>
      </c>
      <c r="AC50" s="9" t="s">
        <v>85</v>
      </c>
      <c r="AD50" s="30">
        <v>0.540984</v>
      </c>
      <c r="AE50" s="9" t="s">
        <v>85</v>
      </c>
      <c r="AF50" s="9" t="s">
        <v>85</v>
      </c>
      <c r="AG50" s="9">
        <v>0.540984</v>
      </c>
      <c r="AH50" s="9" t="s">
        <v>85</v>
      </c>
      <c r="AI50" s="9" t="s">
        <v>85</v>
      </c>
      <c r="AJ50" s="9">
        <v>0.540984</v>
      </c>
      <c r="AK50" s="9" t="s">
        <v>85</v>
      </c>
      <c r="AL50" s="9" t="s">
        <v>85</v>
      </c>
      <c r="AM50" s="9">
        <v>0.540984</v>
      </c>
      <c r="AN50" s="9" t="s">
        <v>85</v>
      </c>
      <c r="AO50" s="9" t="s">
        <v>85</v>
      </c>
      <c r="AP50" s="30">
        <v>0.540984</v>
      </c>
      <c r="AQ50" s="9" t="s">
        <v>85</v>
      </c>
      <c r="AR50" s="9" t="s">
        <v>85</v>
      </c>
      <c r="AS50" s="9">
        <v>0.540984</v>
      </c>
      <c r="AT50" s="9" t="s">
        <v>85</v>
      </c>
      <c r="AU50" s="9" t="s">
        <v>85</v>
      </c>
      <c r="AV50" s="9">
        <v>0.540984</v>
      </c>
      <c r="AW50" s="9" t="s">
        <v>85</v>
      </c>
      <c r="AX50" s="9" t="s">
        <v>85</v>
      </c>
      <c r="AY50" s="9">
        <v>0.540984</v>
      </c>
      <c r="AZ50" s="9" t="s">
        <v>85</v>
      </c>
      <c r="BA50" s="9" t="s">
        <v>85</v>
      </c>
      <c r="BB50" s="30">
        <v>0.540984</v>
      </c>
      <c r="BC50" s="9" t="s">
        <v>85</v>
      </c>
      <c r="BD50" s="10" t="s">
        <v>85</v>
      </c>
      <c r="BE50" s="10" t="s">
        <v>85</v>
      </c>
      <c r="BF50" s="9" t="s">
        <v>85</v>
      </c>
      <c r="BG50" s="6"/>
      <c r="BH50" s="6" t="str">
        <f t="shared" si="1"/>
        <v>5B_Fold_Median</v>
      </c>
      <c r="BI50" s="6" t="str">
        <f t="shared" si="2"/>
        <v>5B_Fold_Median</v>
      </c>
      <c r="BJ50" s="6" t="str">
        <f t="shared" si="3"/>
        <v>5B_Fold_Median</v>
      </c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</row>
    <row r="51" ht="15.75" customHeight="1">
      <c r="A51" s="1" t="s">
        <v>145</v>
      </c>
      <c r="B51" s="9" t="s">
        <v>85</v>
      </c>
      <c r="C51" s="9">
        <v>0.575342</v>
      </c>
      <c r="D51" s="9" t="s">
        <v>85</v>
      </c>
      <c r="E51" s="9" t="s">
        <v>85</v>
      </c>
      <c r="F51" s="30">
        <v>0.520547926</v>
      </c>
      <c r="G51" s="9" t="s">
        <v>85</v>
      </c>
      <c r="H51" s="9" t="s">
        <v>85</v>
      </c>
      <c r="I51" s="9">
        <v>0.60274</v>
      </c>
      <c r="J51" s="9" t="s">
        <v>85</v>
      </c>
      <c r="K51" s="9" t="s">
        <v>85</v>
      </c>
      <c r="L51" s="9">
        <v>0.589041</v>
      </c>
      <c r="M51" s="9" t="s">
        <v>85</v>
      </c>
      <c r="N51" s="9" t="s">
        <v>85</v>
      </c>
      <c r="O51" s="9">
        <v>0.575342</v>
      </c>
      <c r="P51" s="9" t="s">
        <v>85</v>
      </c>
      <c r="Q51" s="9" t="s">
        <v>85</v>
      </c>
      <c r="R51" s="9">
        <v>0.575342</v>
      </c>
      <c r="S51" s="9" t="s">
        <v>85</v>
      </c>
      <c r="T51" s="9" t="s">
        <v>85</v>
      </c>
      <c r="U51" s="9">
        <v>0.657534</v>
      </c>
      <c r="V51" s="9" t="s">
        <v>85</v>
      </c>
      <c r="W51" s="9" t="s">
        <v>85</v>
      </c>
      <c r="X51" s="9">
        <v>0.643836</v>
      </c>
      <c r="Y51" s="9" t="s">
        <v>85</v>
      </c>
      <c r="Z51" s="9" t="s">
        <v>85</v>
      </c>
      <c r="AA51" s="30">
        <v>0.575342</v>
      </c>
      <c r="AB51" s="9" t="s">
        <v>85</v>
      </c>
      <c r="AC51" s="9" t="s">
        <v>85</v>
      </c>
      <c r="AD51" s="30">
        <v>0.561644</v>
      </c>
      <c r="AE51" s="9" t="s">
        <v>85</v>
      </c>
      <c r="AF51" s="9" t="s">
        <v>85</v>
      </c>
      <c r="AG51" s="9">
        <v>0.589041</v>
      </c>
      <c r="AH51" s="9" t="s">
        <v>85</v>
      </c>
      <c r="AI51" s="9" t="s">
        <v>85</v>
      </c>
      <c r="AJ51" s="9">
        <v>0.575342</v>
      </c>
      <c r="AK51" s="9" t="s">
        <v>85</v>
      </c>
      <c r="AL51" s="9" t="s">
        <v>85</v>
      </c>
      <c r="AM51" s="9">
        <v>0.589041</v>
      </c>
      <c r="AN51" s="9" t="s">
        <v>85</v>
      </c>
      <c r="AO51" s="9" t="s">
        <v>85</v>
      </c>
      <c r="AP51" s="30">
        <v>0.60274</v>
      </c>
      <c r="AQ51" s="9" t="s">
        <v>85</v>
      </c>
      <c r="AR51" s="9" t="s">
        <v>85</v>
      </c>
      <c r="AS51" s="9">
        <v>0.561644</v>
      </c>
      <c r="AT51" s="9" t="s">
        <v>85</v>
      </c>
      <c r="AU51" s="9" t="s">
        <v>85</v>
      </c>
      <c r="AV51" s="9">
        <v>0.630137</v>
      </c>
      <c r="AW51" s="9" t="s">
        <v>85</v>
      </c>
      <c r="AX51" s="9" t="s">
        <v>85</v>
      </c>
      <c r="AY51" s="9">
        <v>0.589041</v>
      </c>
      <c r="AZ51" s="9" t="s">
        <v>85</v>
      </c>
      <c r="BA51" s="9" t="s">
        <v>85</v>
      </c>
      <c r="BB51" s="30">
        <v>0.60274</v>
      </c>
      <c r="BC51" s="9" t="s">
        <v>85</v>
      </c>
      <c r="BD51" s="10" t="s">
        <v>85</v>
      </c>
      <c r="BE51" s="10" t="s">
        <v>85</v>
      </c>
      <c r="BF51" s="9" t="s">
        <v>85</v>
      </c>
      <c r="BG51" s="6"/>
      <c r="BH51" s="6" t="str">
        <f t="shared" si="1"/>
        <v>8V_Fold_Median</v>
      </c>
      <c r="BI51" s="6" t="str">
        <f t="shared" si="2"/>
        <v>8VB_Fold_Median</v>
      </c>
      <c r="BJ51" s="6" t="str">
        <f t="shared" si="3"/>
        <v>12VB_Fold_Median</v>
      </c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</row>
    <row r="52" ht="15.75" customHeight="1">
      <c r="A52" s="1" t="s">
        <v>146</v>
      </c>
      <c r="B52" s="9" t="s">
        <v>85</v>
      </c>
      <c r="C52" s="9">
        <v>0.591471</v>
      </c>
      <c r="D52" s="9" t="s">
        <v>85</v>
      </c>
      <c r="E52" s="9" t="s">
        <v>85</v>
      </c>
      <c r="F52" s="30">
        <v>0.573134303</v>
      </c>
      <c r="G52" s="9" t="s">
        <v>85</v>
      </c>
      <c r="H52" s="9" t="s">
        <v>85</v>
      </c>
      <c r="I52" s="9">
        <v>0.686141</v>
      </c>
      <c r="J52" s="9" t="s">
        <v>85</v>
      </c>
      <c r="K52" s="9" t="s">
        <v>85</v>
      </c>
      <c r="L52" s="9">
        <v>0.58209</v>
      </c>
      <c r="M52" s="9" t="s">
        <v>85</v>
      </c>
      <c r="N52" s="9" t="s">
        <v>85</v>
      </c>
      <c r="O52" s="9">
        <v>0.663966</v>
      </c>
      <c r="P52" s="9" t="s">
        <v>85</v>
      </c>
      <c r="Q52" s="9" t="s">
        <v>85</v>
      </c>
      <c r="R52" s="9">
        <v>0.672495</v>
      </c>
      <c r="S52" s="9" t="s">
        <v>85</v>
      </c>
      <c r="T52" s="9" t="s">
        <v>85</v>
      </c>
      <c r="U52" s="9">
        <v>0.4742</v>
      </c>
      <c r="V52" s="9" t="s">
        <v>85</v>
      </c>
      <c r="W52" s="9" t="s">
        <v>85</v>
      </c>
      <c r="X52" s="9">
        <v>0.564606</v>
      </c>
      <c r="Y52" s="9" t="s">
        <v>85</v>
      </c>
      <c r="Z52" s="9" t="s">
        <v>85</v>
      </c>
      <c r="AA52" s="30">
        <v>0.697655</v>
      </c>
      <c r="AB52" s="9" t="s">
        <v>85</v>
      </c>
      <c r="AC52" s="9" t="s">
        <v>85</v>
      </c>
      <c r="AD52" s="30">
        <v>0.634542</v>
      </c>
      <c r="AE52" s="9" t="s">
        <v>85</v>
      </c>
      <c r="AF52" s="9" t="s">
        <v>85</v>
      </c>
      <c r="AG52" s="9">
        <v>0.596588</v>
      </c>
      <c r="AH52" s="9" t="s">
        <v>85</v>
      </c>
      <c r="AI52" s="9" t="s">
        <v>85</v>
      </c>
      <c r="AJ52" s="9">
        <v>0.4742</v>
      </c>
      <c r="AK52" s="9" t="s">
        <v>85</v>
      </c>
      <c r="AL52" s="9" t="s">
        <v>85</v>
      </c>
      <c r="AM52" s="9">
        <v>0.701493</v>
      </c>
      <c r="AN52" s="9" t="s">
        <v>85</v>
      </c>
      <c r="AO52" s="9" t="s">
        <v>85</v>
      </c>
      <c r="AP52" s="30">
        <v>0.690832</v>
      </c>
      <c r="AQ52" s="9" t="s">
        <v>85</v>
      </c>
      <c r="AR52" s="9" t="s">
        <v>85</v>
      </c>
      <c r="AS52" s="9">
        <v>0.575267</v>
      </c>
      <c r="AT52" s="9" t="s">
        <v>85</v>
      </c>
      <c r="AU52" s="9" t="s">
        <v>85</v>
      </c>
      <c r="AV52" s="9">
        <v>0.553518</v>
      </c>
      <c r="AW52" s="9" t="s">
        <v>85</v>
      </c>
      <c r="AX52" s="9" t="s">
        <v>85</v>
      </c>
      <c r="AY52" s="9">
        <v>0.694669</v>
      </c>
      <c r="AZ52" s="9" t="s">
        <v>85</v>
      </c>
      <c r="BA52" s="9" t="s">
        <v>85</v>
      </c>
      <c r="BB52" s="30">
        <v>0.551386</v>
      </c>
      <c r="BC52" s="9" t="s">
        <v>85</v>
      </c>
      <c r="BD52" s="10" t="s">
        <v>85</v>
      </c>
      <c r="BE52" s="10" t="s">
        <v>85</v>
      </c>
      <c r="BF52" s="9" t="s">
        <v>85</v>
      </c>
      <c r="BG52" s="6"/>
      <c r="BH52" s="6" t="str">
        <f t="shared" si="1"/>
        <v>12B_Fold_Median</v>
      </c>
      <c r="BI52" s="6" t="str">
        <f t="shared" si="2"/>
        <v>10B_Fold_Median</v>
      </c>
      <c r="BJ52" s="6" t="str">
        <f t="shared" si="3"/>
        <v>20B_Fold_Median</v>
      </c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</row>
    <row r="53" ht="15.75" customHeight="1">
      <c r="A53" s="1" t="s">
        <v>147</v>
      </c>
      <c r="B53" s="9" t="s">
        <v>85</v>
      </c>
      <c r="C53" s="9">
        <v>0.916667</v>
      </c>
      <c r="D53" s="9" t="s">
        <v>85</v>
      </c>
      <c r="E53" s="9" t="s">
        <v>85</v>
      </c>
      <c r="F53" s="30">
        <v>0.916666687</v>
      </c>
      <c r="G53" s="9" t="s">
        <v>85</v>
      </c>
      <c r="H53" s="9" t="s">
        <v>85</v>
      </c>
      <c r="I53" s="9">
        <v>0.633333</v>
      </c>
      <c r="J53" s="9" t="s">
        <v>85</v>
      </c>
      <c r="K53" s="9" t="s">
        <v>85</v>
      </c>
      <c r="L53" s="9">
        <v>0.533333</v>
      </c>
      <c r="M53" s="9" t="s">
        <v>85</v>
      </c>
      <c r="N53" s="9" t="s">
        <v>85</v>
      </c>
      <c r="O53" s="9">
        <v>0.916667</v>
      </c>
      <c r="P53" s="9" t="s">
        <v>85</v>
      </c>
      <c r="Q53" s="9" t="s">
        <v>85</v>
      </c>
      <c r="R53" s="9">
        <v>0.883333</v>
      </c>
      <c r="S53" s="9" t="s">
        <v>85</v>
      </c>
      <c r="T53" s="9" t="s">
        <v>85</v>
      </c>
      <c r="U53" s="9">
        <v>0.55</v>
      </c>
      <c r="V53" s="9" t="s">
        <v>85</v>
      </c>
      <c r="W53" s="9" t="s">
        <v>85</v>
      </c>
      <c r="X53" s="9">
        <v>0.5</v>
      </c>
      <c r="Y53" s="9" t="s">
        <v>85</v>
      </c>
      <c r="Z53" s="9" t="s">
        <v>85</v>
      </c>
      <c r="AA53" s="30">
        <v>0.916667</v>
      </c>
      <c r="AB53" s="9" t="s">
        <v>85</v>
      </c>
      <c r="AC53" s="9" t="s">
        <v>85</v>
      </c>
      <c r="AD53" s="30">
        <v>0.933333</v>
      </c>
      <c r="AE53" s="9" t="s">
        <v>85</v>
      </c>
      <c r="AF53" s="9" t="s">
        <v>85</v>
      </c>
      <c r="AG53" s="9">
        <v>0.666667</v>
      </c>
      <c r="AH53" s="9" t="s">
        <v>85</v>
      </c>
      <c r="AI53" s="9" t="s">
        <v>85</v>
      </c>
      <c r="AJ53" s="9">
        <v>0.733333</v>
      </c>
      <c r="AK53" s="9" t="s">
        <v>85</v>
      </c>
      <c r="AL53" s="9" t="s">
        <v>85</v>
      </c>
      <c r="AM53" s="9">
        <v>0.883333</v>
      </c>
      <c r="AN53" s="9" t="s">
        <v>85</v>
      </c>
      <c r="AO53" s="9" t="s">
        <v>85</v>
      </c>
      <c r="AP53" s="30">
        <v>0.9</v>
      </c>
      <c r="AQ53" s="9" t="s">
        <v>85</v>
      </c>
      <c r="AR53" s="9" t="s">
        <v>85</v>
      </c>
      <c r="AS53" s="9">
        <v>0.616667</v>
      </c>
      <c r="AT53" s="9" t="s">
        <v>85</v>
      </c>
      <c r="AU53" s="9" t="s">
        <v>85</v>
      </c>
      <c r="AV53" s="9">
        <v>0.65</v>
      </c>
      <c r="AW53" s="9" t="s">
        <v>85</v>
      </c>
      <c r="AX53" s="9" t="s">
        <v>85</v>
      </c>
      <c r="AY53" s="9">
        <v>0.883333</v>
      </c>
      <c r="AZ53" s="9" t="s">
        <v>85</v>
      </c>
      <c r="BA53" s="9" t="s">
        <v>85</v>
      </c>
      <c r="BB53" s="30">
        <v>0.616667</v>
      </c>
      <c r="BC53" s="9" t="s">
        <v>85</v>
      </c>
      <c r="BD53" s="10" t="s">
        <v>85</v>
      </c>
      <c r="BE53" s="10" t="s">
        <v>85</v>
      </c>
      <c r="BF53" s="9" t="s">
        <v>85</v>
      </c>
      <c r="BG53" s="6"/>
      <c r="BH53" s="6" t="str">
        <f t="shared" si="1"/>
        <v>10BN_Fold_Median</v>
      </c>
      <c r="BI53" s="6" t="str">
        <f t="shared" si="2"/>
        <v>5B_Fold_Median</v>
      </c>
      <c r="BJ53" s="6" t="str">
        <f t="shared" si="3"/>
        <v>5B_Fold_Median</v>
      </c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</row>
    <row r="54" ht="15.75" customHeight="1">
      <c r="A54" s="1" t="s">
        <v>148</v>
      </c>
      <c r="B54" s="9" t="s">
        <v>85</v>
      </c>
      <c r="C54" s="9">
        <v>0.521053</v>
      </c>
      <c r="D54" s="9" t="s">
        <v>85</v>
      </c>
      <c r="E54" s="9" t="s">
        <v>85</v>
      </c>
      <c r="F54" s="30">
        <v>0.514473677</v>
      </c>
      <c r="G54" s="9" t="s">
        <v>85</v>
      </c>
      <c r="H54" s="9" t="s">
        <v>85</v>
      </c>
      <c r="I54" s="9">
        <v>0.544737</v>
      </c>
      <c r="J54" s="9" t="s">
        <v>85</v>
      </c>
      <c r="K54" s="9" t="s">
        <v>85</v>
      </c>
      <c r="L54" s="9">
        <v>0.528947</v>
      </c>
      <c r="M54" s="9" t="s">
        <v>85</v>
      </c>
      <c r="N54" s="9" t="s">
        <v>85</v>
      </c>
      <c r="O54" s="9">
        <v>0.527632</v>
      </c>
      <c r="P54" s="9" t="s">
        <v>85</v>
      </c>
      <c r="Q54" s="9" t="s">
        <v>85</v>
      </c>
      <c r="R54" s="9">
        <v>0.526316</v>
      </c>
      <c r="S54" s="9" t="s">
        <v>85</v>
      </c>
      <c r="T54" s="9" t="s">
        <v>85</v>
      </c>
      <c r="U54" s="9">
        <v>0.551316</v>
      </c>
      <c r="V54" s="9" t="s">
        <v>85</v>
      </c>
      <c r="W54" s="9" t="s">
        <v>85</v>
      </c>
      <c r="X54" s="9">
        <v>0.596053</v>
      </c>
      <c r="Y54" s="9" t="s">
        <v>85</v>
      </c>
      <c r="Z54" s="9" t="s">
        <v>85</v>
      </c>
      <c r="AA54" s="30">
        <v>0.542105</v>
      </c>
      <c r="AB54" s="9" t="s">
        <v>85</v>
      </c>
      <c r="AC54" s="9" t="s">
        <v>85</v>
      </c>
      <c r="AD54" s="30">
        <v>0.531579</v>
      </c>
      <c r="AE54" s="9" t="s">
        <v>85</v>
      </c>
      <c r="AF54" s="9" t="s">
        <v>85</v>
      </c>
      <c r="AG54" s="9">
        <v>0.517105</v>
      </c>
      <c r="AH54" s="9" t="s">
        <v>85</v>
      </c>
      <c r="AI54" s="9" t="s">
        <v>85</v>
      </c>
      <c r="AJ54" s="9">
        <v>0.530263</v>
      </c>
      <c r="AK54" s="9" t="s">
        <v>85</v>
      </c>
      <c r="AL54" s="9" t="s">
        <v>85</v>
      </c>
      <c r="AM54" s="9">
        <v>0.536842</v>
      </c>
      <c r="AN54" s="9" t="s">
        <v>85</v>
      </c>
      <c r="AO54" s="9" t="s">
        <v>85</v>
      </c>
      <c r="AP54" s="30">
        <v>0.553947</v>
      </c>
      <c r="AQ54" s="9" t="s">
        <v>85</v>
      </c>
      <c r="AR54" s="9" t="s">
        <v>85</v>
      </c>
      <c r="AS54" s="9">
        <v>0.536842</v>
      </c>
      <c r="AT54" s="9" t="s">
        <v>85</v>
      </c>
      <c r="AU54" s="9" t="s">
        <v>85</v>
      </c>
      <c r="AV54" s="9">
        <v>0.542105</v>
      </c>
      <c r="AW54" s="9" t="s">
        <v>85</v>
      </c>
      <c r="AX54" s="9" t="s">
        <v>85</v>
      </c>
      <c r="AY54" s="9">
        <v>0.525</v>
      </c>
      <c r="AZ54" s="9" t="s">
        <v>85</v>
      </c>
      <c r="BA54" s="9" t="s">
        <v>85</v>
      </c>
      <c r="BB54" s="30">
        <v>0.551316</v>
      </c>
      <c r="BC54" s="9" t="s">
        <v>85</v>
      </c>
      <c r="BD54" s="10" t="s">
        <v>85</v>
      </c>
      <c r="BE54" s="10" t="s">
        <v>85</v>
      </c>
      <c r="BF54" s="9" t="s">
        <v>85</v>
      </c>
      <c r="BG54" s="6"/>
      <c r="BH54" s="6" t="str">
        <f t="shared" si="1"/>
        <v>8VB_Fold_Median</v>
      </c>
      <c r="BI54" s="6" t="str">
        <f t="shared" si="2"/>
        <v>12BN_Fold_Median</v>
      </c>
      <c r="BJ54" s="6" t="str">
        <f t="shared" si="3"/>
        <v>8V_Fold_Median</v>
      </c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</row>
    <row r="55" ht="15.75" customHeight="1">
      <c r="A55" s="1" t="s">
        <v>149</v>
      </c>
      <c r="B55" s="9" t="s">
        <v>85</v>
      </c>
      <c r="C55" s="9">
        <v>0.564935</v>
      </c>
      <c r="D55" s="9" t="s">
        <v>85</v>
      </c>
      <c r="E55" s="9" t="s">
        <v>85</v>
      </c>
      <c r="F55" s="30">
        <v>0.558441579</v>
      </c>
      <c r="G55" s="9" t="s">
        <v>85</v>
      </c>
      <c r="H55" s="9" t="s">
        <v>85</v>
      </c>
      <c r="I55" s="9">
        <v>0.577922</v>
      </c>
      <c r="J55" s="9" t="s">
        <v>85</v>
      </c>
      <c r="K55" s="9" t="s">
        <v>85</v>
      </c>
      <c r="L55" s="9">
        <v>0.584416</v>
      </c>
      <c r="M55" s="9" t="s">
        <v>85</v>
      </c>
      <c r="N55" s="9" t="s">
        <v>85</v>
      </c>
      <c r="O55" s="9">
        <v>0.584416</v>
      </c>
      <c r="P55" s="9" t="s">
        <v>85</v>
      </c>
      <c r="Q55" s="9" t="s">
        <v>85</v>
      </c>
      <c r="R55" s="9">
        <v>0.584416</v>
      </c>
      <c r="S55" s="9" t="s">
        <v>85</v>
      </c>
      <c r="T55" s="9" t="s">
        <v>85</v>
      </c>
      <c r="U55" s="9">
        <v>0.577922</v>
      </c>
      <c r="V55" s="9" t="s">
        <v>85</v>
      </c>
      <c r="W55" s="9" t="s">
        <v>85</v>
      </c>
      <c r="X55" s="9">
        <v>0.571429</v>
      </c>
      <c r="Y55" s="9" t="s">
        <v>85</v>
      </c>
      <c r="Z55" s="9" t="s">
        <v>85</v>
      </c>
      <c r="AA55" s="30">
        <v>0.584416</v>
      </c>
      <c r="AB55" s="9" t="s">
        <v>85</v>
      </c>
      <c r="AC55" s="9" t="s">
        <v>85</v>
      </c>
      <c r="AD55" s="30">
        <v>0.584416</v>
      </c>
      <c r="AE55" s="9" t="s">
        <v>85</v>
      </c>
      <c r="AF55" s="9" t="s">
        <v>85</v>
      </c>
      <c r="AG55" s="9">
        <v>0.571429</v>
      </c>
      <c r="AH55" s="9" t="s">
        <v>85</v>
      </c>
      <c r="AI55" s="9" t="s">
        <v>85</v>
      </c>
      <c r="AJ55" s="9">
        <v>0.564935</v>
      </c>
      <c r="AK55" s="9" t="s">
        <v>85</v>
      </c>
      <c r="AL55" s="9" t="s">
        <v>85</v>
      </c>
      <c r="AM55" s="9">
        <v>0.584416</v>
      </c>
      <c r="AN55" s="9" t="s">
        <v>85</v>
      </c>
      <c r="AO55" s="9" t="s">
        <v>85</v>
      </c>
      <c r="AP55" s="30">
        <v>0.577922</v>
      </c>
      <c r="AQ55" s="9" t="s">
        <v>85</v>
      </c>
      <c r="AR55" s="9" t="s">
        <v>85</v>
      </c>
      <c r="AS55" s="9">
        <v>0.577922</v>
      </c>
      <c r="AT55" s="9" t="s">
        <v>85</v>
      </c>
      <c r="AU55" s="9" t="s">
        <v>85</v>
      </c>
      <c r="AV55" s="9">
        <v>0.584416</v>
      </c>
      <c r="AW55" s="9" t="s">
        <v>85</v>
      </c>
      <c r="AX55" s="9" t="s">
        <v>85</v>
      </c>
      <c r="AY55" s="9">
        <v>0.571429</v>
      </c>
      <c r="AZ55" s="9" t="s">
        <v>85</v>
      </c>
      <c r="BA55" s="9" t="s">
        <v>85</v>
      </c>
      <c r="BB55" s="30">
        <v>0.584416</v>
      </c>
      <c r="BC55" s="9" t="s">
        <v>85</v>
      </c>
      <c r="BD55" s="10" t="s">
        <v>85</v>
      </c>
      <c r="BE55" s="10" t="s">
        <v>85</v>
      </c>
      <c r="BF55" s="9" t="s">
        <v>85</v>
      </c>
      <c r="BG55" s="6"/>
      <c r="BH55" s="6" t="str">
        <f t="shared" si="1"/>
        <v>5VB_Fold_Median</v>
      </c>
      <c r="BI55" s="6" t="str">
        <f t="shared" si="2"/>
        <v>5VB_Fold_Median</v>
      </c>
      <c r="BJ55" s="6" t="str">
        <f t="shared" si="3"/>
        <v>5VB_Fold_Median</v>
      </c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</row>
    <row r="56" ht="15.75" customHeight="1">
      <c r="A56" s="1" t="s">
        <v>150</v>
      </c>
      <c r="B56" s="9" t="s">
        <v>85</v>
      </c>
      <c r="C56" s="9">
        <v>0.714777</v>
      </c>
      <c r="D56" s="9" t="s">
        <v>85</v>
      </c>
      <c r="E56" s="9" t="s">
        <v>85</v>
      </c>
      <c r="F56" s="30">
        <v>0.676975965</v>
      </c>
      <c r="G56" s="9" t="s">
        <v>85</v>
      </c>
      <c r="H56" s="9" t="s">
        <v>85</v>
      </c>
      <c r="I56" s="9">
        <v>0.790378</v>
      </c>
      <c r="J56" s="9" t="s">
        <v>85</v>
      </c>
      <c r="K56" s="9" t="s">
        <v>85</v>
      </c>
      <c r="L56" s="9">
        <v>0.780069</v>
      </c>
      <c r="M56" s="9" t="s">
        <v>85</v>
      </c>
      <c r="N56" s="9" t="s">
        <v>85</v>
      </c>
      <c r="O56" s="9">
        <v>0.701031</v>
      </c>
      <c r="P56" s="9" t="s">
        <v>85</v>
      </c>
      <c r="Q56" s="9" t="s">
        <v>85</v>
      </c>
      <c r="R56" s="9">
        <v>0.752577</v>
      </c>
      <c r="S56" s="9" t="s">
        <v>85</v>
      </c>
      <c r="T56" s="9" t="s">
        <v>85</v>
      </c>
      <c r="U56" s="9">
        <v>0.766323</v>
      </c>
      <c r="V56" s="9" t="s">
        <v>85</v>
      </c>
      <c r="W56" s="9" t="s">
        <v>85</v>
      </c>
      <c r="X56" s="9">
        <v>0.769759</v>
      </c>
      <c r="Y56" s="9" t="s">
        <v>85</v>
      </c>
      <c r="Z56" s="9" t="s">
        <v>85</v>
      </c>
      <c r="AA56" s="30">
        <v>0.749141</v>
      </c>
      <c r="AB56" s="9" t="s">
        <v>85</v>
      </c>
      <c r="AC56" s="9" t="s">
        <v>85</v>
      </c>
      <c r="AD56" s="30">
        <v>0.742268</v>
      </c>
      <c r="AE56" s="9" t="s">
        <v>85</v>
      </c>
      <c r="AF56" s="9" t="s">
        <v>85</v>
      </c>
      <c r="AG56" s="9">
        <v>0.756014</v>
      </c>
      <c r="AH56" s="9" t="s">
        <v>85</v>
      </c>
      <c r="AI56" s="9" t="s">
        <v>85</v>
      </c>
      <c r="AJ56" s="9">
        <v>0.776632</v>
      </c>
      <c r="AK56" s="9" t="s">
        <v>85</v>
      </c>
      <c r="AL56" s="9" t="s">
        <v>85</v>
      </c>
      <c r="AM56" s="9">
        <v>0.738832</v>
      </c>
      <c r="AN56" s="9" t="s">
        <v>85</v>
      </c>
      <c r="AO56" s="9" t="s">
        <v>85</v>
      </c>
      <c r="AP56" s="30">
        <v>0.742268</v>
      </c>
      <c r="AQ56" s="9" t="s">
        <v>85</v>
      </c>
      <c r="AR56" s="9" t="s">
        <v>85</v>
      </c>
      <c r="AS56" s="9">
        <v>0.790378</v>
      </c>
      <c r="AT56" s="9" t="s">
        <v>85</v>
      </c>
      <c r="AU56" s="9" t="s">
        <v>85</v>
      </c>
      <c r="AV56" s="9">
        <v>0.783505</v>
      </c>
      <c r="AW56" s="9" t="s">
        <v>85</v>
      </c>
      <c r="AX56" s="9" t="s">
        <v>85</v>
      </c>
      <c r="AY56" s="9">
        <v>0.718213</v>
      </c>
      <c r="AZ56" s="9" t="s">
        <v>85</v>
      </c>
      <c r="BA56" s="9" t="s">
        <v>85</v>
      </c>
      <c r="BB56" s="30">
        <v>0.804124</v>
      </c>
      <c r="BC56" s="9" t="s">
        <v>85</v>
      </c>
      <c r="BD56" s="10" t="s">
        <v>85</v>
      </c>
      <c r="BE56" s="10" t="s">
        <v>85</v>
      </c>
      <c r="BF56" s="9" t="s">
        <v>85</v>
      </c>
      <c r="BG56" s="6"/>
      <c r="BH56" s="6" t="str">
        <f t="shared" si="1"/>
        <v>20V_Fold_Median</v>
      </c>
      <c r="BI56" s="6" t="str">
        <f t="shared" si="2"/>
        <v>5V_Fold_Median</v>
      </c>
      <c r="BJ56" s="6" t="str">
        <f t="shared" si="3"/>
        <v>5V_Fold_Median</v>
      </c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</row>
    <row r="57" ht="15.75" customHeight="1">
      <c r="A57" s="1" t="s">
        <v>151</v>
      </c>
      <c r="B57" s="9" t="s">
        <v>85</v>
      </c>
      <c r="C57" s="9">
        <v>0.558442</v>
      </c>
      <c r="D57" s="9" t="s">
        <v>85</v>
      </c>
      <c r="E57" s="9" t="s">
        <v>85</v>
      </c>
      <c r="F57" s="30">
        <v>0.558441579</v>
      </c>
      <c r="G57" s="9" t="s">
        <v>85</v>
      </c>
      <c r="H57" s="9" t="s">
        <v>85</v>
      </c>
      <c r="I57" s="9">
        <v>0.577922</v>
      </c>
      <c r="J57" s="9" t="s">
        <v>85</v>
      </c>
      <c r="K57" s="9" t="s">
        <v>85</v>
      </c>
      <c r="L57" s="9">
        <v>0.558442</v>
      </c>
      <c r="M57" s="9" t="s">
        <v>85</v>
      </c>
      <c r="N57" s="9" t="s">
        <v>85</v>
      </c>
      <c r="O57" s="9">
        <v>0.551948</v>
      </c>
      <c r="P57" s="9" t="s">
        <v>85</v>
      </c>
      <c r="Q57" s="9" t="s">
        <v>85</v>
      </c>
      <c r="R57" s="9">
        <v>0.558442</v>
      </c>
      <c r="S57" s="9" t="s">
        <v>85</v>
      </c>
      <c r="T57" s="9" t="s">
        <v>85</v>
      </c>
      <c r="U57" s="9">
        <v>0.558442</v>
      </c>
      <c r="V57" s="9" t="s">
        <v>85</v>
      </c>
      <c r="W57" s="9" t="s">
        <v>85</v>
      </c>
      <c r="X57" s="9">
        <v>0.558442</v>
      </c>
      <c r="Y57" s="9" t="s">
        <v>85</v>
      </c>
      <c r="Z57" s="9" t="s">
        <v>85</v>
      </c>
      <c r="AA57" s="30">
        <v>0.558442</v>
      </c>
      <c r="AB57" s="9" t="s">
        <v>85</v>
      </c>
      <c r="AC57" s="9" t="s">
        <v>85</v>
      </c>
      <c r="AD57" s="30">
        <v>0.558442</v>
      </c>
      <c r="AE57" s="9" t="s">
        <v>85</v>
      </c>
      <c r="AF57" s="9" t="s">
        <v>85</v>
      </c>
      <c r="AG57" s="9">
        <v>0.558442</v>
      </c>
      <c r="AH57" s="9" t="s">
        <v>85</v>
      </c>
      <c r="AI57" s="9" t="s">
        <v>85</v>
      </c>
      <c r="AJ57" s="9">
        <v>0.558442</v>
      </c>
      <c r="AK57" s="9" t="s">
        <v>85</v>
      </c>
      <c r="AL57" s="9" t="s">
        <v>85</v>
      </c>
      <c r="AM57" s="9">
        <v>0.558442</v>
      </c>
      <c r="AN57" s="9" t="s">
        <v>85</v>
      </c>
      <c r="AO57" s="9" t="s">
        <v>85</v>
      </c>
      <c r="AP57" s="30">
        <v>0.558442</v>
      </c>
      <c r="AQ57" s="9" t="s">
        <v>85</v>
      </c>
      <c r="AR57" s="9" t="s">
        <v>85</v>
      </c>
      <c r="AS57" s="9">
        <v>0.558442</v>
      </c>
      <c r="AT57" s="9" t="s">
        <v>85</v>
      </c>
      <c r="AU57" s="9" t="s">
        <v>85</v>
      </c>
      <c r="AV57" s="9">
        <v>0.558442</v>
      </c>
      <c r="AW57" s="9" t="s">
        <v>85</v>
      </c>
      <c r="AX57" s="9" t="s">
        <v>85</v>
      </c>
      <c r="AY57" s="9">
        <v>0.558442</v>
      </c>
      <c r="AZ57" s="9" t="s">
        <v>85</v>
      </c>
      <c r="BA57" s="9" t="s">
        <v>85</v>
      </c>
      <c r="BB57" s="30">
        <v>0.558442</v>
      </c>
      <c r="BC57" s="9" t="s">
        <v>85</v>
      </c>
      <c r="BD57" s="10" t="s">
        <v>85</v>
      </c>
      <c r="BE57" s="10" t="s">
        <v>85</v>
      </c>
      <c r="BF57" s="9" t="s">
        <v>85</v>
      </c>
      <c r="BG57" s="6"/>
      <c r="BH57" s="6" t="str">
        <f t="shared" si="1"/>
        <v>5V_Fold_Median</v>
      </c>
      <c r="BI57" s="6" t="str">
        <f t="shared" si="2"/>
        <v>5B_Fold_Median</v>
      </c>
      <c r="BJ57" s="6" t="str">
        <f t="shared" si="3"/>
        <v>5B_Fold_Median</v>
      </c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</row>
    <row r="58" ht="15.75" customHeight="1">
      <c r="A58" s="1" t="s">
        <v>152</v>
      </c>
      <c r="B58" s="9" t="s">
        <v>85</v>
      </c>
      <c r="C58" s="9">
        <v>0.822268</v>
      </c>
      <c r="D58" s="9" t="s">
        <v>85</v>
      </c>
      <c r="E58" s="9" t="s">
        <v>85</v>
      </c>
      <c r="F58" s="30">
        <v>0.824742258</v>
      </c>
      <c r="G58" s="9" t="s">
        <v>85</v>
      </c>
      <c r="H58" s="9" t="s">
        <v>85</v>
      </c>
      <c r="I58" s="9">
        <v>0.851134</v>
      </c>
      <c r="J58" s="9" t="s">
        <v>85</v>
      </c>
      <c r="K58" s="9" t="s">
        <v>85</v>
      </c>
      <c r="L58" s="9">
        <v>0.856082</v>
      </c>
      <c r="M58" s="9" t="s">
        <v>85</v>
      </c>
      <c r="N58" s="9" t="s">
        <v>85</v>
      </c>
      <c r="O58" s="9">
        <v>0.856082</v>
      </c>
      <c r="P58" s="9" t="s">
        <v>85</v>
      </c>
      <c r="Q58" s="9" t="s">
        <v>85</v>
      </c>
      <c r="R58" s="9">
        <v>0.859381</v>
      </c>
      <c r="S58" s="9" t="s">
        <v>85</v>
      </c>
      <c r="T58" s="9" t="s">
        <v>85</v>
      </c>
      <c r="U58" s="9">
        <v>0.866804</v>
      </c>
      <c r="V58" s="9" t="s">
        <v>85</v>
      </c>
      <c r="W58" s="9" t="s">
        <v>85</v>
      </c>
      <c r="X58" s="9">
        <v>0.875052</v>
      </c>
      <c r="Y58" s="9" t="s">
        <v>85</v>
      </c>
      <c r="Z58" s="9" t="s">
        <v>85</v>
      </c>
      <c r="AA58" s="30">
        <v>0.854433</v>
      </c>
      <c r="AB58" s="9" t="s">
        <v>85</v>
      </c>
      <c r="AC58" s="9" t="s">
        <v>85</v>
      </c>
      <c r="AD58" s="30">
        <v>0.852784</v>
      </c>
      <c r="AE58" s="9" t="s">
        <v>85</v>
      </c>
      <c r="AF58" s="9" t="s">
        <v>85</v>
      </c>
      <c r="AG58" s="9">
        <v>0.863505</v>
      </c>
      <c r="AH58" s="9" t="s">
        <v>85</v>
      </c>
      <c r="AI58" s="9" t="s">
        <v>85</v>
      </c>
      <c r="AJ58" s="9">
        <v>0.867629</v>
      </c>
      <c r="AK58" s="9" t="s">
        <v>85</v>
      </c>
      <c r="AL58" s="9" t="s">
        <v>85</v>
      </c>
      <c r="AM58" s="9">
        <v>0.852784</v>
      </c>
      <c r="AN58" s="9" t="s">
        <v>85</v>
      </c>
      <c r="AO58" s="9" t="s">
        <v>85</v>
      </c>
      <c r="AP58" s="30">
        <v>0.856495</v>
      </c>
      <c r="AQ58" s="9" t="s">
        <v>85</v>
      </c>
      <c r="AR58" s="9" t="s">
        <v>85</v>
      </c>
      <c r="AS58" s="9">
        <v>0.863918</v>
      </c>
      <c r="AT58" s="9" t="s">
        <v>85</v>
      </c>
      <c r="AU58" s="9" t="s">
        <v>85</v>
      </c>
      <c r="AV58" s="9">
        <v>0.861443</v>
      </c>
      <c r="AW58" s="9" t="s">
        <v>85</v>
      </c>
      <c r="AX58" s="9" t="s">
        <v>85</v>
      </c>
      <c r="AY58" s="9">
        <v>0.858969</v>
      </c>
      <c r="AZ58" s="9" t="s">
        <v>85</v>
      </c>
      <c r="BA58" s="9" t="s">
        <v>85</v>
      </c>
      <c r="BB58" s="30">
        <v>0.874227</v>
      </c>
      <c r="BC58" s="9" t="s">
        <v>85</v>
      </c>
      <c r="BD58" s="10" t="s">
        <v>85</v>
      </c>
      <c r="BE58" s="10" t="s">
        <v>85</v>
      </c>
      <c r="BF58" s="9" t="s">
        <v>85</v>
      </c>
      <c r="BG58" s="6"/>
      <c r="BH58" s="6" t="str">
        <f t="shared" si="1"/>
        <v>8VB_Fold_Median</v>
      </c>
      <c r="BI58" s="6" t="str">
        <f t="shared" si="2"/>
        <v>20V_Fold_Median</v>
      </c>
      <c r="BJ58" s="6" t="str">
        <f t="shared" si="3"/>
        <v>10VB_Fold_Median</v>
      </c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</row>
    <row r="59" ht="15.75" customHeight="1">
      <c r="A59" s="1" t="s">
        <v>153</v>
      </c>
      <c r="B59" s="9" t="s">
        <v>85</v>
      </c>
      <c r="C59" s="9">
        <v>0.764948</v>
      </c>
      <c r="D59" s="9" t="s">
        <v>85</v>
      </c>
      <c r="E59" s="9" t="s">
        <v>85</v>
      </c>
      <c r="F59" s="30">
        <v>0.748865962</v>
      </c>
      <c r="G59" s="9" t="s">
        <v>85</v>
      </c>
      <c r="H59" s="9" t="s">
        <v>85</v>
      </c>
      <c r="I59" s="9">
        <v>0.789278</v>
      </c>
      <c r="J59" s="9" t="s">
        <v>85</v>
      </c>
      <c r="K59" s="9" t="s">
        <v>85</v>
      </c>
      <c r="L59" s="9">
        <v>0.798763</v>
      </c>
      <c r="M59" s="9" t="s">
        <v>85</v>
      </c>
      <c r="N59" s="9" t="s">
        <v>85</v>
      </c>
      <c r="O59" s="9">
        <v>0.783918</v>
      </c>
      <c r="P59" s="9" t="s">
        <v>85</v>
      </c>
      <c r="Q59" s="9" t="s">
        <v>85</v>
      </c>
      <c r="R59" s="9">
        <v>0.796289</v>
      </c>
      <c r="S59" s="9" t="s">
        <v>85</v>
      </c>
      <c r="T59" s="9" t="s">
        <v>85</v>
      </c>
      <c r="U59" s="9">
        <v>0.793402</v>
      </c>
      <c r="V59" s="9" t="s">
        <v>85</v>
      </c>
      <c r="W59" s="9" t="s">
        <v>85</v>
      </c>
      <c r="X59" s="9">
        <v>0.816495</v>
      </c>
      <c r="Y59" s="9" t="s">
        <v>85</v>
      </c>
      <c r="Z59" s="9" t="s">
        <v>85</v>
      </c>
      <c r="AA59" s="30">
        <v>0.794639</v>
      </c>
      <c r="AB59" s="9" t="s">
        <v>85</v>
      </c>
      <c r="AC59" s="9" t="s">
        <v>85</v>
      </c>
      <c r="AD59" s="30">
        <v>0.802887</v>
      </c>
      <c r="AE59" s="9" t="s">
        <v>85</v>
      </c>
      <c r="AF59" s="9" t="s">
        <v>85</v>
      </c>
      <c r="AG59" s="9">
        <v>0.803299</v>
      </c>
      <c r="AH59" s="9" t="s">
        <v>85</v>
      </c>
      <c r="AI59" s="9" t="s">
        <v>85</v>
      </c>
      <c r="AJ59" s="9">
        <v>0.82268</v>
      </c>
      <c r="AK59" s="9" t="s">
        <v>85</v>
      </c>
      <c r="AL59" s="9" t="s">
        <v>85</v>
      </c>
      <c r="AM59" s="9">
        <v>0.782268</v>
      </c>
      <c r="AN59" s="9" t="s">
        <v>85</v>
      </c>
      <c r="AO59" s="9" t="s">
        <v>85</v>
      </c>
      <c r="AP59" s="30">
        <v>0.782268</v>
      </c>
      <c r="AQ59" s="9" t="s">
        <v>85</v>
      </c>
      <c r="AR59" s="9" t="s">
        <v>85</v>
      </c>
      <c r="AS59" s="9">
        <v>0.812783</v>
      </c>
      <c r="AT59" s="9" t="s">
        <v>85</v>
      </c>
      <c r="AU59" s="9" t="s">
        <v>85</v>
      </c>
      <c r="AV59" s="9">
        <v>0.807835</v>
      </c>
      <c r="AW59" s="9" t="s">
        <v>85</v>
      </c>
      <c r="AX59" s="9" t="s">
        <v>85</v>
      </c>
      <c r="AY59" s="9">
        <v>0.80701</v>
      </c>
      <c r="AZ59" s="9" t="s">
        <v>85</v>
      </c>
      <c r="BA59" s="9" t="s">
        <v>85</v>
      </c>
      <c r="BB59" s="30">
        <v>0.81732</v>
      </c>
      <c r="BC59" s="9" t="s">
        <v>85</v>
      </c>
      <c r="BD59" s="10" t="s">
        <v>85</v>
      </c>
      <c r="BE59" s="10" t="s">
        <v>85</v>
      </c>
      <c r="BF59" s="9" t="s">
        <v>85</v>
      </c>
      <c r="BG59" s="6"/>
      <c r="BH59" s="6" t="str">
        <f t="shared" si="1"/>
        <v>10VB_Fold_Median</v>
      </c>
      <c r="BI59" s="6" t="str">
        <f t="shared" si="2"/>
        <v>20V_Fold_Median</v>
      </c>
      <c r="BJ59" s="6" t="str">
        <f t="shared" si="3"/>
        <v>8VB_Fold_Median</v>
      </c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</row>
    <row r="60" ht="15.75" customHeight="1">
      <c r="A60" s="1" t="s">
        <v>154</v>
      </c>
      <c r="B60" s="9" t="s">
        <v>85</v>
      </c>
      <c r="C60" s="9">
        <v>0.722045</v>
      </c>
      <c r="D60" s="9" t="s">
        <v>85</v>
      </c>
      <c r="E60" s="9" t="s">
        <v>85</v>
      </c>
      <c r="F60" s="30">
        <v>0.809105456</v>
      </c>
      <c r="G60" s="9" t="s">
        <v>85</v>
      </c>
      <c r="H60" s="9" t="s">
        <v>85</v>
      </c>
      <c r="I60" s="9">
        <v>0.826677</v>
      </c>
      <c r="J60" s="9" t="s">
        <v>85</v>
      </c>
      <c r="K60" s="9" t="s">
        <v>85</v>
      </c>
      <c r="L60" s="9">
        <v>0.8123</v>
      </c>
      <c r="M60" s="9" t="s">
        <v>85</v>
      </c>
      <c r="N60" s="9" t="s">
        <v>85</v>
      </c>
      <c r="O60" s="9">
        <v>0.748403</v>
      </c>
      <c r="P60" s="9" t="s">
        <v>85</v>
      </c>
      <c r="Q60" s="9" t="s">
        <v>85</v>
      </c>
      <c r="R60" s="9">
        <v>0.780351</v>
      </c>
      <c r="S60" s="9" t="s">
        <v>85</v>
      </c>
      <c r="T60" s="9" t="s">
        <v>85</v>
      </c>
      <c r="U60" s="9">
        <v>0.82508</v>
      </c>
      <c r="V60" s="9" t="s">
        <v>85</v>
      </c>
      <c r="W60" s="9" t="s">
        <v>85</v>
      </c>
      <c r="X60" s="9">
        <v>0.802716</v>
      </c>
      <c r="Y60" s="9" t="s">
        <v>85</v>
      </c>
      <c r="Z60" s="9" t="s">
        <v>85</v>
      </c>
      <c r="AA60" s="30">
        <v>0.735623</v>
      </c>
      <c r="AB60" s="9" t="s">
        <v>85</v>
      </c>
      <c r="AC60" s="9" t="s">
        <v>85</v>
      </c>
      <c r="AD60" s="30">
        <v>0.783546</v>
      </c>
      <c r="AE60" s="9" t="s">
        <v>85</v>
      </c>
      <c r="AF60" s="9" t="s">
        <v>85</v>
      </c>
      <c r="AG60" s="9">
        <v>0.820288</v>
      </c>
      <c r="AH60" s="9" t="s">
        <v>85</v>
      </c>
      <c r="AI60" s="9" t="s">
        <v>85</v>
      </c>
      <c r="AJ60" s="9">
        <v>0.83147</v>
      </c>
      <c r="AK60" s="9" t="s">
        <v>85</v>
      </c>
      <c r="AL60" s="9" t="s">
        <v>85</v>
      </c>
      <c r="AM60" s="9">
        <v>0.753195</v>
      </c>
      <c r="AN60" s="9" t="s">
        <v>85</v>
      </c>
      <c r="AO60" s="9" t="s">
        <v>85</v>
      </c>
      <c r="AP60" s="30">
        <v>0.739617</v>
      </c>
      <c r="AQ60" s="9" t="s">
        <v>85</v>
      </c>
      <c r="AR60" s="9" t="s">
        <v>85</v>
      </c>
      <c r="AS60" s="9">
        <v>0.82508</v>
      </c>
      <c r="AT60" s="9" t="s">
        <v>85</v>
      </c>
      <c r="AU60" s="9" t="s">
        <v>85</v>
      </c>
      <c r="AV60" s="9">
        <v>0.81869</v>
      </c>
      <c r="AW60" s="9" t="s">
        <v>85</v>
      </c>
      <c r="AX60" s="9" t="s">
        <v>85</v>
      </c>
      <c r="AY60" s="9">
        <v>0.759585</v>
      </c>
      <c r="AZ60" s="9" t="s">
        <v>85</v>
      </c>
      <c r="BA60" s="9" t="s">
        <v>85</v>
      </c>
      <c r="BB60" s="30">
        <v>0.791534</v>
      </c>
      <c r="BC60" s="9" t="s">
        <v>85</v>
      </c>
      <c r="BD60" s="10" t="s">
        <v>85</v>
      </c>
      <c r="BE60" s="10" t="s">
        <v>85</v>
      </c>
      <c r="BF60" s="9" t="s">
        <v>85</v>
      </c>
      <c r="BG60" s="6"/>
      <c r="BH60" s="6" t="str">
        <f t="shared" si="1"/>
        <v>10VB_Fold_Median</v>
      </c>
      <c r="BI60" s="6" t="str">
        <f t="shared" si="2"/>
        <v>5V_Fold_Median</v>
      </c>
      <c r="BJ60" s="6" t="str">
        <f t="shared" si="3"/>
        <v>8V_Fold_Median</v>
      </c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</row>
    <row r="61" ht="15.75" customHeight="1">
      <c r="A61" s="1" t="s">
        <v>155</v>
      </c>
      <c r="B61" s="9" t="s">
        <v>85</v>
      </c>
      <c r="C61" s="9">
        <v>0.533333</v>
      </c>
      <c r="D61" s="9" t="s">
        <v>85</v>
      </c>
      <c r="E61" s="9" t="s">
        <v>85</v>
      </c>
      <c r="F61" s="30">
        <v>0.400000006</v>
      </c>
      <c r="G61" s="9" t="s">
        <v>85</v>
      </c>
      <c r="H61" s="9" t="s">
        <v>85</v>
      </c>
      <c r="I61" s="9">
        <v>0.4</v>
      </c>
      <c r="J61" s="9" t="s">
        <v>85</v>
      </c>
      <c r="K61" s="9" t="s">
        <v>85</v>
      </c>
      <c r="L61" s="9">
        <v>0.4</v>
      </c>
      <c r="M61" s="9" t="s">
        <v>85</v>
      </c>
      <c r="N61" s="9" t="s">
        <v>85</v>
      </c>
      <c r="O61" s="9">
        <v>0.466667</v>
      </c>
      <c r="P61" s="9" t="s">
        <v>85</v>
      </c>
      <c r="Q61" s="9" t="s">
        <v>85</v>
      </c>
      <c r="R61" s="9">
        <v>0.4</v>
      </c>
      <c r="S61" s="9" t="s">
        <v>85</v>
      </c>
      <c r="T61" s="9" t="s">
        <v>85</v>
      </c>
      <c r="U61" s="9">
        <v>0.4</v>
      </c>
      <c r="V61" s="9" t="s">
        <v>85</v>
      </c>
      <c r="W61" s="9" t="s">
        <v>85</v>
      </c>
      <c r="X61" s="9">
        <v>0.4</v>
      </c>
      <c r="Y61" s="9" t="s">
        <v>85</v>
      </c>
      <c r="Z61" s="9" t="s">
        <v>85</v>
      </c>
      <c r="AA61" s="30">
        <v>0.4</v>
      </c>
      <c r="AB61" s="9" t="s">
        <v>85</v>
      </c>
      <c r="AC61" s="9" t="s">
        <v>85</v>
      </c>
      <c r="AD61" s="30">
        <v>0.4</v>
      </c>
      <c r="AE61" s="9" t="s">
        <v>85</v>
      </c>
      <c r="AF61" s="9" t="s">
        <v>85</v>
      </c>
      <c r="AG61" s="9">
        <v>0.4</v>
      </c>
      <c r="AH61" s="9" t="s">
        <v>85</v>
      </c>
      <c r="AI61" s="9" t="s">
        <v>85</v>
      </c>
      <c r="AJ61" s="9">
        <v>0.4</v>
      </c>
      <c r="AK61" s="9" t="s">
        <v>85</v>
      </c>
      <c r="AL61" s="9" t="s">
        <v>85</v>
      </c>
      <c r="AM61" s="9">
        <v>0.4</v>
      </c>
      <c r="AN61" s="9" t="s">
        <v>85</v>
      </c>
      <c r="AO61" s="9" t="s">
        <v>85</v>
      </c>
      <c r="AP61" s="30">
        <v>0.4</v>
      </c>
      <c r="AQ61" s="9" t="s">
        <v>85</v>
      </c>
      <c r="AR61" s="9" t="s">
        <v>85</v>
      </c>
      <c r="AS61" s="9">
        <v>0.4</v>
      </c>
      <c r="AT61" s="9" t="s">
        <v>85</v>
      </c>
      <c r="AU61" s="9" t="s">
        <v>85</v>
      </c>
      <c r="AV61" s="9">
        <v>0.4</v>
      </c>
      <c r="AW61" s="9" t="s">
        <v>85</v>
      </c>
      <c r="AX61" s="9" t="s">
        <v>85</v>
      </c>
      <c r="AY61" s="9">
        <v>0.4</v>
      </c>
      <c r="AZ61" s="9" t="s">
        <v>85</v>
      </c>
      <c r="BA61" s="9" t="s">
        <v>85</v>
      </c>
      <c r="BB61" s="30">
        <v>0.4</v>
      </c>
      <c r="BC61" s="9" t="s">
        <v>85</v>
      </c>
      <c r="BD61" s="10" t="s">
        <v>85</v>
      </c>
      <c r="BE61" s="10" t="s">
        <v>85</v>
      </c>
      <c r="BF61" s="9" t="s">
        <v>85</v>
      </c>
      <c r="BG61" s="6"/>
      <c r="BH61" s="6" t="str">
        <f t="shared" si="1"/>
        <v>5B_Fold_Median</v>
      </c>
      <c r="BI61" s="6" t="str">
        <f t="shared" si="2"/>
        <v>8B_Fold_Median</v>
      </c>
      <c r="BJ61" s="6" t="str">
        <f t="shared" si="3"/>
        <v>5BN_Fold_Median</v>
      </c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</row>
    <row r="62" ht="15.75" customHeight="1">
      <c r="A62" s="1" t="s">
        <v>156</v>
      </c>
      <c r="B62" s="9" t="s">
        <v>85</v>
      </c>
      <c r="C62" s="9">
        <v>0.413223</v>
      </c>
      <c r="D62" s="9" t="s">
        <v>85</v>
      </c>
      <c r="E62" s="9" t="s">
        <v>85</v>
      </c>
      <c r="F62" s="30">
        <v>0.446280986</v>
      </c>
      <c r="G62" s="9" t="s">
        <v>85</v>
      </c>
      <c r="H62" s="9" t="s">
        <v>85</v>
      </c>
      <c r="I62" s="9">
        <v>0.450413</v>
      </c>
      <c r="J62" s="9" t="s">
        <v>85</v>
      </c>
      <c r="K62" s="9" t="s">
        <v>85</v>
      </c>
      <c r="L62" s="9">
        <v>0.400826</v>
      </c>
      <c r="M62" s="9" t="s">
        <v>85</v>
      </c>
      <c r="N62" s="9" t="s">
        <v>85</v>
      </c>
      <c r="O62" s="9">
        <v>0.38843</v>
      </c>
      <c r="P62" s="9" t="s">
        <v>85</v>
      </c>
      <c r="Q62" s="9" t="s">
        <v>85</v>
      </c>
      <c r="R62" s="9">
        <v>0.413223</v>
      </c>
      <c r="S62" s="9" t="s">
        <v>85</v>
      </c>
      <c r="T62" s="9" t="s">
        <v>85</v>
      </c>
      <c r="U62" s="9">
        <v>0.446281</v>
      </c>
      <c r="V62" s="9" t="s">
        <v>85</v>
      </c>
      <c r="W62" s="9" t="s">
        <v>85</v>
      </c>
      <c r="X62" s="9">
        <v>0.429752</v>
      </c>
      <c r="Y62" s="9" t="s">
        <v>85</v>
      </c>
      <c r="Z62" s="9" t="s">
        <v>85</v>
      </c>
      <c r="AA62" s="30">
        <v>0.46281</v>
      </c>
      <c r="AB62" s="9" t="s">
        <v>85</v>
      </c>
      <c r="AC62" s="9" t="s">
        <v>85</v>
      </c>
      <c r="AD62" s="30">
        <v>0.458678</v>
      </c>
      <c r="AE62" s="9" t="s">
        <v>85</v>
      </c>
      <c r="AF62" s="9" t="s">
        <v>85</v>
      </c>
      <c r="AG62" s="9">
        <v>0.417355</v>
      </c>
      <c r="AH62" s="9" t="s">
        <v>85</v>
      </c>
      <c r="AI62" s="9" t="s">
        <v>85</v>
      </c>
      <c r="AJ62" s="9">
        <v>0.429752</v>
      </c>
      <c r="AK62" s="9" t="s">
        <v>85</v>
      </c>
      <c r="AL62" s="9" t="s">
        <v>85</v>
      </c>
      <c r="AM62" s="9">
        <v>0.454545</v>
      </c>
      <c r="AN62" s="9" t="s">
        <v>85</v>
      </c>
      <c r="AO62" s="9" t="s">
        <v>85</v>
      </c>
      <c r="AP62" s="30">
        <v>0.466942</v>
      </c>
      <c r="AQ62" s="9" t="s">
        <v>85</v>
      </c>
      <c r="AR62" s="9" t="s">
        <v>85</v>
      </c>
      <c r="AS62" s="9">
        <v>0.487603</v>
      </c>
      <c r="AT62" s="9" t="s">
        <v>85</v>
      </c>
      <c r="AU62" s="9" t="s">
        <v>85</v>
      </c>
      <c r="AV62" s="9">
        <v>0.495868</v>
      </c>
      <c r="AW62" s="9" t="s">
        <v>85</v>
      </c>
      <c r="AX62" s="9" t="s">
        <v>85</v>
      </c>
      <c r="AY62" s="9">
        <v>0.458678</v>
      </c>
      <c r="AZ62" s="9" t="s">
        <v>85</v>
      </c>
      <c r="BA62" s="9" t="s">
        <v>85</v>
      </c>
      <c r="BB62" s="30">
        <v>0.471074</v>
      </c>
      <c r="BC62" s="9" t="s">
        <v>85</v>
      </c>
      <c r="BD62" s="10" t="s">
        <v>85</v>
      </c>
      <c r="BE62" s="10" t="s">
        <v>85</v>
      </c>
      <c r="BF62" s="9" t="s">
        <v>85</v>
      </c>
      <c r="BG62" s="6"/>
      <c r="BH62" s="6" t="str">
        <f t="shared" si="1"/>
        <v>12VB_Fold_Median</v>
      </c>
      <c r="BI62" s="6" t="str">
        <f t="shared" si="2"/>
        <v>12V_Fold_Median</v>
      </c>
      <c r="BJ62" s="6" t="str">
        <f t="shared" si="3"/>
        <v>20V_Fold_Median</v>
      </c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</row>
    <row r="63" ht="15.75" customHeight="1">
      <c r="A63" s="1" t="s">
        <v>157</v>
      </c>
      <c r="B63" s="9" t="s">
        <v>85</v>
      </c>
      <c r="C63" s="9">
        <v>0.613054</v>
      </c>
      <c r="D63" s="9" t="s">
        <v>85</v>
      </c>
      <c r="E63" s="9" t="s">
        <v>85</v>
      </c>
      <c r="F63" s="30">
        <v>0.692307711</v>
      </c>
      <c r="G63" s="9" t="s">
        <v>85</v>
      </c>
      <c r="H63" s="9" t="s">
        <v>85</v>
      </c>
      <c r="I63" s="9">
        <v>0.731935</v>
      </c>
      <c r="J63" s="9" t="s">
        <v>85</v>
      </c>
      <c r="K63" s="9" t="s">
        <v>85</v>
      </c>
      <c r="L63" s="9">
        <v>0.748252</v>
      </c>
      <c r="M63" s="9" t="s">
        <v>85</v>
      </c>
      <c r="N63" s="9" t="s">
        <v>85</v>
      </c>
      <c r="O63" s="9">
        <v>0.715618</v>
      </c>
      <c r="P63" s="9" t="s">
        <v>85</v>
      </c>
      <c r="Q63" s="9" t="s">
        <v>85</v>
      </c>
      <c r="R63" s="9">
        <v>0.713287</v>
      </c>
      <c r="S63" s="9" t="s">
        <v>85</v>
      </c>
      <c r="T63" s="9" t="s">
        <v>85</v>
      </c>
      <c r="U63" s="9">
        <v>0.772727</v>
      </c>
      <c r="V63" s="9" t="s">
        <v>85</v>
      </c>
      <c r="W63" s="9" t="s">
        <v>85</v>
      </c>
      <c r="X63" s="9">
        <v>0.758741</v>
      </c>
      <c r="Y63" s="9" t="s">
        <v>85</v>
      </c>
      <c r="Z63" s="9" t="s">
        <v>85</v>
      </c>
      <c r="AA63" s="30">
        <v>0.722611</v>
      </c>
      <c r="AB63" s="9" t="s">
        <v>85</v>
      </c>
      <c r="AC63" s="9" t="s">
        <v>85</v>
      </c>
      <c r="AD63" s="30">
        <v>0.740093</v>
      </c>
      <c r="AE63" s="9" t="s">
        <v>85</v>
      </c>
      <c r="AF63" s="9" t="s">
        <v>85</v>
      </c>
      <c r="AG63" s="9">
        <v>0.762238</v>
      </c>
      <c r="AH63" s="9" t="s">
        <v>85</v>
      </c>
      <c r="AI63" s="9" t="s">
        <v>85</v>
      </c>
      <c r="AJ63" s="9">
        <v>0.764569</v>
      </c>
      <c r="AK63" s="9" t="s">
        <v>85</v>
      </c>
      <c r="AL63" s="9" t="s">
        <v>85</v>
      </c>
      <c r="AM63" s="9">
        <v>0.75641</v>
      </c>
      <c r="AN63" s="9" t="s">
        <v>85</v>
      </c>
      <c r="AO63" s="9" t="s">
        <v>85</v>
      </c>
      <c r="AP63" s="30">
        <v>0.757576</v>
      </c>
      <c r="AQ63" s="9" t="s">
        <v>85</v>
      </c>
      <c r="AR63" s="9" t="s">
        <v>85</v>
      </c>
      <c r="AS63" s="9">
        <v>0.784382</v>
      </c>
      <c r="AT63" s="9" t="s">
        <v>85</v>
      </c>
      <c r="AU63" s="9" t="s">
        <v>85</v>
      </c>
      <c r="AV63" s="9">
        <v>0.780886</v>
      </c>
      <c r="AW63" s="9" t="s">
        <v>85</v>
      </c>
      <c r="AX63" s="9" t="s">
        <v>85</v>
      </c>
      <c r="AY63" s="9">
        <v>0.745921</v>
      </c>
      <c r="AZ63" s="9" t="s">
        <v>85</v>
      </c>
      <c r="BA63" s="9" t="s">
        <v>85</v>
      </c>
      <c r="BB63" s="30">
        <v>0.613054</v>
      </c>
      <c r="BC63" s="9" t="s">
        <v>85</v>
      </c>
      <c r="BD63" s="10" t="s">
        <v>85</v>
      </c>
      <c r="BE63" s="10" t="s">
        <v>85</v>
      </c>
      <c r="BF63" s="9" t="s">
        <v>85</v>
      </c>
      <c r="BG63" s="6"/>
      <c r="BH63" s="6" t="str">
        <f t="shared" si="1"/>
        <v>12V_Fold_Median</v>
      </c>
      <c r="BI63" s="6" t="str">
        <f t="shared" si="2"/>
        <v>12VB_Fold_Median</v>
      </c>
      <c r="BJ63" s="6" t="str">
        <f t="shared" si="3"/>
        <v>8V_Fold_Median</v>
      </c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</row>
    <row r="64" ht="15.75" customHeight="1">
      <c r="A64" s="1" t="s">
        <v>158</v>
      </c>
      <c r="B64" s="9" t="s">
        <v>85</v>
      </c>
      <c r="C64" s="9">
        <v>0.141878</v>
      </c>
      <c r="D64" s="9" t="s">
        <v>85</v>
      </c>
      <c r="E64" s="9" t="s">
        <v>85</v>
      </c>
      <c r="F64" s="30">
        <v>0.145569623</v>
      </c>
      <c r="G64" s="9" t="s">
        <v>85</v>
      </c>
      <c r="H64" s="9" t="s">
        <v>85</v>
      </c>
      <c r="I64" s="9">
        <v>0.1577</v>
      </c>
      <c r="J64" s="9" t="s">
        <v>85</v>
      </c>
      <c r="K64" s="9" t="s">
        <v>85</v>
      </c>
      <c r="L64" s="9">
        <v>0.156118</v>
      </c>
      <c r="M64" s="9" t="s">
        <v>85</v>
      </c>
      <c r="N64" s="9" t="s">
        <v>85</v>
      </c>
      <c r="O64" s="9">
        <v>0.151899</v>
      </c>
      <c r="P64" s="9" t="s">
        <v>85</v>
      </c>
      <c r="Q64" s="9" t="s">
        <v>85</v>
      </c>
      <c r="R64" s="9">
        <v>0.149789</v>
      </c>
      <c r="S64" s="9" t="s">
        <v>85</v>
      </c>
      <c r="T64" s="9" t="s">
        <v>85</v>
      </c>
      <c r="U64" s="9">
        <v>0.152426</v>
      </c>
      <c r="V64" s="9" t="s">
        <v>85</v>
      </c>
      <c r="W64" s="9" t="s">
        <v>85</v>
      </c>
      <c r="X64" s="9">
        <v>0.153481</v>
      </c>
      <c r="Y64" s="9" t="s">
        <v>85</v>
      </c>
      <c r="Z64" s="9" t="s">
        <v>85</v>
      </c>
      <c r="AA64" s="30">
        <v>0.149789</v>
      </c>
      <c r="AB64" s="9" t="s">
        <v>85</v>
      </c>
      <c r="AC64" s="9" t="s">
        <v>85</v>
      </c>
      <c r="AD64" s="30">
        <v>0.152426</v>
      </c>
      <c r="AE64" s="9" t="s">
        <v>85</v>
      </c>
      <c r="AF64" s="9" t="s">
        <v>85</v>
      </c>
      <c r="AG64" s="9">
        <v>0.149262</v>
      </c>
      <c r="AH64" s="9" t="s">
        <v>85</v>
      </c>
      <c r="AI64" s="9" t="s">
        <v>85</v>
      </c>
      <c r="AJ64" s="9">
        <v>0.150844</v>
      </c>
      <c r="AK64" s="9" t="s">
        <v>85</v>
      </c>
      <c r="AL64" s="9" t="s">
        <v>85</v>
      </c>
      <c r="AM64" s="9">
        <v>0.167194</v>
      </c>
      <c r="AN64" s="9" t="s">
        <v>85</v>
      </c>
      <c r="AO64" s="9" t="s">
        <v>85</v>
      </c>
      <c r="AP64" s="30">
        <v>0.156646</v>
      </c>
      <c r="AQ64" s="9" t="s">
        <v>85</v>
      </c>
      <c r="AR64" s="9" t="s">
        <v>85</v>
      </c>
      <c r="AS64" s="9">
        <v>0.149262</v>
      </c>
      <c r="AT64" s="9" t="s">
        <v>85</v>
      </c>
      <c r="AU64" s="9" t="s">
        <v>85</v>
      </c>
      <c r="AV64" s="9">
        <v>0.149262</v>
      </c>
      <c r="AW64" s="9" t="s">
        <v>85</v>
      </c>
      <c r="AX64" s="9" t="s">
        <v>85</v>
      </c>
      <c r="AY64" s="9">
        <v>0.150844</v>
      </c>
      <c r="AZ64" s="9" t="s">
        <v>85</v>
      </c>
      <c r="BA64" s="9" t="s">
        <v>85</v>
      </c>
      <c r="BB64" s="30">
        <v>0.120781</v>
      </c>
      <c r="BC64" s="9" t="s">
        <v>85</v>
      </c>
      <c r="BD64" s="10" t="s">
        <v>85</v>
      </c>
      <c r="BE64" s="10" t="s">
        <v>85</v>
      </c>
      <c r="BF64" s="9" t="s">
        <v>85</v>
      </c>
      <c r="BG64" s="6"/>
      <c r="BH64" s="6" t="str">
        <f t="shared" si="1"/>
        <v>12B_Fold_Median</v>
      </c>
      <c r="BI64" s="6" t="str">
        <f t="shared" si="2"/>
        <v>5V_Fold_Median</v>
      </c>
      <c r="BJ64" s="6" t="str">
        <f t="shared" si="3"/>
        <v>12BN_Fold_Median</v>
      </c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</row>
    <row r="65" ht="15.75" customHeight="1">
      <c r="A65" s="1" t="s">
        <v>159</v>
      </c>
      <c r="B65" s="9" t="s">
        <v>85</v>
      </c>
      <c r="C65" s="9">
        <v>0.028846</v>
      </c>
      <c r="D65" s="9" t="s">
        <v>85</v>
      </c>
      <c r="E65" s="9" t="s">
        <v>85</v>
      </c>
      <c r="F65" s="30">
        <v>0.033653848</v>
      </c>
      <c r="G65" s="9" t="s">
        <v>85</v>
      </c>
      <c r="H65" s="9" t="s">
        <v>85</v>
      </c>
      <c r="I65" s="9">
        <v>0.052885</v>
      </c>
      <c r="J65" s="9" t="s">
        <v>85</v>
      </c>
      <c r="K65" s="9" t="s">
        <v>85</v>
      </c>
      <c r="L65" s="9">
        <v>0.024038</v>
      </c>
      <c r="M65" s="9" t="s">
        <v>85</v>
      </c>
      <c r="N65" s="9" t="s">
        <v>85</v>
      </c>
      <c r="O65" s="9">
        <v>0.019231</v>
      </c>
      <c r="P65" s="9" t="s">
        <v>85</v>
      </c>
      <c r="Q65" s="9" t="s">
        <v>85</v>
      </c>
      <c r="R65" s="9">
        <v>0.024038</v>
      </c>
      <c r="S65" s="9" t="s">
        <v>85</v>
      </c>
      <c r="T65" s="9" t="s">
        <v>85</v>
      </c>
      <c r="U65" s="9">
        <v>0.028846</v>
      </c>
      <c r="V65" s="9" t="s">
        <v>85</v>
      </c>
      <c r="W65" s="9" t="s">
        <v>85</v>
      </c>
      <c r="X65" s="9">
        <v>0.019231</v>
      </c>
      <c r="Y65" s="9" t="s">
        <v>85</v>
      </c>
      <c r="Z65" s="9" t="s">
        <v>85</v>
      </c>
      <c r="AA65" s="30">
        <v>0.033654</v>
      </c>
      <c r="AB65" s="9" t="s">
        <v>85</v>
      </c>
      <c r="AC65" s="9" t="s">
        <v>85</v>
      </c>
      <c r="AD65" s="30">
        <v>0.028846</v>
      </c>
      <c r="AE65" s="9" t="s">
        <v>85</v>
      </c>
      <c r="AF65" s="9" t="s">
        <v>85</v>
      </c>
      <c r="AG65" s="9">
        <v>0.038462</v>
      </c>
      <c r="AH65" s="9" t="s">
        <v>85</v>
      </c>
      <c r="AI65" s="9" t="s">
        <v>85</v>
      </c>
      <c r="AJ65" s="9">
        <v>0.014423</v>
      </c>
      <c r="AK65" s="9" t="s">
        <v>85</v>
      </c>
      <c r="AL65" s="9" t="s">
        <v>85</v>
      </c>
      <c r="AM65" s="9">
        <v>0.024038</v>
      </c>
      <c r="AN65" s="9" t="s">
        <v>85</v>
      </c>
      <c r="AO65" s="9" t="s">
        <v>85</v>
      </c>
      <c r="AP65" s="30">
        <v>0.024038</v>
      </c>
      <c r="AQ65" s="9" t="s">
        <v>85</v>
      </c>
      <c r="AR65" s="9" t="s">
        <v>85</v>
      </c>
      <c r="AS65" s="9">
        <v>0.033654</v>
      </c>
      <c r="AT65" s="9" t="s">
        <v>85</v>
      </c>
      <c r="AU65" s="9" t="s">
        <v>85</v>
      </c>
      <c r="AV65" s="9">
        <v>0.033654</v>
      </c>
      <c r="AW65" s="9" t="s">
        <v>85</v>
      </c>
      <c r="AX65" s="9" t="s">
        <v>85</v>
      </c>
      <c r="AY65" s="9">
        <v>0.019231</v>
      </c>
      <c r="AZ65" s="9" t="s">
        <v>85</v>
      </c>
      <c r="BA65" s="9" t="s">
        <v>85</v>
      </c>
      <c r="BB65" s="30">
        <v>0.038462</v>
      </c>
      <c r="BC65" s="9" t="s">
        <v>85</v>
      </c>
      <c r="BD65" s="10" t="s">
        <v>85</v>
      </c>
      <c r="BE65" s="10" t="s">
        <v>85</v>
      </c>
      <c r="BF65" s="9" t="s">
        <v>85</v>
      </c>
      <c r="BG65" s="6"/>
      <c r="BH65" s="6" t="str">
        <f t="shared" si="1"/>
        <v>5V_Fold_Median</v>
      </c>
      <c r="BI65" s="6" t="str">
        <f t="shared" si="2"/>
        <v>10V_Fold_Median</v>
      </c>
      <c r="BJ65" s="6" t="str">
        <f t="shared" si="3"/>
        <v>10V_Fold_Median</v>
      </c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</row>
    <row r="66" ht="15.75" customHeight="1">
      <c r="A66" s="1" t="s">
        <v>160</v>
      </c>
      <c r="B66" s="9" t="s">
        <v>85</v>
      </c>
      <c r="C66" s="9">
        <v>0.019231</v>
      </c>
      <c r="D66" s="9" t="s">
        <v>85</v>
      </c>
      <c r="E66" s="9" t="s">
        <v>85</v>
      </c>
      <c r="F66" s="30">
        <v>0.024038462</v>
      </c>
      <c r="G66" s="9" t="s">
        <v>85</v>
      </c>
      <c r="H66" s="9" t="s">
        <v>85</v>
      </c>
      <c r="I66" s="9">
        <v>0.033654</v>
      </c>
      <c r="J66" s="9" t="s">
        <v>85</v>
      </c>
      <c r="K66" s="9" t="s">
        <v>85</v>
      </c>
      <c r="L66" s="9">
        <v>0.028846</v>
      </c>
      <c r="M66" s="9" t="s">
        <v>85</v>
      </c>
      <c r="N66" s="9" t="s">
        <v>85</v>
      </c>
      <c r="O66" s="9">
        <v>0.019231</v>
      </c>
      <c r="P66" s="9" t="s">
        <v>85</v>
      </c>
      <c r="Q66" s="9" t="s">
        <v>85</v>
      </c>
      <c r="R66" s="9">
        <v>0.019231</v>
      </c>
      <c r="S66" s="9" t="s">
        <v>85</v>
      </c>
      <c r="T66" s="9" t="s">
        <v>85</v>
      </c>
      <c r="U66" s="9">
        <v>0.019231</v>
      </c>
      <c r="V66" s="9" t="s">
        <v>85</v>
      </c>
      <c r="W66" s="9" t="s">
        <v>85</v>
      </c>
      <c r="X66" s="9">
        <v>0.019231</v>
      </c>
      <c r="Y66" s="9" t="s">
        <v>85</v>
      </c>
      <c r="Z66" s="9" t="s">
        <v>85</v>
      </c>
      <c r="AA66" s="30">
        <v>0.028846</v>
      </c>
      <c r="AB66" s="9" t="s">
        <v>85</v>
      </c>
      <c r="AC66" s="9" t="s">
        <v>85</v>
      </c>
      <c r="AD66" s="30">
        <v>0.019231</v>
      </c>
      <c r="AE66" s="9" t="s">
        <v>85</v>
      </c>
      <c r="AF66" s="9" t="s">
        <v>85</v>
      </c>
      <c r="AG66" s="9">
        <v>0.033654</v>
      </c>
      <c r="AH66" s="9" t="s">
        <v>85</v>
      </c>
      <c r="AI66" s="9" t="s">
        <v>85</v>
      </c>
      <c r="AJ66" s="9">
        <v>0.019231</v>
      </c>
      <c r="AK66" s="9" t="s">
        <v>85</v>
      </c>
      <c r="AL66" s="9" t="s">
        <v>85</v>
      </c>
      <c r="AM66" s="9">
        <v>0.019231</v>
      </c>
      <c r="AN66" s="9" t="s">
        <v>85</v>
      </c>
      <c r="AO66" s="9" t="s">
        <v>85</v>
      </c>
      <c r="AP66" s="30">
        <v>0.024038</v>
      </c>
      <c r="AQ66" s="9" t="s">
        <v>85</v>
      </c>
      <c r="AR66" s="9" t="s">
        <v>85</v>
      </c>
      <c r="AS66" s="9">
        <v>0.019231</v>
      </c>
      <c r="AT66" s="9" t="s">
        <v>85</v>
      </c>
      <c r="AU66" s="9" t="s">
        <v>85</v>
      </c>
      <c r="AV66" s="9">
        <v>0.019231</v>
      </c>
      <c r="AW66" s="9" t="s">
        <v>85</v>
      </c>
      <c r="AX66" s="9" t="s">
        <v>85</v>
      </c>
      <c r="AY66" s="9">
        <v>0.019231</v>
      </c>
      <c r="AZ66" s="9" t="s">
        <v>85</v>
      </c>
      <c r="BA66" s="9" t="s">
        <v>85</v>
      </c>
      <c r="BB66" s="30">
        <v>0.019231</v>
      </c>
      <c r="BC66" s="9" t="s">
        <v>85</v>
      </c>
      <c r="BD66" s="10" t="s">
        <v>85</v>
      </c>
      <c r="BE66" s="10" t="s">
        <v>85</v>
      </c>
      <c r="BF66" s="9" t="s">
        <v>85</v>
      </c>
      <c r="BG66" s="6"/>
      <c r="BH66" s="6" t="str">
        <f t="shared" si="1"/>
        <v>5V_Fold_Median</v>
      </c>
      <c r="BI66" s="6" t="str">
        <f t="shared" si="2"/>
        <v>5V_Fold_Median</v>
      </c>
      <c r="BJ66" s="6" t="str">
        <f t="shared" si="3"/>
        <v>5VB_Fold_Median</v>
      </c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</row>
    <row r="67" ht="15.75" customHeight="1">
      <c r="A67" s="1" t="s">
        <v>161</v>
      </c>
      <c r="B67" s="9" t="s">
        <v>85</v>
      </c>
      <c r="C67" s="9">
        <v>0.019231</v>
      </c>
      <c r="D67" s="9" t="s">
        <v>85</v>
      </c>
      <c r="E67" s="9" t="s">
        <v>85</v>
      </c>
      <c r="F67" s="30">
        <v>0.01923077</v>
      </c>
      <c r="G67" s="9" t="s">
        <v>85</v>
      </c>
      <c r="H67" s="9" t="s">
        <v>85</v>
      </c>
      <c r="I67" s="9">
        <v>0.019231</v>
      </c>
      <c r="J67" s="9" t="s">
        <v>85</v>
      </c>
      <c r="K67" s="9" t="s">
        <v>85</v>
      </c>
      <c r="L67" s="9">
        <v>0.019231</v>
      </c>
      <c r="M67" s="9" t="s">
        <v>85</v>
      </c>
      <c r="N67" s="9" t="s">
        <v>85</v>
      </c>
      <c r="O67" s="9">
        <v>0.024038</v>
      </c>
      <c r="P67" s="9" t="s">
        <v>85</v>
      </c>
      <c r="Q67" s="9" t="s">
        <v>85</v>
      </c>
      <c r="R67" s="9">
        <v>0.028846</v>
      </c>
      <c r="S67" s="9" t="s">
        <v>85</v>
      </c>
      <c r="T67" s="9" t="s">
        <v>85</v>
      </c>
      <c r="U67" s="9">
        <v>0.028846</v>
      </c>
      <c r="V67" s="9" t="s">
        <v>85</v>
      </c>
      <c r="W67" s="9" t="s">
        <v>85</v>
      </c>
      <c r="X67" s="9">
        <v>0.024038</v>
      </c>
      <c r="Y67" s="9" t="s">
        <v>85</v>
      </c>
      <c r="Z67" s="9" t="s">
        <v>85</v>
      </c>
      <c r="AA67" s="30">
        <v>0.019231</v>
      </c>
      <c r="AB67" s="9" t="s">
        <v>85</v>
      </c>
      <c r="AC67" s="9" t="s">
        <v>85</v>
      </c>
      <c r="AD67" s="30">
        <v>0.024038</v>
      </c>
      <c r="AE67" s="9" t="s">
        <v>85</v>
      </c>
      <c r="AF67" s="9" t="s">
        <v>85</v>
      </c>
      <c r="AG67" s="9">
        <v>0.019231</v>
      </c>
      <c r="AH67" s="9" t="s">
        <v>85</v>
      </c>
      <c r="AI67" s="9" t="s">
        <v>85</v>
      </c>
      <c r="AJ67" s="9">
        <v>0.028846</v>
      </c>
      <c r="AK67" s="9" t="s">
        <v>85</v>
      </c>
      <c r="AL67" s="9" t="s">
        <v>85</v>
      </c>
      <c r="AM67" s="9">
        <v>0.024038</v>
      </c>
      <c r="AN67" s="9" t="s">
        <v>85</v>
      </c>
      <c r="AO67" s="9" t="s">
        <v>85</v>
      </c>
      <c r="AP67" s="30">
        <v>0.019231</v>
      </c>
      <c r="AQ67" s="9" t="s">
        <v>85</v>
      </c>
      <c r="AR67" s="9" t="s">
        <v>85</v>
      </c>
      <c r="AS67" s="9">
        <v>0.024038</v>
      </c>
      <c r="AT67" s="9" t="s">
        <v>85</v>
      </c>
      <c r="AU67" s="9" t="s">
        <v>85</v>
      </c>
      <c r="AV67" s="9">
        <v>0.019231</v>
      </c>
      <c r="AW67" s="9" t="s">
        <v>85</v>
      </c>
      <c r="AX67" s="9" t="s">
        <v>85</v>
      </c>
      <c r="AY67" s="9">
        <v>0.019231</v>
      </c>
      <c r="AZ67" s="9" t="s">
        <v>85</v>
      </c>
      <c r="BA67" s="9" t="s">
        <v>85</v>
      </c>
      <c r="BB67" s="30">
        <v>0.019231</v>
      </c>
      <c r="BC67" s="9" t="s">
        <v>85</v>
      </c>
      <c r="BD67" s="10" t="s">
        <v>85</v>
      </c>
      <c r="BE67" s="10" t="s">
        <v>85</v>
      </c>
      <c r="BF67" s="9" t="s">
        <v>85</v>
      </c>
      <c r="BG67" s="6"/>
      <c r="BH67" s="6" t="str">
        <f t="shared" si="1"/>
        <v>8BN_Fold_Median</v>
      </c>
      <c r="BI67" s="6" t="str">
        <f t="shared" si="2"/>
        <v>8BN_Fold_Median</v>
      </c>
      <c r="BJ67" s="6" t="str">
        <f t="shared" si="3"/>
        <v>8BN_Fold_Median</v>
      </c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</row>
    <row r="68" ht="15.75" customHeight="1">
      <c r="A68" s="1" t="s">
        <v>162</v>
      </c>
      <c r="B68" s="9" t="s">
        <v>85</v>
      </c>
      <c r="C68" s="9">
        <v>0.942857</v>
      </c>
      <c r="D68" s="9" t="s">
        <v>85</v>
      </c>
      <c r="E68" s="9" t="s">
        <v>85</v>
      </c>
      <c r="F68" s="30">
        <v>0.942857146</v>
      </c>
      <c r="G68" s="9" t="s">
        <v>85</v>
      </c>
      <c r="H68" s="9" t="s">
        <v>85</v>
      </c>
      <c r="I68" s="9">
        <v>0.990476</v>
      </c>
      <c r="J68" s="9" t="s">
        <v>85</v>
      </c>
      <c r="K68" s="9" t="s">
        <v>85</v>
      </c>
      <c r="L68" s="9">
        <v>0.990476</v>
      </c>
      <c r="M68" s="9" t="s">
        <v>85</v>
      </c>
      <c r="N68" s="9" t="s">
        <v>85</v>
      </c>
      <c r="O68" s="9">
        <v>0.990476</v>
      </c>
      <c r="P68" s="9" t="s">
        <v>85</v>
      </c>
      <c r="Q68" s="9" t="s">
        <v>85</v>
      </c>
      <c r="R68" s="9">
        <v>1.0</v>
      </c>
      <c r="S68" s="9" t="s">
        <v>85</v>
      </c>
      <c r="T68" s="9" t="s">
        <v>85</v>
      </c>
      <c r="U68" s="9">
        <v>0.971429</v>
      </c>
      <c r="V68" s="9" t="s">
        <v>85</v>
      </c>
      <c r="W68" s="9" t="s">
        <v>85</v>
      </c>
      <c r="X68" s="9">
        <v>0.980952</v>
      </c>
      <c r="Y68" s="9" t="s">
        <v>85</v>
      </c>
      <c r="Z68" s="9" t="s">
        <v>85</v>
      </c>
      <c r="AA68" s="30">
        <v>0.990476</v>
      </c>
      <c r="AB68" s="9" t="s">
        <v>85</v>
      </c>
      <c r="AC68" s="9" t="s">
        <v>85</v>
      </c>
      <c r="AD68" s="30">
        <v>0.990476</v>
      </c>
      <c r="AE68" s="9" t="s">
        <v>85</v>
      </c>
      <c r="AF68" s="9" t="s">
        <v>85</v>
      </c>
      <c r="AG68" s="9">
        <v>0.990476</v>
      </c>
      <c r="AH68" s="9" t="s">
        <v>85</v>
      </c>
      <c r="AI68" s="9" t="s">
        <v>85</v>
      </c>
      <c r="AJ68" s="9">
        <v>0.961905</v>
      </c>
      <c r="AK68" s="9" t="s">
        <v>85</v>
      </c>
      <c r="AL68" s="9" t="s">
        <v>85</v>
      </c>
      <c r="AM68" s="9">
        <v>1.0</v>
      </c>
      <c r="AN68" s="9" t="s">
        <v>85</v>
      </c>
      <c r="AO68" s="9" t="s">
        <v>85</v>
      </c>
      <c r="AP68" s="30">
        <v>1.0</v>
      </c>
      <c r="AQ68" s="9" t="s">
        <v>85</v>
      </c>
      <c r="AR68" s="9" t="s">
        <v>85</v>
      </c>
      <c r="AS68" s="9">
        <v>0.980952</v>
      </c>
      <c r="AT68" s="9" t="s">
        <v>85</v>
      </c>
      <c r="AU68" s="9" t="s">
        <v>85</v>
      </c>
      <c r="AV68" s="9">
        <v>0.980952</v>
      </c>
      <c r="AW68" s="9" t="s">
        <v>85</v>
      </c>
      <c r="AX68" s="9" t="s">
        <v>85</v>
      </c>
      <c r="AY68" s="9">
        <v>1.0</v>
      </c>
      <c r="AZ68" s="9" t="s">
        <v>85</v>
      </c>
      <c r="BA68" s="9" t="s">
        <v>85</v>
      </c>
      <c r="BB68" s="30">
        <v>0.980952</v>
      </c>
      <c r="BC68" s="9" t="s">
        <v>85</v>
      </c>
      <c r="BD68" s="10" t="s">
        <v>85</v>
      </c>
      <c r="BE68" s="10" t="s">
        <v>85</v>
      </c>
      <c r="BF68" s="9" t="s">
        <v>85</v>
      </c>
      <c r="BG68" s="6"/>
      <c r="BH68" s="6" t="str">
        <f t="shared" si="1"/>
        <v>8BN_Fold_Median</v>
      </c>
      <c r="BI68" s="6" t="str">
        <f t="shared" si="2"/>
        <v>8BN_Fold_Median</v>
      </c>
      <c r="BJ68" s="6" t="str">
        <f t="shared" si="3"/>
        <v>8BN_Fold_Median</v>
      </c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</row>
    <row r="69" ht="15.75" customHeight="1">
      <c r="A69" s="1" t="s">
        <v>163</v>
      </c>
      <c r="B69" s="9" t="s">
        <v>85</v>
      </c>
      <c r="C69" s="9">
        <v>0.848781</v>
      </c>
      <c r="D69" s="9" t="s">
        <v>85</v>
      </c>
      <c r="E69" s="9" t="s">
        <v>85</v>
      </c>
      <c r="F69" s="30">
        <v>0.829268277</v>
      </c>
      <c r="G69" s="9" t="s">
        <v>85</v>
      </c>
      <c r="H69" s="9" t="s">
        <v>85</v>
      </c>
      <c r="I69" s="9">
        <v>0.848781</v>
      </c>
      <c r="J69" s="9" t="s">
        <v>85</v>
      </c>
      <c r="K69" s="9" t="s">
        <v>85</v>
      </c>
      <c r="L69" s="9">
        <v>0.848781</v>
      </c>
      <c r="M69" s="9" t="s">
        <v>85</v>
      </c>
      <c r="N69" s="9" t="s">
        <v>85</v>
      </c>
      <c r="O69" s="9">
        <v>0.843902</v>
      </c>
      <c r="P69" s="9" t="s">
        <v>85</v>
      </c>
      <c r="Q69" s="9" t="s">
        <v>85</v>
      </c>
      <c r="R69" s="9">
        <v>0.848781</v>
      </c>
      <c r="S69" s="9" t="s">
        <v>85</v>
      </c>
      <c r="T69" s="9" t="s">
        <v>85</v>
      </c>
      <c r="U69" s="9">
        <v>0.829268</v>
      </c>
      <c r="V69" s="9" t="s">
        <v>85</v>
      </c>
      <c r="W69" s="9" t="s">
        <v>85</v>
      </c>
      <c r="X69" s="9">
        <v>0.848781</v>
      </c>
      <c r="Y69" s="9" t="s">
        <v>85</v>
      </c>
      <c r="Z69" s="9" t="s">
        <v>85</v>
      </c>
      <c r="AA69" s="30">
        <v>0.834146</v>
      </c>
      <c r="AB69" s="9" t="s">
        <v>85</v>
      </c>
      <c r="AC69" s="9" t="s">
        <v>85</v>
      </c>
      <c r="AD69" s="30">
        <v>0.843902</v>
      </c>
      <c r="AE69" s="9" t="s">
        <v>85</v>
      </c>
      <c r="AF69" s="9" t="s">
        <v>85</v>
      </c>
      <c r="AG69" s="9">
        <v>0.839024</v>
      </c>
      <c r="AH69" s="9" t="s">
        <v>85</v>
      </c>
      <c r="AI69" s="9" t="s">
        <v>85</v>
      </c>
      <c r="AJ69" s="9">
        <v>0.848781</v>
      </c>
      <c r="AK69" s="9" t="s">
        <v>85</v>
      </c>
      <c r="AL69" s="9" t="s">
        <v>85</v>
      </c>
      <c r="AM69" s="9">
        <v>0.829268</v>
      </c>
      <c r="AN69" s="9" t="s">
        <v>85</v>
      </c>
      <c r="AO69" s="9" t="s">
        <v>85</v>
      </c>
      <c r="AP69" s="30">
        <v>0.848781</v>
      </c>
      <c r="AQ69" s="9" t="s">
        <v>85</v>
      </c>
      <c r="AR69" s="9" t="s">
        <v>85</v>
      </c>
      <c r="AS69" s="9">
        <v>0.863415</v>
      </c>
      <c r="AT69" s="9" t="s">
        <v>85</v>
      </c>
      <c r="AU69" s="9" t="s">
        <v>85</v>
      </c>
      <c r="AV69" s="9">
        <v>0.848781</v>
      </c>
      <c r="AW69" s="9" t="s">
        <v>85</v>
      </c>
      <c r="AX69" s="9" t="s">
        <v>85</v>
      </c>
      <c r="AY69" s="9">
        <v>0.843902</v>
      </c>
      <c r="AZ69" s="9" t="s">
        <v>85</v>
      </c>
      <c r="BA69" s="9" t="s">
        <v>85</v>
      </c>
      <c r="BB69" s="30">
        <v>0.848781</v>
      </c>
      <c r="BC69" s="9" t="s">
        <v>85</v>
      </c>
      <c r="BD69" s="10" t="s">
        <v>85</v>
      </c>
      <c r="BE69" s="10" t="s">
        <v>85</v>
      </c>
      <c r="BF69" s="9" t="s">
        <v>85</v>
      </c>
      <c r="BG69" s="6"/>
      <c r="BH69" s="6" t="str">
        <f t="shared" si="1"/>
        <v>12V_Fold_Median</v>
      </c>
      <c r="BI69" s="6" t="str">
        <f t="shared" si="2"/>
        <v>5B_Fold_Median</v>
      </c>
      <c r="BJ69" s="6" t="str">
        <f t="shared" si="3"/>
        <v>5B_Fold_Median</v>
      </c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</row>
    <row r="70" ht="15.75" customHeight="1">
      <c r="A70" s="1" t="s">
        <v>164</v>
      </c>
      <c r="B70" s="9" t="s">
        <v>85</v>
      </c>
      <c r="C70" s="9">
        <v>0.800687</v>
      </c>
      <c r="D70" s="9" t="s">
        <v>85</v>
      </c>
      <c r="E70" s="9" t="s">
        <v>85</v>
      </c>
      <c r="F70" s="30">
        <v>0.786941588</v>
      </c>
      <c r="G70" s="9" t="s">
        <v>85</v>
      </c>
      <c r="H70" s="9" t="s">
        <v>85</v>
      </c>
      <c r="I70" s="9">
        <v>0.814433</v>
      </c>
      <c r="J70" s="9" t="s">
        <v>85</v>
      </c>
      <c r="K70" s="9" t="s">
        <v>85</v>
      </c>
      <c r="L70" s="9">
        <v>0.831615</v>
      </c>
      <c r="M70" s="9" t="s">
        <v>85</v>
      </c>
      <c r="N70" s="9" t="s">
        <v>85</v>
      </c>
      <c r="O70" s="9">
        <v>0.800687</v>
      </c>
      <c r="P70" s="9" t="s">
        <v>85</v>
      </c>
      <c r="Q70" s="9" t="s">
        <v>85</v>
      </c>
      <c r="R70" s="9">
        <v>0.800687</v>
      </c>
      <c r="S70" s="9" t="s">
        <v>85</v>
      </c>
      <c r="T70" s="9" t="s">
        <v>85</v>
      </c>
      <c r="U70" s="9">
        <v>0.828179</v>
      </c>
      <c r="V70" s="9" t="s">
        <v>85</v>
      </c>
      <c r="W70" s="9" t="s">
        <v>85</v>
      </c>
      <c r="X70" s="9">
        <v>0.821306</v>
      </c>
      <c r="Y70" s="9" t="s">
        <v>85</v>
      </c>
      <c r="Z70" s="9" t="s">
        <v>85</v>
      </c>
      <c r="AA70" s="30">
        <v>0.817869</v>
      </c>
      <c r="AB70" s="9" t="s">
        <v>85</v>
      </c>
      <c r="AC70" s="9" t="s">
        <v>85</v>
      </c>
      <c r="AD70" s="30">
        <v>0.810997</v>
      </c>
      <c r="AE70" s="9" t="s">
        <v>85</v>
      </c>
      <c r="AF70" s="9" t="s">
        <v>85</v>
      </c>
      <c r="AG70" s="9">
        <v>0.835052</v>
      </c>
      <c r="AH70" s="9" t="s">
        <v>85</v>
      </c>
      <c r="AI70" s="9" t="s">
        <v>85</v>
      </c>
      <c r="AJ70" s="9">
        <v>0.838488</v>
      </c>
      <c r="AK70" s="9" t="s">
        <v>85</v>
      </c>
      <c r="AL70" s="9" t="s">
        <v>85</v>
      </c>
      <c r="AM70" s="9">
        <v>0.817869</v>
      </c>
      <c r="AN70" s="9" t="s">
        <v>85</v>
      </c>
      <c r="AO70" s="9" t="s">
        <v>85</v>
      </c>
      <c r="AP70" s="30">
        <v>0.797251</v>
      </c>
      <c r="AQ70" s="9" t="s">
        <v>85</v>
      </c>
      <c r="AR70" s="9" t="s">
        <v>85</v>
      </c>
      <c r="AS70" s="9">
        <v>0.852234</v>
      </c>
      <c r="AT70" s="9" t="s">
        <v>85</v>
      </c>
      <c r="AU70" s="9" t="s">
        <v>85</v>
      </c>
      <c r="AV70" s="9">
        <v>0.852234</v>
      </c>
      <c r="AW70" s="9" t="s">
        <v>85</v>
      </c>
      <c r="AX70" s="9" t="s">
        <v>85</v>
      </c>
      <c r="AY70" s="9">
        <v>0.797251</v>
      </c>
      <c r="AZ70" s="9" t="s">
        <v>85</v>
      </c>
      <c r="BA70" s="9" t="s">
        <v>85</v>
      </c>
      <c r="BB70" s="30">
        <v>0.821306</v>
      </c>
      <c r="BC70" s="9" t="s">
        <v>85</v>
      </c>
      <c r="BD70" s="10" t="s">
        <v>85</v>
      </c>
      <c r="BE70" s="10" t="s">
        <v>85</v>
      </c>
      <c r="BF70" s="9" t="s">
        <v>85</v>
      </c>
      <c r="BG70" s="6"/>
      <c r="BH70" s="6" t="str">
        <f t="shared" si="1"/>
        <v>12V_Fold_Median</v>
      </c>
      <c r="BI70" s="6" t="str">
        <f t="shared" si="2"/>
        <v>12V_Fold_Median</v>
      </c>
      <c r="BJ70" s="6" t="str">
        <f t="shared" si="3"/>
        <v>10VB_Fold_Median</v>
      </c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</row>
    <row r="71" ht="15.75" customHeight="1">
      <c r="A71" s="1" t="s">
        <v>165</v>
      </c>
      <c r="B71" s="9" t="s">
        <v>85</v>
      </c>
      <c r="C71" s="9">
        <v>0.765854</v>
      </c>
      <c r="D71" s="9" t="s">
        <v>85</v>
      </c>
      <c r="E71" s="9" t="s">
        <v>85</v>
      </c>
      <c r="F71" s="30">
        <v>0.67804879</v>
      </c>
      <c r="G71" s="9" t="s">
        <v>85</v>
      </c>
      <c r="H71" s="9" t="s">
        <v>85</v>
      </c>
      <c r="I71" s="9">
        <v>0.77561</v>
      </c>
      <c r="J71" s="9" t="s">
        <v>85</v>
      </c>
      <c r="K71" s="9" t="s">
        <v>85</v>
      </c>
      <c r="L71" s="9">
        <v>0.795122</v>
      </c>
      <c r="M71" s="9" t="s">
        <v>85</v>
      </c>
      <c r="N71" s="9" t="s">
        <v>85</v>
      </c>
      <c r="O71" s="9">
        <v>0.756098</v>
      </c>
      <c r="P71" s="9" t="s">
        <v>85</v>
      </c>
      <c r="Q71" s="9" t="s">
        <v>85</v>
      </c>
      <c r="R71" s="9">
        <v>0.77561</v>
      </c>
      <c r="S71" s="9" t="s">
        <v>85</v>
      </c>
      <c r="T71" s="9" t="s">
        <v>85</v>
      </c>
      <c r="U71" s="9">
        <v>0.804878</v>
      </c>
      <c r="V71" s="9" t="s">
        <v>85</v>
      </c>
      <c r="W71" s="9" t="s">
        <v>85</v>
      </c>
      <c r="X71" s="9">
        <v>0.678049</v>
      </c>
      <c r="Y71" s="9" t="s">
        <v>85</v>
      </c>
      <c r="Z71" s="9" t="s">
        <v>85</v>
      </c>
      <c r="AA71" s="30">
        <v>0.770732</v>
      </c>
      <c r="AB71" s="9" t="s">
        <v>85</v>
      </c>
      <c r="AC71" s="9" t="s">
        <v>85</v>
      </c>
      <c r="AD71" s="30">
        <v>0.678049</v>
      </c>
      <c r="AE71" s="9" t="s">
        <v>85</v>
      </c>
      <c r="AF71" s="9" t="s">
        <v>85</v>
      </c>
      <c r="AG71" s="9">
        <v>0.765854</v>
      </c>
      <c r="AH71" s="9" t="s">
        <v>85</v>
      </c>
      <c r="AI71" s="9" t="s">
        <v>85</v>
      </c>
      <c r="AJ71" s="9">
        <v>0.780488</v>
      </c>
      <c r="AK71" s="9" t="s">
        <v>85</v>
      </c>
      <c r="AL71" s="9" t="s">
        <v>85</v>
      </c>
      <c r="AM71" s="9">
        <v>0.765854</v>
      </c>
      <c r="AN71" s="9" t="s">
        <v>85</v>
      </c>
      <c r="AO71" s="9" t="s">
        <v>85</v>
      </c>
      <c r="AP71" s="30">
        <v>0.780488</v>
      </c>
      <c r="AQ71" s="9" t="s">
        <v>85</v>
      </c>
      <c r="AR71" s="9" t="s">
        <v>85</v>
      </c>
      <c r="AS71" s="9">
        <v>0.760976</v>
      </c>
      <c r="AT71" s="9" t="s">
        <v>85</v>
      </c>
      <c r="AU71" s="9" t="s">
        <v>85</v>
      </c>
      <c r="AV71" s="9">
        <v>0.785366</v>
      </c>
      <c r="AW71" s="9" t="s">
        <v>85</v>
      </c>
      <c r="AX71" s="9" t="s">
        <v>85</v>
      </c>
      <c r="AY71" s="9">
        <v>0.756098</v>
      </c>
      <c r="AZ71" s="9" t="s">
        <v>85</v>
      </c>
      <c r="BA71" s="9" t="s">
        <v>85</v>
      </c>
      <c r="BB71" s="30">
        <v>0.790244</v>
      </c>
      <c r="BC71" s="9" t="s">
        <v>85</v>
      </c>
      <c r="BD71" s="10" t="s">
        <v>85</v>
      </c>
      <c r="BE71" s="10" t="s">
        <v>85</v>
      </c>
      <c r="BF71" s="9" t="s">
        <v>85</v>
      </c>
      <c r="BG71" s="6"/>
      <c r="BH71" s="6" t="str">
        <f t="shared" si="1"/>
        <v>8V_Fold_Median</v>
      </c>
      <c r="BI71" s="6" t="str">
        <f t="shared" si="2"/>
        <v>5VB_Fold_Median</v>
      </c>
      <c r="BJ71" s="6" t="str">
        <f t="shared" si="3"/>
        <v>20V_Fold_Median</v>
      </c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</row>
    <row r="72" ht="15.75" customHeight="1">
      <c r="A72" s="1" t="s">
        <v>166</v>
      </c>
      <c r="B72" s="9" t="s">
        <v>85</v>
      </c>
      <c r="C72" s="9">
        <v>0.48</v>
      </c>
      <c r="D72" s="9" t="s">
        <v>85</v>
      </c>
      <c r="E72" s="9" t="s">
        <v>85</v>
      </c>
      <c r="F72" s="30">
        <v>0.519999981</v>
      </c>
      <c r="G72" s="9" t="s">
        <v>85</v>
      </c>
      <c r="H72" s="9" t="s">
        <v>85</v>
      </c>
      <c r="I72" s="9">
        <v>0.5</v>
      </c>
      <c r="J72" s="9" t="s">
        <v>85</v>
      </c>
      <c r="K72" s="9" t="s">
        <v>85</v>
      </c>
      <c r="L72" s="9">
        <v>0.58</v>
      </c>
      <c r="M72" s="9" t="s">
        <v>85</v>
      </c>
      <c r="N72" s="9" t="s">
        <v>85</v>
      </c>
      <c r="O72" s="9">
        <v>0.48</v>
      </c>
      <c r="P72" s="9" t="s">
        <v>85</v>
      </c>
      <c r="Q72" s="9" t="s">
        <v>85</v>
      </c>
      <c r="R72" s="9">
        <v>0.54</v>
      </c>
      <c r="S72" s="9" t="s">
        <v>85</v>
      </c>
      <c r="T72" s="9" t="s">
        <v>85</v>
      </c>
      <c r="U72" s="9">
        <v>0.54</v>
      </c>
      <c r="V72" s="9" t="s">
        <v>85</v>
      </c>
      <c r="W72" s="9" t="s">
        <v>85</v>
      </c>
      <c r="X72" s="9">
        <v>0.58</v>
      </c>
      <c r="Y72" s="9" t="s">
        <v>85</v>
      </c>
      <c r="Z72" s="9" t="s">
        <v>85</v>
      </c>
      <c r="AA72" s="30">
        <v>0.62</v>
      </c>
      <c r="AB72" s="9" t="s">
        <v>85</v>
      </c>
      <c r="AC72" s="9" t="s">
        <v>85</v>
      </c>
      <c r="AD72" s="30">
        <v>0.54</v>
      </c>
      <c r="AE72" s="9" t="s">
        <v>85</v>
      </c>
      <c r="AF72" s="9" t="s">
        <v>85</v>
      </c>
      <c r="AG72" s="9">
        <v>0.6</v>
      </c>
      <c r="AH72" s="9" t="s">
        <v>85</v>
      </c>
      <c r="AI72" s="9" t="s">
        <v>85</v>
      </c>
      <c r="AJ72" s="9">
        <v>0.7</v>
      </c>
      <c r="AK72" s="9" t="s">
        <v>85</v>
      </c>
      <c r="AL72" s="9" t="s">
        <v>85</v>
      </c>
      <c r="AM72" s="9">
        <v>0.54</v>
      </c>
      <c r="AN72" s="9" t="s">
        <v>85</v>
      </c>
      <c r="AO72" s="9" t="s">
        <v>85</v>
      </c>
      <c r="AP72" s="30">
        <v>0.54</v>
      </c>
      <c r="AQ72" s="9" t="s">
        <v>85</v>
      </c>
      <c r="AR72" s="9" t="s">
        <v>85</v>
      </c>
      <c r="AS72" s="9">
        <v>0.6</v>
      </c>
      <c r="AT72" s="9" t="s">
        <v>85</v>
      </c>
      <c r="AU72" s="9" t="s">
        <v>85</v>
      </c>
      <c r="AV72" s="9">
        <v>0.52</v>
      </c>
      <c r="AW72" s="9" t="s">
        <v>85</v>
      </c>
      <c r="AX72" s="9" t="s">
        <v>85</v>
      </c>
      <c r="AY72" s="9">
        <v>0.6</v>
      </c>
      <c r="AZ72" s="9" t="s">
        <v>85</v>
      </c>
      <c r="BA72" s="9" t="s">
        <v>85</v>
      </c>
      <c r="BB72" s="30">
        <v>0.64</v>
      </c>
      <c r="BC72" s="9" t="s">
        <v>85</v>
      </c>
      <c r="BD72" s="10" t="s">
        <v>85</v>
      </c>
      <c r="BE72" s="10" t="s">
        <v>85</v>
      </c>
      <c r="BF72" s="9" t="s">
        <v>85</v>
      </c>
      <c r="BG72" s="6"/>
      <c r="BH72" s="6" t="str">
        <f t="shared" si="1"/>
        <v>10VB_Fold_Median</v>
      </c>
      <c r="BI72" s="6" t="str">
        <f t="shared" si="2"/>
        <v>20V_Fold_Median</v>
      </c>
      <c r="BJ72" s="6" t="str">
        <f t="shared" si="3"/>
        <v>10B_Fold_Median</v>
      </c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</row>
    <row r="73" ht="15.75" customHeight="1">
      <c r="A73" s="1" t="s">
        <v>167</v>
      </c>
      <c r="B73" s="9" t="s">
        <v>85</v>
      </c>
      <c r="C73" s="9">
        <v>0.554667</v>
      </c>
      <c r="D73" s="9" t="s">
        <v>85</v>
      </c>
      <c r="E73" s="9" t="s">
        <v>85</v>
      </c>
      <c r="F73" s="30">
        <v>0.527999997</v>
      </c>
      <c r="G73" s="9" t="s">
        <v>85</v>
      </c>
      <c r="H73" s="9" t="s">
        <v>85</v>
      </c>
      <c r="I73" s="9">
        <v>0.450667</v>
      </c>
      <c r="J73" s="9" t="s">
        <v>85</v>
      </c>
      <c r="K73" s="9" t="s">
        <v>85</v>
      </c>
      <c r="L73" s="9">
        <v>0.434667</v>
      </c>
      <c r="M73" s="9" t="s">
        <v>85</v>
      </c>
      <c r="N73" s="9" t="s">
        <v>85</v>
      </c>
      <c r="O73" s="9">
        <v>0.570667</v>
      </c>
      <c r="P73" s="9" t="s">
        <v>85</v>
      </c>
      <c r="Q73" s="9" t="s">
        <v>85</v>
      </c>
      <c r="R73" s="1" t="s">
        <v>85</v>
      </c>
      <c r="S73" s="9" t="s">
        <v>85</v>
      </c>
      <c r="T73" s="9" t="s">
        <v>85</v>
      </c>
      <c r="U73" s="9">
        <v>0.416</v>
      </c>
      <c r="V73" s="9" t="s">
        <v>85</v>
      </c>
      <c r="W73" s="9" t="s">
        <v>85</v>
      </c>
      <c r="X73" s="9">
        <v>0.426667</v>
      </c>
      <c r="Y73" s="9" t="s">
        <v>85</v>
      </c>
      <c r="Z73" s="9" t="s">
        <v>85</v>
      </c>
      <c r="AA73" s="30">
        <v>0.573333</v>
      </c>
      <c r="AB73" s="9" t="s">
        <v>85</v>
      </c>
      <c r="AC73" s="9" t="s">
        <v>85</v>
      </c>
      <c r="AD73" s="30">
        <v>0.589333</v>
      </c>
      <c r="AE73" s="9" t="s">
        <v>85</v>
      </c>
      <c r="AF73" s="9" t="s">
        <v>85</v>
      </c>
      <c r="AG73" s="9">
        <v>0.421333</v>
      </c>
      <c r="AH73" s="9" t="s">
        <v>85</v>
      </c>
      <c r="AI73" s="9" t="s">
        <v>85</v>
      </c>
      <c r="AJ73" s="9">
        <v>0.461333</v>
      </c>
      <c r="AK73" s="9" t="s">
        <v>85</v>
      </c>
      <c r="AL73" s="9" t="s">
        <v>85</v>
      </c>
      <c r="AM73" s="9">
        <v>0.56</v>
      </c>
      <c r="AN73" s="9" t="s">
        <v>85</v>
      </c>
      <c r="AO73" s="9" t="s">
        <v>85</v>
      </c>
      <c r="AP73" s="30">
        <v>0.538667</v>
      </c>
      <c r="AQ73" s="9" t="s">
        <v>85</v>
      </c>
      <c r="AR73" s="9" t="s">
        <v>85</v>
      </c>
      <c r="AS73" s="9">
        <v>0.445333</v>
      </c>
      <c r="AT73" s="9" t="s">
        <v>85</v>
      </c>
      <c r="AU73" s="9" t="s">
        <v>85</v>
      </c>
      <c r="AV73" s="9">
        <v>0.48</v>
      </c>
      <c r="AW73" s="9" t="s">
        <v>85</v>
      </c>
      <c r="AX73" s="9" t="s">
        <v>85</v>
      </c>
      <c r="AY73" s="9">
        <v>0.525333</v>
      </c>
      <c r="AZ73" s="9" t="s">
        <v>85</v>
      </c>
      <c r="BA73" s="9" t="s">
        <v>85</v>
      </c>
      <c r="BB73" s="30">
        <v>0.469333</v>
      </c>
      <c r="BC73" s="9" t="s">
        <v>85</v>
      </c>
      <c r="BD73" s="10" t="s">
        <v>85</v>
      </c>
      <c r="BE73" s="10" t="s">
        <v>85</v>
      </c>
      <c r="BF73" s="9" t="s">
        <v>85</v>
      </c>
      <c r="BG73" s="6"/>
      <c r="BH73" s="6" t="str">
        <f t="shared" si="1"/>
        <v>10BN_Fold_Median</v>
      </c>
      <c r="BI73" s="6" t="str">
        <f t="shared" si="2"/>
        <v>10B_Fold_Median</v>
      </c>
      <c r="BJ73" s="6" t="str">
        <f t="shared" si="3"/>
        <v>8B_Fold_Median</v>
      </c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</row>
    <row r="74" ht="15.75" customHeight="1">
      <c r="A74" s="1" t="s">
        <v>168</v>
      </c>
      <c r="B74" s="9" t="s">
        <v>85</v>
      </c>
      <c r="C74" s="9">
        <v>0.8</v>
      </c>
      <c r="D74" s="9" t="s">
        <v>85</v>
      </c>
      <c r="E74" s="9" t="s">
        <v>85</v>
      </c>
      <c r="F74" s="30">
        <v>0.711666644</v>
      </c>
      <c r="G74" s="9" t="s">
        <v>85</v>
      </c>
      <c r="H74" s="9" t="s">
        <v>85</v>
      </c>
      <c r="I74" s="9">
        <v>0.873333</v>
      </c>
      <c r="J74" s="9" t="s">
        <v>85</v>
      </c>
      <c r="K74" s="9" t="s">
        <v>85</v>
      </c>
      <c r="L74" s="9">
        <v>0.878333</v>
      </c>
      <c r="M74" s="9" t="s">
        <v>85</v>
      </c>
      <c r="N74" s="9" t="s">
        <v>85</v>
      </c>
      <c r="O74" s="9">
        <v>0.85</v>
      </c>
      <c r="P74" s="9" t="s">
        <v>85</v>
      </c>
      <c r="Q74" s="9" t="s">
        <v>85</v>
      </c>
      <c r="R74" s="9">
        <v>0.845</v>
      </c>
      <c r="S74" s="9" t="s">
        <v>85</v>
      </c>
      <c r="T74" s="9" t="s">
        <v>85</v>
      </c>
      <c r="U74" s="9">
        <v>0.913333</v>
      </c>
      <c r="V74" s="9" t="s">
        <v>85</v>
      </c>
      <c r="W74" s="9" t="s">
        <v>85</v>
      </c>
      <c r="X74" s="9">
        <v>0.901667</v>
      </c>
      <c r="Y74" s="9" t="s">
        <v>85</v>
      </c>
      <c r="Z74" s="9" t="s">
        <v>85</v>
      </c>
      <c r="AA74" s="30">
        <v>0.843333</v>
      </c>
      <c r="AB74" s="9" t="s">
        <v>85</v>
      </c>
      <c r="AC74" s="9" t="s">
        <v>85</v>
      </c>
      <c r="AD74" s="30">
        <v>0.84</v>
      </c>
      <c r="AE74" s="9" t="s">
        <v>85</v>
      </c>
      <c r="AF74" s="9" t="s">
        <v>85</v>
      </c>
      <c r="AG74" s="9">
        <v>0.896667</v>
      </c>
      <c r="AH74" s="9" t="s">
        <v>85</v>
      </c>
      <c r="AI74" s="9" t="s">
        <v>85</v>
      </c>
      <c r="AJ74" s="9">
        <v>0.903333</v>
      </c>
      <c r="AK74" s="9" t="s">
        <v>85</v>
      </c>
      <c r="AL74" s="9" t="s">
        <v>85</v>
      </c>
      <c r="AM74" s="9">
        <v>0.843333</v>
      </c>
      <c r="AN74" s="9" t="s">
        <v>85</v>
      </c>
      <c r="AO74" s="9" t="s">
        <v>85</v>
      </c>
      <c r="AP74" s="30">
        <v>0.85</v>
      </c>
      <c r="AQ74" s="9" t="s">
        <v>85</v>
      </c>
      <c r="AR74" s="9" t="s">
        <v>85</v>
      </c>
      <c r="AS74" s="9">
        <v>0.906667</v>
      </c>
      <c r="AT74" s="9" t="s">
        <v>85</v>
      </c>
      <c r="AU74" s="9" t="s">
        <v>85</v>
      </c>
      <c r="AV74" s="9">
        <v>0.911667</v>
      </c>
      <c r="AW74" s="9" t="s">
        <v>85</v>
      </c>
      <c r="AX74" s="9" t="s">
        <v>85</v>
      </c>
      <c r="AY74" s="9">
        <v>0.85</v>
      </c>
      <c r="AZ74" s="9" t="s">
        <v>85</v>
      </c>
      <c r="BA74" s="9" t="s">
        <v>85</v>
      </c>
      <c r="BB74" s="30">
        <v>0.916667</v>
      </c>
      <c r="BC74" s="9" t="s">
        <v>85</v>
      </c>
      <c r="BD74" s="10" t="s">
        <v>85</v>
      </c>
      <c r="BE74" s="10" t="s">
        <v>85</v>
      </c>
      <c r="BF74" s="9" t="s">
        <v>85</v>
      </c>
      <c r="BG74" s="6"/>
      <c r="BH74" s="6" t="str">
        <f t="shared" si="1"/>
        <v>20V_Fold_Median</v>
      </c>
      <c r="BI74" s="6" t="str">
        <f t="shared" si="2"/>
        <v>8V_Fold_Median</v>
      </c>
      <c r="BJ74" s="6" t="str">
        <f t="shared" si="3"/>
        <v>12VB_Fold_Median</v>
      </c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</row>
    <row r="75" ht="15.75" customHeight="1">
      <c r="A75" s="1" t="s">
        <v>169</v>
      </c>
      <c r="B75" s="9" t="s">
        <v>85</v>
      </c>
      <c r="C75" s="9">
        <v>0.382222</v>
      </c>
      <c r="D75" s="9" t="s">
        <v>85</v>
      </c>
      <c r="E75" s="9" t="s">
        <v>85</v>
      </c>
      <c r="F75" s="30">
        <v>0.395555556</v>
      </c>
      <c r="G75" s="9" t="s">
        <v>85</v>
      </c>
      <c r="H75" s="9" t="s">
        <v>85</v>
      </c>
      <c r="I75" s="9">
        <v>0.602222</v>
      </c>
      <c r="J75" s="9" t="s">
        <v>85</v>
      </c>
      <c r="K75" s="9" t="s">
        <v>85</v>
      </c>
      <c r="L75" s="9">
        <v>0.582222</v>
      </c>
      <c r="M75" s="9" t="s">
        <v>85</v>
      </c>
      <c r="N75" s="9" t="s">
        <v>85</v>
      </c>
      <c r="O75" s="9">
        <v>0.431111</v>
      </c>
      <c r="P75" s="9" t="s">
        <v>85</v>
      </c>
      <c r="Q75" s="9" t="s">
        <v>85</v>
      </c>
      <c r="R75" s="9">
        <v>0.377778</v>
      </c>
      <c r="S75" s="9" t="s">
        <v>85</v>
      </c>
      <c r="T75" s="9" t="s">
        <v>85</v>
      </c>
      <c r="U75" s="9">
        <v>0.46</v>
      </c>
      <c r="V75" s="9" t="s">
        <v>85</v>
      </c>
      <c r="W75" s="9" t="s">
        <v>85</v>
      </c>
      <c r="X75" s="9">
        <v>0.455556</v>
      </c>
      <c r="Y75" s="9" t="s">
        <v>85</v>
      </c>
      <c r="Z75" s="9" t="s">
        <v>85</v>
      </c>
      <c r="AA75" s="30">
        <v>0.44</v>
      </c>
      <c r="AB75" s="9" t="s">
        <v>85</v>
      </c>
      <c r="AC75" s="9" t="s">
        <v>85</v>
      </c>
      <c r="AD75" s="30">
        <v>0.44</v>
      </c>
      <c r="AE75" s="9" t="s">
        <v>85</v>
      </c>
      <c r="AF75" s="9" t="s">
        <v>85</v>
      </c>
      <c r="AG75" s="9">
        <v>0.455556</v>
      </c>
      <c r="AH75" s="9" t="s">
        <v>85</v>
      </c>
      <c r="AI75" s="9" t="s">
        <v>85</v>
      </c>
      <c r="AJ75" s="9">
        <v>0.424444</v>
      </c>
      <c r="AK75" s="9" t="s">
        <v>85</v>
      </c>
      <c r="AL75" s="9" t="s">
        <v>85</v>
      </c>
      <c r="AM75" s="9">
        <v>0.4</v>
      </c>
      <c r="AN75" s="9" t="s">
        <v>85</v>
      </c>
      <c r="AO75" s="9" t="s">
        <v>85</v>
      </c>
      <c r="AP75" s="30">
        <v>0.391111</v>
      </c>
      <c r="AQ75" s="9" t="s">
        <v>85</v>
      </c>
      <c r="AR75" s="9" t="s">
        <v>85</v>
      </c>
      <c r="AS75" s="9">
        <v>0.357778</v>
      </c>
      <c r="AT75" s="9" t="s">
        <v>85</v>
      </c>
      <c r="AU75" s="9" t="s">
        <v>85</v>
      </c>
      <c r="AV75" s="9">
        <v>0.462222</v>
      </c>
      <c r="AW75" s="9" t="s">
        <v>85</v>
      </c>
      <c r="AX75" s="9" t="s">
        <v>85</v>
      </c>
      <c r="AY75" s="9">
        <v>0.388889</v>
      </c>
      <c r="AZ75" s="9" t="s">
        <v>85</v>
      </c>
      <c r="BA75" s="9" t="s">
        <v>85</v>
      </c>
      <c r="BB75" s="30">
        <v>0.322222</v>
      </c>
      <c r="BC75" s="9" t="s">
        <v>85</v>
      </c>
      <c r="BD75" s="10" t="s">
        <v>85</v>
      </c>
      <c r="BE75" s="10" t="s">
        <v>85</v>
      </c>
      <c r="BF75" s="9" t="s">
        <v>85</v>
      </c>
      <c r="BG75" s="6"/>
      <c r="BH75" s="6" t="str">
        <f t="shared" si="1"/>
        <v>5V_Fold_Median</v>
      </c>
      <c r="BI75" s="6" t="str">
        <f t="shared" si="2"/>
        <v>5VB_Fold_Median</v>
      </c>
      <c r="BJ75" s="6" t="str">
        <f t="shared" si="3"/>
        <v>12VB_Fold_Median</v>
      </c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</row>
    <row r="76" ht="15.75" customHeight="1">
      <c r="A76" s="1" t="s">
        <v>170</v>
      </c>
      <c r="B76" s="9" t="s">
        <v>85</v>
      </c>
      <c r="C76" s="9">
        <v>0.704444</v>
      </c>
      <c r="D76" s="9" t="s">
        <v>85</v>
      </c>
      <c r="E76" s="9" t="s">
        <v>85</v>
      </c>
      <c r="F76" s="30">
        <v>0.680000007</v>
      </c>
      <c r="G76" s="9" t="s">
        <v>85</v>
      </c>
      <c r="H76" s="9" t="s">
        <v>85</v>
      </c>
      <c r="I76" s="9">
        <v>0.833333</v>
      </c>
      <c r="J76" s="9" t="s">
        <v>85</v>
      </c>
      <c r="K76" s="9" t="s">
        <v>85</v>
      </c>
      <c r="L76" s="9">
        <v>0.817778</v>
      </c>
      <c r="M76" s="9" t="s">
        <v>85</v>
      </c>
      <c r="N76" s="9" t="s">
        <v>85</v>
      </c>
      <c r="O76" s="9">
        <v>0.753333</v>
      </c>
      <c r="P76" s="9" t="s">
        <v>85</v>
      </c>
      <c r="Q76" s="9" t="s">
        <v>85</v>
      </c>
      <c r="R76" s="9">
        <v>0.757778</v>
      </c>
      <c r="S76" s="9" t="s">
        <v>85</v>
      </c>
      <c r="T76" s="9" t="s">
        <v>85</v>
      </c>
      <c r="U76" s="9">
        <v>0.82</v>
      </c>
      <c r="V76" s="9" t="s">
        <v>85</v>
      </c>
      <c r="W76" s="9" t="s">
        <v>85</v>
      </c>
      <c r="X76" s="9">
        <v>0.831111</v>
      </c>
      <c r="Y76" s="9" t="s">
        <v>85</v>
      </c>
      <c r="Z76" s="9" t="s">
        <v>85</v>
      </c>
      <c r="AA76" s="30">
        <v>0.762222</v>
      </c>
      <c r="AB76" s="9" t="s">
        <v>85</v>
      </c>
      <c r="AC76" s="9" t="s">
        <v>85</v>
      </c>
      <c r="AD76" s="30">
        <v>0.74</v>
      </c>
      <c r="AE76" s="9" t="s">
        <v>85</v>
      </c>
      <c r="AF76" s="9" t="s">
        <v>85</v>
      </c>
      <c r="AG76" s="9">
        <v>0.824444</v>
      </c>
      <c r="AH76" s="9" t="s">
        <v>85</v>
      </c>
      <c r="AI76" s="9" t="s">
        <v>85</v>
      </c>
      <c r="AJ76" s="9">
        <v>0.824444</v>
      </c>
      <c r="AK76" s="9" t="s">
        <v>85</v>
      </c>
      <c r="AL76" s="9" t="s">
        <v>85</v>
      </c>
      <c r="AM76" s="9">
        <v>0.74</v>
      </c>
      <c r="AN76" s="9" t="s">
        <v>85</v>
      </c>
      <c r="AO76" s="9" t="s">
        <v>85</v>
      </c>
      <c r="AP76" s="30">
        <v>0.76</v>
      </c>
      <c r="AQ76" s="9" t="s">
        <v>85</v>
      </c>
      <c r="AR76" s="9" t="s">
        <v>85</v>
      </c>
      <c r="AS76" s="9">
        <v>0.813333</v>
      </c>
      <c r="AT76" s="9" t="s">
        <v>85</v>
      </c>
      <c r="AU76" s="9" t="s">
        <v>85</v>
      </c>
      <c r="AV76" s="9">
        <v>0.844444</v>
      </c>
      <c r="AW76" s="9" t="s">
        <v>85</v>
      </c>
      <c r="AX76" s="9" t="s">
        <v>85</v>
      </c>
      <c r="AY76" s="9">
        <v>0.724444</v>
      </c>
      <c r="AZ76" s="9" t="s">
        <v>85</v>
      </c>
      <c r="BA76" s="9" t="s">
        <v>85</v>
      </c>
      <c r="BB76" s="30">
        <v>0.831111</v>
      </c>
      <c r="BC76" s="9" t="s">
        <v>85</v>
      </c>
      <c r="BD76" s="10" t="s">
        <v>85</v>
      </c>
      <c r="BE76" s="10" t="s">
        <v>85</v>
      </c>
      <c r="BF76" s="9" t="s">
        <v>85</v>
      </c>
      <c r="BG76" s="6"/>
      <c r="BH76" s="6" t="str">
        <f t="shared" si="1"/>
        <v>12VB_Fold_Median</v>
      </c>
      <c r="BI76" s="6" t="str">
        <f t="shared" si="2"/>
        <v>5V_Fold_Median</v>
      </c>
      <c r="BJ76" s="6" t="str">
        <f t="shared" si="3"/>
        <v>8VB_Fold_Median</v>
      </c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</row>
    <row r="77" ht="15.75" customHeight="1">
      <c r="A77" s="1" t="s">
        <v>171</v>
      </c>
      <c r="B77" s="9" t="s">
        <v>85</v>
      </c>
      <c r="C77" s="9">
        <v>0.5</v>
      </c>
      <c r="D77" s="9" t="s">
        <v>85</v>
      </c>
      <c r="E77" s="9" t="s">
        <v>85</v>
      </c>
      <c r="F77" s="30">
        <v>0.5</v>
      </c>
      <c r="G77" s="9" t="s">
        <v>85</v>
      </c>
      <c r="H77" s="9" t="s">
        <v>85</v>
      </c>
      <c r="I77" s="9">
        <v>0.5</v>
      </c>
      <c r="J77" s="9" t="s">
        <v>85</v>
      </c>
      <c r="K77" s="9" t="s">
        <v>85</v>
      </c>
      <c r="L77" s="9">
        <v>0.5</v>
      </c>
      <c r="M77" s="9" t="s">
        <v>85</v>
      </c>
      <c r="N77" s="9" t="s">
        <v>85</v>
      </c>
      <c r="O77" s="9">
        <v>0.5</v>
      </c>
      <c r="P77" s="9" t="s">
        <v>85</v>
      </c>
      <c r="Q77" s="9" t="s">
        <v>85</v>
      </c>
      <c r="R77" s="9">
        <v>0.538889</v>
      </c>
      <c r="S77" s="9" t="s">
        <v>85</v>
      </c>
      <c r="T77" s="9" t="s">
        <v>85</v>
      </c>
      <c r="U77" s="9">
        <v>0.505556</v>
      </c>
      <c r="V77" s="9" t="s">
        <v>85</v>
      </c>
      <c r="W77" s="9" t="s">
        <v>85</v>
      </c>
      <c r="X77" s="9">
        <v>0.5</v>
      </c>
      <c r="Y77" s="9" t="s">
        <v>85</v>
      </c>
      <c r="Z77" s="9" t="s">
        <v>85</v>
      </c>
      <c r="AA77" s="30">
        <v>0.5</v>
      </c>
      <c r="AB77" s="9" t="s">
        <v>85</v>
      </c>
      <c r="AC77" s="9" t="s">
        <v>85</v>
      </c>
      <c r="AD77" s="30">
        <v>0.5</v>
      </c>
      <c r="AE77" s="9" t="s">
        <v>85</v>
      </c>
      <c r="AF77" s="9" t="s">
        <v>85</v>
      </c>
      <c r="AG77" s="9">
        <v>0.5</v>
      </c>
      <c r="AH77" s="9" t="s">
        <v>85</v>
      </c>
      <c r="AI77" s="9" t="s">
        <v>85</v>
      </c>
      <c r="AJ77" s="9">
        <v>0.5</v>
      </c>
      <c r="AK77" s="9" t="s">
        <v>85</v>
      </c>
      <c r="AL77" s="9" t="s">
        <v>85</v>
      </c>
      <c r="AM77" s="9">
        <v>0.5</v>
      </c>
      <c r="AN77" s="9" t="s">
        <v>85</v>
      </c>
      <c r="AO77" s="9" t="s">
        <v>85</v>
      </c>
      <c r="AP77" s="30">
        <v>0.5</v>
      </c>
      <c r="AQ77" s="9" t="s">
        <v>85</v>
      </c>
      <c r="AR77" s="9" t="s">
        <v>85</v>
      </c>
      <c r="AS77" s="9">
        <v>0.483333</v>
      </c>
      <c r="AT77" s="9" t="s">
        <v>85</v>
      </c>
      <c r="AU77" s="9" t="s">
        <v>85</v>
      </c>
      <c r="AV77" s="9">
        <v>0.5</v>
      </c>
      <c r="AW77" s="9" t="s">
        <v>85</v>
      </c>
      <c r="AX77" s="9" t="s">
        <v>85</v>
      </c>
      <c r="AY77" s="9">
        <v>0.5</v>
      </c>
      <c r="AZ77" s="9" t="s">
        <v>85</v>
      </c>
      <c r="BA77" s="9" t="s">
        <v>85</v>
      </c>
      <c r="BB77" s="30">
        <v>0.516667</v>
      </c>
      <c r="BC77" s="9" t="s">
        <v>85</v>
      </c>
      <c r="BD77" s="10" t="s">
        <v>85</v>
      </c>
      <c r="BE77" s="10" t="s">
        <v>85</v>
      </c>
      <c r="BF77" s="9" t="s">
        <v>85</v>
      </c>
      <c r="BG77" s="6"/>
      <c r="BH77" s="6" t="str">
        <f t="shared" si="1"/>
        <v>8BN_Fold_Median</v>
      </c>
      <c r="BI77" s="6" t="str">
        <f t="shared" si="2"/>
        <v>20V_Fold_Median</v>
      </c>
      <c r="BJ77" s="6" t="str">
        <f t="shared" si="3"/>
        <v>8V_Fold_Median</v>
      </c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</row>
    <row r="78" ht="15.75" customHeight="1">
      <c r="A78" s="1" t="s">
        <v>172</v>
      </c>
      <c r="B78" s="9" t="s">
        <v>85</v>
      </c>
      <c r="C78" s="9">
        <v>0.37</v>
      </c>
      <c r="D78" s="9" t="s">
        <v>85</v>
      </c>
      <c r="E78" s="9" t="s">
        <v>85</v>
      </c>
      <c r="F78" s="30">
        <v>0.280000001</v>
      </c>
      <c r="G78" s="9" t="s">
        <v>85</v>
      </c>
      <c r="H78" s="9" t="s">
        <v>85</v>
      </c>
      <c r="I78" s="9">
        <v>0.468333</v>
      </c>
      <c r="J78" s="9" t="s">
        <v>85</v>
      </c>
      <c r="K78" s="9" t="s">
        <v>85</v>
      </c>
      <c r="L78" s="9">
        <v>0.308333</v>
      </c>
      <c r="M78" s="9" t="s">
        <v>85</v>
      </c>
      <c r="N78" s="9" t="s">
        <v>85</v>
      </c>
      <c r="O78" s="9">
        <v>0.455</v>
      </c>
      <c r="P78" s="9" t="s">
        <v>85</v>
      </c>
      <c r="Q78" s="9" t="s">
        <v>85</v>
      </c>
      <c r="R78" s="9">
        <v>0.416667</v>
      </c>
      <c r="S78" s="9" t="s">
        <v>85</v>
      </c>
      <c r="T78" s="9" t="s">
        <v>85</v>
      </c>
      <c r="U78" s="9">
        <v>0.35</v>
      </c>
      <c r="V78" s="9" t="s">
        <v>85</v>
      </c>
      <c r="W78" s="9" t="s">
        <v>85</v>
      </c>
      <c r="X78" s="9">
        <v>0.273333</v>
      </c>
      <c r="Y78" s="9" t="s">
        <v>85</v>
      </c>
      <c r="Z78" s="9" t="s">
        <v>85</v>
      </c>
      <c r="AA78" s="30">
        <v>0.38</v>
      </c>
      <c r="AB78" s="9" t="s">
        <v>85</v>
      </c>
      <c r="AC78" s="9" t="s">
        <v>85</v>
      </c>
      <c r="AD78" s="30">
        <v>0.371667</v>
      </c>
      <c r="AE78" s="9" t="s">
        <v>85</v>
      </c>
      <c r="AF78" s="9" t="s">
        <v>85</v>
      </c>
      <c r="AG78" s="9">
        <v>0.346667</v>
      </c>
      <c r="AH78" s="9" t="s">
        <v>85</v>
      </c>
      <c r="AI78" s="9" t="s">
        <v>85</v>
      </c>
      <c r="AJ78" s="9">
        <v>0.328333</v>
      </c>
      <c r="AK78" s="9" t="s">
        <v>85</v>
      </c>
      <c r="AL78" s="9" t="s">
        <v>85</v>
      </c>
      <c r="AM78" s="9">
        <v>0.336667</v>
      </c>
      <c r="AN78" s="9" t="s">
        <v>85</v>
      </c>
      <c r="AO78" s="9" t="s">
        <v>85</v>
      </c>
      <c r="AP78" s="30">
        <v>0.456667</v>
      </c>
      <c r="AQ78" s="9" t="s">
        <v>85</v>
      </c>
      <c r="AR78" s="9" t="s">
        <v>85</v>
      </c>
      <c r="AS78" s="9">
        <v>0.356667</v>
      </c>
      <c r="AT78" s="9" t="s">
        <v>85</v>
      </c>
      <c r="AU78" s="9" t="s">
        <v>85</v>
      </c>
      <c r="AV78" s="9">
        <v>0.416667</v>
      </c>
      <c r="AW78" s="9" t="s">
        <v>85</v>
      </c>
      <c r="AX78" s="9" t="s">
        <v>85</v>
      </c>
      <c r="AY78" s="9">
        <v>0.466667</v>
      </c>
      <c r="AZ78" s="9" t="s">
        <v>85</v>
      </c>
      <c r="BA78" s="9" t="s">
        <v>85</v>
      </c>
      <c r="BB78" s="30">
        <v>0.46</v>
      </c>
      <c r="BC78" s="9" t="s">
        <v>85</v>
      </c>
      <c r="BD78" s="10" t="s">
        <v>85</v>
      </c>
      <c r="BE78" s="10" t="s">
        <v>85</v>
      </c>
      <c r="BF78" s="9" t="s">
        <v>85</v>
      </c>
      <c r="BG78" s="6"/>
      <c r="BH78" s="6" t="str">
        <f t="shared" si="1"/>
        <v>5V_Fold_Median</v>
      </c>
      <c r="BI78" s="6" t="str">
        <f t="shared" si="2"/>
        <v>20B_Fold_Median</v>
      </c>
      <c r="BJ78" s="6" t="str">
        <f t="shared" si="3"/>
        <v>20V_Fold_Median</v>
      </c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</row>
    <row r="79" ht="15.75" customHeight="1">
      <c r="A79" s="1" t="s">
        <v>173</v>
      </c>
      <c r="B79" s="9" t="s">
        <v>85</v>
      </c>
      <c r="C79" s="9">
        <v>0.602667</v>
      </c>
      <c r="D79" s="9" t="s">
        <v>85</v>
      </c>
      <c r="E79" s="9" t="s">
        <v>85</v>
      </c>
      <c r="F79" s="30">
        <v>0.437333345</v>
      </c>
      <c r="G79" s="9" t="s">
        <v>85</v>
      </c>
      <c r="H79" s="9" t="s">
        <v>85</v>
      </c>
      <c r="I79" s="9">
        <v>0.786667</v>
      </c>
      <c r="J79" s="9" t="s">
        <v>85</v>
      </c>
      <c r="K79" s="9" t="s">
        <v>85</v>
      </c>
      <c r="L79" s="9">
        <v>0.773333</v>
      </c>
      <c r="M79" s="9" t="s">
        <v>85</v>
      </c>
      <c r="N79" s="9" t="s">
        <v>85</v>
      </c>
      <c r="O79" s="9">
        <v>0.653333</v>
      </c>
      <c r="P79" s="9" t="s">
        <v>85</v>
      </c>
      <c r="Q79" s="9" t="s">
        <v>85</v>
      </c>
      <c r="R79" s="9">
        <v>0.565333</v>
      </c>
      <c r="S79" s="9" t="s">
        <v>85</v>
      </c>
      <c r="T79" s="9" t="s">
        <v>85</v>
      </c>
      <c r="U79" s="9">
        <v>0.818667</v>
      </c>
      <c r="V79" s="9" t="s">
        <v>85</v>
      </c>
      <c r="W79" s="9" t="s">
        <v>85</v>
      </c>
      <c r="X79" s="9">
        <v>0.792</v>
      </c>
      <c r="Y79" s="9" t="s">
        <v>85</v>
      </c>
      <c r="Z79" s="9" t="s">
        <v>85</v>
      </c>
      <c r="AA79" s="30">
        <v>0.634667</v>
      </c>
      <c r="AB79" s="9" t="s">
        <v>85</v>
      </c>
      <c r="AC79" s="9" t="s">
        <v>85</v>
      </c>
      <c r="AD79" s="30">
        <v>0.645333</v>
      </c>
      <c r="AE79" s="9" t="s">
        <v>85</v>
      </c>
      <c r="AF79" s="9" t="s">
        <v>85</v>
      </c>
      <c r="AG79" s="9">
        <v>0.805333</v>
      </c>
      <c r="AH79" s="9" t="s">
        <v>85</v>
      </c>
      <c r="AI79" s="9" t="s">
        <v>85</v>
      </c>
      <c r="AJ79" s="9">
        <v>0.802667</v>
      </c>
      <c r="AK79" s="9" t="s">
        <v>85</v>
      </c>
      <c r="AL79" s="9" t="s">
        <v>85</v>
      </c>
      <c r="AM79" s="9">
        <v>0.602667</v>
      </c>
      <c r="AN79" s="9" t="s">
        <v>85</v>
      </c>
      <c r="AO79" s="9" t="s">
        <v>85</v>
      </c>
      <c r="AP79" s="30">
        <v>0.618667</v>
      </c>
      <c r="AQ79" s="9" t="s">
        <v>85</v>
      </c>
      <c r="AR79" s="9" t="s">
        <v>85</v>
      </c>
      <c r="AS79" s="9">
        <v>0.792</v>
      </c>
      <c r="AT79" s="9" t="s">
        <v>85</v>
      </c>
      <c r="AU79" s="9" t="s">
        <v>85</v>
      </c>
      <c r="AV79" s="9">
        <v>0.784</v>
      </c>
      <c r="AW79" s="9" t="s">
        <v>85</v>
      </c>
      <c r="AX79" s="9" t="s">
        <v>85</v>
      </c>
      <c r="AY79" s="9">
        <v>0.413333</v>
      </c>
      <c r="AZ79" s="9" t="s">
        <v>85</v>
      </c>
      <c r="BA79" s="9" t="s">
        <v>85</v>
      </c>
      <c r="BB79" s="30">
        <v>0.773333</v>
      </c>
      <c r="BC79" s="9" t="s">
        <v>85</v>
      </c>
      <c r="BD79" s="10" t="s">
        <v>85</v>
      </c>
      <c r="BE79" s="10" t="s">
        <v>85</v>
      </c>
      <c r="BF79" s="9" t="s">
        <v>85</v>
      </c>
      <c r="BG79" s="6"/>
      <c r="BH79" s="6" t="str">
        <f t="shared" si="1"/>
        <v>8V_Fold_Median</v>
      </c>
      <c r="BI79" s="6" t="str">
        <f t="shared" si="2"/>
        <v>10V_Fold_Median</v>
      </c>
      <c r="BJ79" s="6" t="str">
        <f t="shared" si="3"/>
        <v>10VB_Fold_Median</v>
      </c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</row>
    <row r="80" ht="15.75" customHeight="1">
      <c r="A80" s="1" t="s">
        <v>174</v>
      </c>
      <c r="B80" s="9" t="s">
        <v>85</v>
      </c>
      <c r="C80" s="9">
        <v>0.953333</v>
      </c>
      <c r="D80" s="9" t="s">
        <v>85</v>
      </c>
      <c r="E80" s="9" t="s">
        <v>85</v>
      </c>
      <c r="F80" s="30">
        <v>0.959999979</v>
      </c>
      <c r="G80" s="9" t="s">
        <v>85</v>
      </c>
      <c r="H80" s="9" t="s">
        <v>85</v>
      </c>
      <c r="I80" s="9">
        <v>0.906667</v>
      </c>
      <c r="J80" s="9" t="s">
        <v>85</v>
      </c>
      <c r="K80" s="9" t="s">
        <v>85</v>
      </c>
      <c r="L80" s="9">
        <v>0.933333</v>
      </c>
      <c r="M80" s="9" t="s">
        <v>85</v>
      </c>
      <c r="N80" s="9" t="s">
        <v>85</v>
      </c>
      <c r="O80" s="9">
        <v>0.926667</v>
      </c>
      <c r="P80" s="9" t="s">
        <v>85</v>
      </c>
      <c r="Q80" s="9" t="s">
        <v>85</v>
      </c>
      <c r="R80" s="9">
        <v>0.94</v>
      </c>
      <c r="S80" s="9" t="s">
        <v>85</v>
      </c>
      <c r="T80" s="9" t="s">
        <v>85</v>
      </c>
      <c r="U80" s="9">
        <v>0.333333</v>
      </c>
      <c r="V80" s="9" t="s">
        <v>85</v>
      </c>
      <c r="W80" s="9" t="s">
        <v>85</v>
      </c>
      <c r="X80" s="9">
        <v>0.92</v>
      </c>
      <c r="Y80" s="9" t="s">
        <v>85</v>
      </c>
      <c r="Z80" s="9" t="s">
        <v>85</v>
      </c>
      <c r="AA80" s="30">
        <v>0.92</v>
      </c>
      <c r="AB80" s="9" t="s">
        <v>85</v>
      </c>
      <c r="AC80" s="9" t="s">
        <v>85</v>
      </c>
      <c r="AD80" s="30">
        <v>0.913333</v>
      </c>
      <c r="AE80" s="9" t="s">
        <v>85</v>
      </c>
      <c r="AF80" s="9" t="s">
        <v>85</v>
      </c>
      <c r="AG80" s="9">
        <v>0.333333</v>
      </c>
      <c r="AH80" s="9" t="s">
        <v>85</v>
      </c>
      <c r="AI80" s="9" t="s">
        <v>85</v>
      </c>
      <c r="AJ80" s="9">
        <v>0.92</v>
      </c>
      <c r="AK80" s="9" t="s">
        <v>85</v>
      </c>
      <c r="AL80" s="9" t="s">
        <v>85</v>
      </c>
      <c r="AM80" s="9">
        <v>0.926667</v>
      </c>
      <c r="AN80" s="9" t="s">
        <v>85</v>
      </c>
      <c r="AO80" s="9" t="s">
        <v>85</v>
      </c>
      <c r="AP80" s="30">
        <v>0.92</v>
      </c>
      <c r="AQ80" s="9" t="s">
        <v>85</v>
      </c>
      <c r="AR80" s="9" t="s">
        <v>85</v>
      </c>
      <c r="AS80" s="9">
        <v>0.333333</v>
      </c>
      <c r="AT80" s="9" t="s">
        <v>85</v>
      </c>
      <c r="AU80" s="9" t="s">
        <v>85</v>
      </c>
      <c r="AV80" s="9">
        <v>0.94</v>
      </c>
      <c r="AW80" s="9" t="s">
        <v>85</v>
      </c>
      <c r="AX80" s="9" t="s">
        <v>85</v>
      </c>
      <c r="AY80" s="9">
        <v>0.726667</v>
      </c>
      <c r="AZ80" s="9" t="s">
        <v>85</v>
      </c>
      <c r="BA80" s="9" t="s">
        <v>85</v>
      </c>
      <c r="BB80" s="30">
        <v>0.813333</v>
      </c>
      <c r="BC80" s="9" t="s">
        <v>85</v>
      </c>
      <c r="BD80" s="10" t="s">
        <v>85</v>
      </c>
      <c r="BE80" s="10" t="s">
        <v>85</v>
      </c>
      <c r="BF80" s="9" t="s">
        <v>85</v>
      </c>
      <c r="BG80" s="6"/>
      <c r="BH80" s="6" t="str">
        <f t="shared" si="1"/>
        <v>5BN_Fold_Median</v>
      </c>
      <c r="BI80" s="6" t="str">
        <f t="shared" si="2"/>
        <v>5B_Fold_Median</v>
      </c>
      <c r="BJ80" s="6" t="str">
        <f t="shared" si="3"/>
        <v>8BN_Fold_Median</v>
      </c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</row>
    <row r="81" ht="15.75" customHeight="1">
      <c r="A81" s="1" t="s">
        <v>175</v>
      </c>
      <c r="B81" s="9" t="s">
        <v>85</v>
      </c>
      <c r="C81" s="9">
        <v>0.494176</v>
      </c>
      <c r="D81" s="9" t="s">
        <v>85</v>
      </c>
      <c r="E81" s="9" t="s">
        <v>85</v>
      </c>
      <c r="F81" s="30">
        <v>0.555740416</v>
      </c>
      <c r="G81" s="9" t="s">
        <v>85</v>
      </c>
      <c r="H81" s="9" t="s">
        <v>85</v>
      </c>
      <c r="I81" s="9">
        <v>0.429285</v>
      </c>
      <c r="J81" s="9" t="s">
        <v>85</v>
      </c>
      <c r="K81" s="9" t="s">
        <v>85</v>
      </c>
      <c r="L81" s="9">
        <v>0.429285</v>
      </c>
      <c r="M81" s="9" t="s">
        <v>85</v>
      </c>
      <c r="N81" s="9" t="s">
        <v>85</v>
      </c>
      <c r="O81" s="9">
        <v>0.464226</v>
      </c>
      <c r="P81" s="9" t="s">
        <v>85</v>
      </c>
      <c r="Q81" s="9" t="s">
        <v>85</v>
      </c>
      <c r="R81" s="9">
        <v>0.570715</v>
      </c>
      <c r="S81" s="9" t="s">
        <v>85</v>
      </c>
      <c r="T81" s="9" t="s">
        <v>85</v>
      </c>
      <c r="U81" s="9">
        <v>0.429285</v>
      </c>
      <c r="V81" s="9" t="s">
        <v>85</v>
      </c>
      <c r="W81" s="9" t="s">
        <v>85</v>
      </c>
      <c r="X81" s="9">
        <v>0.487521</v>
      </c>
      <c r="Y81" s="9" t="s">
        <v>85</v>
      </c>
      <c r="Z81" s="9" t="s">
        <v>85</v>
      </c>
      <c r="AA81" s="30">
        <v>0.454243</v>
      </c>
      <c r="AB81" s="9" t="s">
        <v>85</v>
      </c>
      <c r="AC81" s="9" t="s">
        <v>85</v>
      </c>
      <c r="AD81" s="30">
        <v>0.442596</v>
      </c>
      <c r="AE81" s="9" t="s">
        <v>85</v>
      </c>
      <c r="AF81" s="9" t="s">
        <v>85</v>
      </c>
      <c r="AG81" s="9">
        <v>0.429285</v>
      </c>
      <c r="AH81" s="9" t="s">
        <v>85</v>
      </c>
      <c r="AI81" s="9" t="s">
        <v>85</v>
      </c>
      <c r="AJ81" s="9">
        <v>0.462562</v>
      </c>
      <c r="AK81" s="9" t="s">
        <v>85</v>
      </c>
      <c r="AL81" s="9" t="s">
        <v>85</v>
      </c>
      <c r="AM81" s="9">
        <v>0.487521</v>
      </c>
      <c r="AN81" s="9" t="s">
        <v>85</v>
      </c>
      <c r="AO81" s="9" t="s">
        <v>85</v>
      </c>
      <c r="AP81" s="30">
        <v>0.459235</v>
      </c>
      <c r="AQ81" s="9" t="s">
        <v>85</v>
      </c>
      <c r="AR81" s="9" t="s">
        <v>85</v>
      </c>
      <c r="AS81" s="9">
        <v>0.638935</v>
      </c>
      <c r="AT81" s="9" t="s">
        <v>85</v>
      </c>
      <c r="AU81" s="9" t="s">
        <v>85</v>
      </c>
      <c r="AV81" s="9">
        <v>0.497504</v>
      </c>
      <c r="AW81" s="9" t="s">
        <v>85</v>
      </c>
      <c r="AX81" s="9" t="s">
        <v>85</v>
      </c>
      <c r="AY81" s="9">
        <v>0.459235</v>
      </c>
      <c r="AZ81" s="9" t="s">
        <v>85</v>
      </c>
      <c r="BA81" s="9" t="s">
        <v>85</v>
      </c>
      <c r="BB81" s="30">
        <v>0.434276</v>
      </c>
      <c r="BC81" s="9" t="s">
        <v>85</v>
      </c>
      <c r="BD81" s="10" t="s">
        <v>85</v>
      </c>
      <c r="BE81" s="10" t="s">
        <v>85</v>
      </c>
      <c r="BF81" s="9" t="s">
        <v>85</v>
      </c>
      <c r="BG81" s="6"/>
      <c r="BH81" s="6" t="str">
        <f t="shared" si="1"/>
        <v>12V_Fold_Median</v>
      </c>
      <c r="BI81" s="6" t="str">
        <f t="shared" si="2"/>
        <v>8BN_Fold_Median</v>
      </c>
      <c r="BJ81" s="6" t="str">
        <f t="shared" si="3"/>
        <v>5BN_Fold_Median</v>
      </c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</row>
    <row r="82" ht="15.75" customHeight="1">
      <c r="A82" s="1" t="s">
        <v>176</v>
      </c>
      <c r="B82" s="9" t="s">
        <v>85</v>
      </c>
      <c r="C82" s="9">
        <v>0.735572</v>
      </c>
      <c r="D82" s="9" t="s">
        <v>85</v>
      </c>
      <c r="E82" s="9" t="s">
        <v>85</v>
      </c>
      <c r="F82" s="30">
        <v>0.731374621</v>
      </c>
      <c r="G82" s="9" t="s">
        <v>85</v>
      </c>
      <c r="H82" s="9" t="s">
        <v>85</v>
      </c>
      <c r="I82" s="9">
        <v>0.758657</v>
      </c>
      <c r="J82" s="9" t="s">
        <v>85</v>
      </c>
      <c r="K82" s="9" t="s">
        <v>85</v>
      </c>
      <c r="L82" s="9">
        <v>0.759706</v>
      </c>
      <c r="M82" s="9" t="s">
        <v>85</v>
      </c>
      <c r="N82" s="9" t="s">
        <v>85</v>
      </c>
      <c r="O82" s="9">
        <v>0.777545</v>
      </c>
      <c r="P82" s="9" t="s">
        <v>85</v>
      </c>
      <c r="Q82" s="9" t="s">
        <v>85</v>
      </c>
      <c r="R82" s="9">
        <v>0.774397</v>
      </c>
      <c r="S82" s="9" t="s">
        <v>85</v>
      </c>
      <c r="T82" s="9" t="s">
        <v>85</v>
      </c>
      <c r="U82" s="9">
        <v>0.76915</v>
      </c>
      <c r="V82" s="9" t="s">
        <v>85</v>
      </c>
      <c r="W82" s="9" t="s">
        <v>85</v>
      </c>
      <c r="X82" s="9">
        <v>0.770199</v>
      </c>
      <c r="Y82" s="9" t="s">
        <v>85</v>
      </c>
      <c r="Z82" s="9" t="s">
        <v>85</v>
      </c>
      <c r="AA82" s="30">
        <v>0.764953</v>
      </c>
      <c r="AB82" s="9" t="s">
        <v>85</v>
      </c>
      <c r="AC82" s="9" t="s">
        <v>85</v>
      </c>
      <c r="AD82" s="30">
        <v>0.767051</v>
      </c>
      <c r="AE82" s="9" t="s">
        <v>85</v>
      </c>
      <c r="AF82" s="9" t="s">
        <v>85</v>
      </c>
      <c r="AG82" s="9">
        <v>0.755509</v>
      </c>
      <c r="AH82" s="9" t="s">
        <v>85</v>
      </c>
      <c r="AI82" s="9" t="s">
        <v>85</v>
      </c>
      <c r="AJ82" s="9">
        <v>0.758657</v>
      </c>
      <c r="AK82" s="9" t="s">
        <v>85</v>
      </c>
      <c r="AL82" s="9" t="s">
        <v>85</v>
      </c>
      <c r="AM82" s="9">
        <v>0.786988</v>
      </c>
      <c r="AN82" s="9" t="s">
        <v>85</v>
      </c>
      <c r="AO82" s="9" t="s">
        <v>85</v>
      </c>
      <c r="AP82" s="30">
        <v>0.781742</v>
      </c>
      <c r="AQ82" s="9" t="s">
        <v>85</v>
      </c>
      <c r="AR82" s="9" t="s">
        <v>85</v>
      </c>
      <c r="AS82" s="9">
        <v>0.786988</v>
      </c>
      <c r="AT82" s="9" t="s">
        <v>85</v>
      </c>
      <c r="AU82" s="9" t="s">
        <v>85</v>
      </c>
      <c r="AV82" s="9">
        <v>0.792235</v>
      </c>
      <c r="AW82" s="9" t="s">
        <v>85</v>
      </c>
      <c r="AX82" s="9" t="s">
        <v>85</v>
      </c>
      <c r="AY82" s="9">
        <v>0.767051</v>
      </c>
      <c r="AZ82" s="9" t="s">
        <v>85</v>
      </c>
      <c r="BA82" s="9" t="s">
        <v>85</v>
      </c>
      <c r="BB82" s="30">
        <v>0.780693</v>
      </c>
      <c r="BC82" s="9" t="s">
        <v>85</v>
      </c>
      <c r="BD82" s="10" t="s">
        <v>85</v>
      </c>
      <c r="BE82" s="10" t="s">
        <v>85</v>
      </c>
      <c r="BF82" s="9" t="s">
        <v>85</v>
      </c>
      <c r="BG82" s="6"/>
      <c r="BH82" s="6" t="str">
        <f t="shared" si="1"/>
        <v>12VB_Fold_Median</v>
      </c>
      <c r="BI82" s="6" t="str">
        <f t="shared" si="2"/>
        <v>12B_Fold_Median</v>
      </c>
      <c r="BJ82" s="6" t="str">
        <f t="shared" si="3"/>
        <v>12B_Fold_Median</v>
      </c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</row>
    <row r="83" ht="15.75" customHeight="1">
      <c r="A83" s="1" t="s">
        <v>177</v>
      </c>
      <c r="B83" s="9" t="s">
        <v>85</v>
      </c>
      <c r="C83" s="9">
        <v>0.918893</v>
      </c>
      <c r="D83" s="9" t="s">
        <v>85</v>
      </c>
      <c r="E83" s="9" t="s">
        <v>85</v>
      </c>
      <c r="F83" s="30">
        <v>0.919014096</v>
      </c>
      <c r="G83" s="9" t="s">
        <v>85</v>
      </c>
      <c r="H83" s="9" t="s">
        <v>85</v>
      </c>
      <c r="I83" s="9">
        <v>0.930063</v>
      </c>
      <c r="J83" s="9" t="s">
        <v>85</v>
      </c>
      <c r="K83" s="9" t="s">
        <v>85</v>
      </c>
      <c r="L83" s="9">
        <v>0.923992</v>
      </c>
      <c r="M83" s="9" t="s">
        <v>85</v>
      </c>
      <c r="N83" s="9" t="s">
        <v>85</v>
      </c>
      <c r="O83" s="9">
        <v>0.929335</v>
      </c>
      <c r="P83" s="9" t="s">
        <v>85</v>
      </c>
      <c r="Q83" s="9" t="s">
        <v>85</v>
      </c>
      <c r="R83" s="9">
        <v>0.927635</v>
      </c>
      <c r="S83" s="9" t="s">
        <v>85</v>
      </c>
      <c r="T83" s="9" t="s">
        <v>85</v>
      </c>
      <c r="U83" s="9">
        <v>0.927635</v>
      </c>
      <c r="V83" s="9" t="s">
        <v>85</v>
      </c>
      <c r="W83" s="9" t="s">
        <v>85</v>
      </c>
      <c r="X83" s="9">
        <v>0.92812</v>
      </c>
      <c r="Y83" s="9" t="s">
        <v>85</v>
      </c>
      <c r="Z83" s="9" t="s">
        <v>85</v>
      </c>
      <c r="AA83" s="30">
        <v>0.922292</v>
      </c>
      <c r="AB83" s="9" t="s">
        <v>85</v>
      </c>
      <c r="AC83" s="9" t="s">
        <v>85</v>
      </c>
      <c r="AD83" s="30">
        <v>0.924964</v>
      </c>
      <c r="AE83" s="9" t="s">
        <v>85</v>
      </c>
      <c r="AF83" s="9" t="s">
        <v>85</v>
      </c>
      <c r="AG83" s="9">
        <v>0.932734</v>
      </c>
      <c r="AH83" s="9" t="s">
        <v>85</v>
      </c>
      <c r="AI83" s="9" t="s">
        <v>85</v>
      </c>
      <c r="AJ83" s="9">
        <v>0.932491</v>
      </c>
      <c r="AK83" s="9" t="s">
        <v>85</v>
      </c>
      <c r="AL83" s="9" t="s">
        <v>85</v>
      </c>
      <c r="AM83" s="9">
        <v>0.931642</v>
      </c>
      <c r="AN83" s="9" t="s">
        <v>85</v>
      </c>
      <c r="AO83" s="9" t="s">
        <v>85</v>
      </c>
      <c r="AP83" s="30">
        <v>0.926906</v>
      </c>
      <c r="AQ83" s="9" t="s">
        <v>85</v>
      </c>
      <c r="AR83" s="9" t="s">
        <v>85</v>
      </c>
      <c r="AS83" s="9">
        <v>0.936863</v>
      </c>
      <c r="AT83" s="9" t="s">
        <v>85</v>
      </c>
      <c r="AU83" s="9" t="s">
        <v>85</v>
      </c>
      <c r="AV83" s="9">
        <v>0.940748</v>
      </c>
      <c r="AW83" s="9" t="s">
        <v>85</v>
      </c>
      <c r="AX83" s="9" t="s">
        <v>85</v>
      </c>
      <c r="AY83" s="9">
        <v>0.93407</v>
      </c>
      <c r="AZ83" s="9" t="s">
        <v>85</v>
      </c>
      <c r="BA83" s="9" t="s">
        <v>85</v>
      </c>
      <c r="BB83" s="30">
        <v>0.946576</v>
      </c>
      <c r="BC83" s="9" t="s">
        <v>85</v>
      </c>
      <c r="BD83" s="10" t="s">
        <v>85</v>
      </c>
      <c r="BE83" s="10" t="s">
        <v>85</v>
      </c>
      <c r="BF83" s="9" t="s">
        <v>85</v>
      </c>
      <c r="BG83" s="6"/>
      <c r="BH83" s="6" t="str">
        <f t="shared" si="1"/>
        <v>20V_Fold_Median</v>
      </c>
      <c r="BI83" s="6" t="str">
        <f t="shared" si="2"/>
        <v>12VB_Fold_Median</v>
      </c>
      <c r="BJ83" s="6" t="str">
        <f t="shared" si="3"/>
        <v>12V_Fold_Median</v>
      </c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</row>
    <row r="84" ht="15.75" customHeight="1">
      <c r="A84" s="1" t="s">
        <v>178</v>
      </c>
      <c r="B84" s="9" t="s">
        <v>85</v>
      </c>
      <c r="C84" s="9">
        <v>0.9</v>
      </c>
      <c r="D84" s="9" t="s">
        <v>85</v>
      </c>
      <c r="E84" s="9" t="s">
        <v>85</v>
      </c>
      <c r="F84" s="30">
        <v>0.891891897</v>
      </c>
      <c r="G84" s="9" t="s">
        <v>85</v>
      </c>
      <c r="H84" s="9" t="s">
        <v>85</v>
      </c>
      <c r="I84" s="9">
        <v>0.908108</v>
      </c>
      <c r="J84" s="9" t="s">
        <v>85</v>
      </c>
      <c r="K84" s="9" t="s">
        <v>85</v>
      </c>
      <c r="L84" s="9">
        <v>0.905405</v>
      </c>
      <c r="M84" s="9" t="s">
        <v>85</v>
      </c>
      <c r="N84" s="9" t="s">
        <v>85</v>
      </c>
      <c r="O84" s="9">
        <v>0.894595</v>
      </c>
      <c r="P84" s="9" t="s">
        <v>85</v>
      </c>
      <c r="Q84" s="9" t="s">
        <v>85</v>
      </c>
      <c r="R84" s="9">
        <v>0.897297</v>
      </c>
      <c r="S84" s="9" t="s">
        <v>85</v>
      </c>
      <c r="T84" s="9" t="s">
        <v>85</v>
      </c>
      <c r="U84" s="9">
        <v>0.886486</v>
      </c>
      <c r="V84" s="9" t="s">
        <v>85</v>
      </c>
      <c r="W84" s="9" t="s">
        <v>85</v>
      </c>
      <c r="X84" s="9">
        <v>0.905405</v>
      </c>
      <c r="Y84" s="9" t="s">
        <v>85</v>
      </c>
      <c r="Z84" s="9" t="s">
        <v>85</v>
      </c>
      <c r="AA84" s="30">
        <v>0.910811</v>
      </c>
      <c r="AB84" s="9" t="s">
        <v>85</v>
      </c>
      <c r="AC84" s="9" t="s">
        <v>85</v>
      </c>
      <c r="AD84" s="30">
        <v>0.908108</v>
      </c>
      <c r="AE84" s="9" t="s">
        <v>85</v>
      </c>
      <c r="AF84" s="9" t="s">
        <v>85</v>
      </c>
      <c r="AG84" s="9">
        <v>0.910811</v>
      </c>
      <c r="AH84" s="9" t="s">
        <v>85</v>
      </c>
      <c r="AI84" s="9" t="s">
        <v>85</v>
      </c>
      <c r="AJ84" s="9">
        <v>0.918919</v>
      </c>
      <c r="AK84" s="9" t="s">
        <v>85</v>
      </c>
      <c r="AL84" s="9" t="s">
        <v>85</v>
      </c>
      <c r="AM84" s="9">
        <v>0.913514</v>
      </c>
      <c r="AN84" s="9" t="s">
        <v>85</v>
      </c>
      <c r="AO84" s="9" t="s">
        <v>85</v>
      </c>
      <c r="AP84" s="30">
        <v>0.910811</v>
      </c>
      <c r="AQ84" s="9" t="s">
        <v>85</v>
      </c>
      <c r="AR84" s="9" t="s">
        <v>85</v>
      </c>
      <c r="AS84" s="9">
        <v>0.92973</v>
      </c>
      <c r="AT84" s="9" t="s">
        <v>85</v>
      </c>
      <c r="AU84" s="9" t="s">
        <v>85</v>
      </c>
      <c r="AV84" s="9">
        <v>0.932432</v>
      </c>
      <c r="AW84" s="9" t="s">
        <v>85</v>
      </c>
      <c r="AX84" s="9" t="s">
        <v>85</v>
      </c>
      <c r="AY84" s="9">
        <v>0.921622</v>
      </c>
      <c r="AZ84" s="9" t="s">
        <v>85</v>
      </c>
      <c r="BA84" s="9" t="s">
        <v>85</v>
      </c>
      <c r="BB84" s="30">
        <v>0.924324</v>
      </c>
      <c r="BC84" s="9" t="s">
        <v>85</v>
      </c>
      <c r="BD84" s="10" t="s">
        <v>85</v>
      </c>
      <c r="BE84" s="10" t="s">
        <v>85</v>
      </c>
      <c r="BF84" s="9" t="s">
        <v>85</v>
      </c>
      <c r="BG84" s="6"/>
      <c r="BH84" s="6" t="str">
        <f t="shared" si="1"/>
        <v>12VB_Fold_Median</v>
      </c>
      <c r="BI84" s="6" t="str">
        <f t="shared" si="2"/>
        <v>12V_Fold_Median</v>
      </c>
      <c r="BJ84" s="6" t="str">
        <f t="shared" si="3"/>
        <v>20V_Fold_Median</v>
      </c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</row>
    <row r="85" ht="15.75" customHeight="1">
      <c r="A85" s="1" t="s">
        <v>179</v>
      </c>
      <c r="B85" s="9" t="s">
        <v>85</v>
      </c>
      <c r="C85" s="9">
        <v>0.6848</v>
      </c>
      <c r="D85" s="9" t="s">
        <v>85</v>
      </c>
      <c r="E85" s="9" t="s">
        <v>85</v>
      </c>
      <c r="F85" s="30">
        <v>0.673600018</v>
      </c>
      <c r="G85" s="9" t="s">
        <v>85</v>
      </c>
      <c r="H85" s="9" t="s">
        <v>85</v>
      </c>
      <c r="I85" s="9">
        <v>0.696</v>
      </c>
      <c r="J85" s="9" t="s">
        <v>85</v>
      </c>
      <c r="K85" s="9" t="s">
        <v>85</v>
      </c>
      <c r="L85" s="9">
        <v>0.6208</v>
      </c>
      <c r="M85" s="9" t="s">
        <v>85</v>
      </c>
      <c r="N85" s="9" t="s">
        <v>85</v>
      </c>
      <c r="O85" s="9">
        <v>0.7824</v>
      </c>
      <c r="P85" s="9" t="s">
        <v>85</v>
      </c>
      <c r="Q85" s="9" t="s">
        <v>85</v>
      </c>
      <c r="R85" s="9">
        <v>0.7488</v>
      </c>
      <c r="S85" s="9" t="s">
        <v>85</v>
      </c>
      <c r="T85" s="9" t="s">
        <v>85</v>
      </c>
      <c r="U85" s="9">
        <v>0.768</v>
      </c>
      <c r="V85" s="9" t="s">
        <v>85</v>
      </c>
      <c r="W85" s="9" t="s">
        <v>85</v>
      </c>
      <c r="X85" s="9">
        <v>0.6256</v>
      </c>
      <c r="Y85" s="9" t="s">
        <v>85</v>
      </c>
      <c r="Z85" s="9" t="s">
        <v>85</v>
      </c>
      <c r="AA85" s="30">
        <v>0.808</v>
      </c>
      <c r="AB85" s="9" t="s">
        <v>85</v>
      </c>
      <c r="AC85" s="9" t="s">
        <v>85</v>
      </c>
      <c r="AD85" s="30">
        <v>0.7728</v>
      </c>
      <c r="AE85" s="9" t="s">
        <v>85</v>
      </c>
      <c r="AF85" s="9" t="s">
        <v>85</v>
      </c>
      <c r="AG85" s="9">
        <v>0.7488</v>
      </c>
      <c r="AH85" s="9" t="s">
        <v>85</v>
      </c>
      <c r="AI85" s="9" t="s">
        <v>85</v>
      </c>
      <c r="AJ85" s="9">
        <v>0.68</v>
      </c>
      <c r="AK85" s="9" t="s">
        <v>85</v>
      </c>
      <c r="AL85" s="9" t="s">
        <v>85</v>
      </c>
      <c r="AM85" s="9">
        <v>0.7648</v>
      </c>
      <c r="AN85" s="9" t="s">
        <v>85</v>
      </c>
      <c r="AO85" s="9" t="s">
        <v>85</v>
      </c>
      <c r="AP85" s="30">
        <v>0.7904</v>
      </c>
      <c r="AQ85" s="9" t="s">
        <v>85</v>
      </c>
      <c r="AR85" s="9" t="s">
        <v>85</v>
      </c>
      <c r="AS85" s="9">
        <v>0.704</v>
      </c>
      <c r="AT85" s="9" t="s">
        <v>85</v>
      </c>
      <c r="AU85" s="9" t="s">
        <v>85</v>
      </c>
      <c r="AV85" s="9">
        <v>0.7776</v>
      </c>
      <c r="AW85" s="9" t="s">
        <v>85</v>
      </c>
      <c r="AX85" s="9" t="s">
        <v>85</v>
      </c>
      <c r="AY85" s="9">
        <v>0.7536</v>
      </c>
      <c r="AZ85" s="9" t="s">
        <v>85</v>
      </c>
      <c r="BA85" s="9" t="s">
        <v>85</v>
      </c>
      <c r="BB85" s="30">
        <v>0.6752</v>
      </c>
      <c r="BC85" s="9" t="s">
        <v>85</v>
      </c>
      <c r="BD85" s="10" t="s">
        <v>85</v>
      </c>
      <c r="BE85" s="10" t="s">
        <v>85</v>
      </c>
      <c r="BF85" s="9" t="s">
        <v>85</v>
      </c>
      <c r="BG85" s="6"/>
      <c r="BH85" s="6" t="str">
        <f t="shared" si="1"/>
        <v>10B_Fold_Median</v>
      </c>
      <c r="BI85" s="6" t="str">
        <f t="shared" si="2"/>
        <v>12BN_Fold_Median</v>
      </c>
      <c r="BJ85" s="6" t="str">
        <f t="shared" si="3"/>
        <v>8B_Fold_Median</v>
      </c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</row>
    <row r="86" ht="15.75" customHeight="1">
      <c r="A86" s="1" t="s">
        <v>180</v>
      </c>
      <c r="B86" s="9" t="s">
        <v>85</v>
      </c>
      <c r="C86" s="9">
        <v>0.744724</v>
      </c>
      <c r="D86" s="9" t="s">
        <v>85</v>
      </c>
      <c r="E86" s="9" t="s">
        <v>85</v>
      </c>
      <c r="F86" s="30">
        <v>0.703517616</v>
      </c>
      <c r="G86" s="9" t="s">
        <v>85</v>
      </c>
      <c r="H86" s="9" t="s">
        <v>85</v>
      </c>
      <c r="I86" s="9">
        <v>0.767839</v>
      </c>
      <c r="J86" s="9" t="s">
        <v>85</v>
      </c>
      <c r="K86" s="9" t="s">
        <v>85</v>
      </c>
      <c r="L86" s="9">
        <v>0.78794</v>
      </c>
      <c r="M86" s="9" t="s">
        <v>85</v>
      </c>
      <c r="N86" s="9" t="s">
        <v>85</v>
      </c>
      <c r="O86" s="9">
        <v>0.745729</v>
      </c>
      <c r="P86" s="9" t="s">
        <v>85</v>
      </c>
      <c r="Q86" s="9" t="s">
        <v>85</v>
      </c>
      <c r="R86" s="9">
        <v>0.742714</v>
      </c>
      <c r="S86" s="9" t="s">
        <v>85</v>
      </c>
      <c r="T86" s="9" t="s">
        <v>85</v>
      </c>
      <c r="U86" s="9">
        <v>0.78191</v>
      </c>
      <c r="V86" s="9" t="s">
        <v>85</v>
      </c>
      <c r="W86" s="9" t="s">
        <v>85</v>
      </c>
      <c r="X86" s="9">
        <v>0.722613</v>
      </c>
      <c r="Y86" s="9" t="s">
        <v>85</v>
      </c>
      <c r="Z86" s="9" t="s">
        <v>85</v>
      </c>
      <c r="AA86" s="30">
        <v>0.747739</v>
      </c>
      <c r="AB86" s="9" t="s">
        <v>85</v>
      </c>
      <c r="AC86" s="9" t="s">
        <v>85</v>
      </c>
      <c r="AD86" s="30">
        <v>0.728643</v>
      </c>
      <c r="AE86" s="9" t="s">
        <v>85</v>
      </c>
      <c r="AF86" s="9" t="s">
        <v>85</v>
      </c>
      <c r="AG86" s="9">
        <v>0.736683</v>
      </c>
      <c r="AH86" s="9" t="s">
        <v>85</v>
      </c>
      <c r="AI86" s="9" t="s">
        <v>85</v>
      </c>
      <c r="AJ86" s="9">
        <v>0.777889</v>
      </c>
      <c r="AK86" s="9" t="s">
        <v>85</v>
      </c>
      <c r="AL86" s="9" t="s">
        <v>85</v>
      </c>
      <c r="AM86" s="9">
        <v>0.686432</v>
      </c>
      <c r="AN86" s="9" t="s">
        <v>85</v>
      </c>
      <c r="AO86" s="9" t="s">
        <v>85</v>
      </c>
      <c r="AP86" s="30">
        <v>0.712563</v>
      </c>
      <c r="AQ86" s="9" t="s">
        <v>85</v>
      </c>
      <c r="AR86" s="9" t="s">
        <v>85</v>
      </c>
      <c r="AS86" s="9">
        <v>0.750754</v>
      </c>
      <c r="AT86" s="9" t="s">
        <v>85</v>
      </c>
      <c r="AU86" s="9" t="s">
        <v>85</v>
      </c>
      <c r="AV86" s="9">
        <v>0.722613</v>
      </c>
      <c r="AW86" s="9" t="s">
        <v>85</v>
      </c>
      <c r="AX86" s="9" t="s">
        <v>85</v>
      </c>
      <c r="AY86" s="9">
        <v>0.619096</v>
      </c>
      <c r="AZ86" s="9" t="s">
        <v>85</v>
      </c>
      <c r="BA86" s="9" t="s">
        <v>85</v>
      </c>
      <c r="BB86" s="30">
        <v>0.695477</v>
      </c>
      <c r="BC86" s="9" t="s">
        <v>85</v>
      </c>
      <c r="BD86" s="10" t="s">
        <v>85</v>
      </c>
      <c r="BE86" s="10" t="s">
        <v>85</v>
      </c>
      <c r="BF86" s="9" t="s">
        <v>85</v>
      </c>
      <c r="BG86" s="6"/>
      <c r="BH86" s="6" t="str">
        <f t="shared" si="1"/>
        <v>5VB_Fold_Median</v>
      </c>
      <c r="BI86" s="6" t="str">
        <f t="shared" si="2"/>
        <v>8V_Fold_Median</v>
      </c>
      <c r="BJ86" s="6" t="str">
        <f t="shared" si="3"/>
        <v>10VB_Fold_Median</v>
      </c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</row>
    <row r="87" ht="15.75" customHeight="1">
      <c r="A87" s="1" t="s">
        <v>181</v>
      </c>
      <c r="B87" s="9" t="s">
        <v>85</v>
      </c>
      <c r="C87" s="9">
        <v>0.963333</v>
      </c>
      <c r="D87" s="9" t="s">
        <v>85</v>
      </c>
      <c r="E87" s="9" t="s">
        <v>85</v>
      </c>
      <c r="F87" s="30">
        <v>0.956666648</v>
      </c>
      <c r="G87" s="9" t="s">
        <v>85</v>
      </c>
      <c r="H87" s="9" t="s">
        <v>85</v>
      </c>
      <c r="I87" s="9">
        <v>0.94</v>
      </c>
      <c r="J87" s="9" t="s">
        <v>85</v>
      </c>
      <c r="K87" s="9" t="s">
        <v>85</v>
      </c>
      <c r="L87" s="9">
        <v>0.933333</v>
      </c>
      <c r="M87" s="9" t="s">
        <v>85</v>
      </c>
      <c r="N87" s="9" t="s">
        <v>85</v>
      </c>
      <c r="O87" s="9">
        <v>0.956667</v>
      </c>
      <c r="P87" s="9" t="s">
        <v>85</v>
      </c>
      <c r="Q87" s="9" t="s">
        <v>85</v>
      </c>
      <c r="R87" s="9">
        <v>0.953333</v>
      </c>
      <c r="S87" s="9" t="s">
        <v>85</v>
      </c>
      <c r="T87" s="9" t="s">
        <v>85</v>
      </c>
      <c r="U87" s="9">
        <v>0.923333</v>
      </c>
      <c r="V87" s="9" t="s">
        <v>85</v>
      </c>
      <c r="W87" s="9" t="s">
        <v>85</v>
      </c>
      <c r="X87" s="9">
        <v>0.923333</v>
      </c>
      <c r="Y87" s="9" t="s">
        <v>85</v>
      </c>
      <c r="Z87" s="9" t="s">
        <v>85</v>
      </c>
      <c r="AA87" s="30">
        <v>0.953333</v>
      </c>
      <c r="AB87" s="9" t="s">
        <v>85</v>
      </c>
      <c r="AC87" s="9" t="s">
        <v>85</v>
      </c>
      <c r="AD87" s="30">
        <v>0.953333</v>
      </c>
      <c r="AE87" s="9" t="s">
        <v>85</v>
      </c>
      <c r="AF87" s="9" t="s">
        <v>85</v>
      </c>
      <c r="AG87" s="9">
        <v>0.95</v>
      </c>
      <c r="AH87" s="9" t="s">
        <v>85</v>
      </c>
      <c r="AI87" s="9" t="s">
        <v>85</v>
      </c>
      <c r="AJ87" s="9">
        <v>0.95</v>
      </c>
      <c r="AK87" s="9" t="s">
        <v>85</v>
      </c>
      <c r="AL87" s="9" t="s">
        <v>85</v>
      </c>
      <c r="AM87" s="9">
        <v>0.976667</v>
      </c>
      <c r="AN87" s="9" t="s">
        <v>85</v>
      </c>
      <c r="AO87" s="9" t="s">
        <v>85</v>
      </c>
      <c r="AP87" s="30">
        <v>0.976667</v>
      </c>
      <c r="AQ87" s="9" t="s">
        <v>85</v>
      </c>
      <c r="AR87" s="9" t="s">
        <v>85</v>
      </c>
      <c r="AS87" s="9">
        <v>0.95</v>
      </c>
      <c r="AT87" s="9" t="s">
        <v>85</v>
      </c>
      <c r="AU87" s="9" t="s">
        <v>85</v>
      </c>
      <c r="AV87" s="9">
        <v>0.95</v>
      </c>
      <c r="AW87" s="9" t="s">
        <v>85</v>
      </c>
      <c r="AX87" s="9" t="s">
        <v>85</v>
      </c>
      <c r="AY87" s="9">
        <v>0.99</v>
      </c>
      <c r="AZ87" s="9" t="s">
        <v>85</v>
      </c>
      <c r="BA87" s="9" t="s">
        <v>85</v>
      </c>
      <c r="BB87" s="30">
        <v>0.953333</v>
      </c>
      <c r="BC87" s="9" t="s">
        <v>85</v>
      </c>
      <c r="BD87" s="10" t="s">
        <v>85</v>
      </c>
      <c r="BE87" s="10" t="s">
        <v>85</v>
      </c>
      <c r="BF87" s="9" t="s">
        <v>85</v>
      </c>
      <c r="BG87" s="6"/>
      <c r="BH87" s="6" t="str">
        <f t="shared" si="1"/>
        <v>20B_Fold_Median</v>
      </c>
      <c r="BI87" s="6" t="str">
        <f t="shared" si="2"/>
        <v>12B_Fold_Median</v>
      </c>
      <c r="BJ87" s="6" t="str">
        <f t="shared" si="3"/>
        <v>12B_Fold_Median</v>
      </c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</row>
    <row r="88" ht="15.75" customHeight="1">
      <c r="A88" s="1" t="s">
        <v>182</v>
      </c>
      <c r="B88" s="9" t="s">
        <v>85</v>
      </c>
      <c r="C88" s="9">
        <v>0.526316</v>
      </c>
      <c r="D88" s="9" t="s">
        <v>85</v>
      </c>
      <c r="E88" s="9" t="s">
        <v>85</v>
      </c>
      <c r="F88" s="30">
        <v>0.649122834</v>
      </c>
      <c r="G88" s="9" t="s">
        <v>85</v>
      </c>
      <c r="H88" s="9" t="s">
        <v>85</v>
      </c>
      <c r="I88" s="9">
        <v>0.644737</v>
      </c>
      <c r="J88" s="9" t="s">
        <v>85</v>
      </c>
      <c r="K88" s="9" t="s">
        <v>85</v>
      </c>
      <c r="L88" s="9">
        <v>0.723684</v>
      </c>
      <c r="M88" s="9" t="s">
        <v>85</v>
      </c>
      <c r="N88" s="9" t="s">
        <v>85</v>
      </c>
      <c r="O88" s="9">
        <v>0.596491</v>
      </c>
      <c r="P88" s="9" t="s">
        <v>85</v>
      </c>
      <c r="Q88" s="9" t="s">
        <v>85</v>
      </c>
      <c r="R88" s="9">
        <v>0.54386</v>
      </c>
      <c r="S88" s="9" t="s">
        <v>85</v>
      </c>
      <c r="T88" s="9" t="s">
        <v>85</v>
      </c>
      <c r="U88" s="9">
        <v>0.732456</v>
      </c>
      <c r="V88" s="9" t="s">
        <v>85</v>
      </c>
      <c r="W88" s="9" t="s">
        <v>85</v>
      </c>
      <c r="X88" s="9">
        <v>0.697368</v>
      </c>
      <c r="Y88" s="9" t="s">
        <v>85</v>
      </c>
      <c r="Z88" s="9" t="s">
        <v>85</v>
      </c>
      <c r="AA88" s="30">
        <v>0.526316</v>
      </c>
      <c r="AB88" s="9" t="s">
        <v>85</v>
      </c>
      <c r="AC88" s="9" t="s">
        <v>85</v>
      </c>
      <c r="AD88" s="30">
        <v>0.640351</v>
      </c>
      <c r="AE88" s="9" t="s">
        <v>85</v>
      </c>
      <c r="AF88" s="9" t="s">
        <v>85</v>
      </c>
      <c r="AG88" s="9">
        <v>0.723684</v>
      </c>
      <c r="AH88" s="9" t="s">
        <v>85</v>
      </c>
      <c r="AI88" s="9" t="s">
        <v>85</v>
      </c>
      <c r="AJ88" s="9">
        <v>0.745614</v>
      </c>
      <c r="AK88" s="9" t="s">
        <v>85</v>
      </c>
      <c r="AL88" s="9" t="s">
        <v>85</v>
      </c>
      <c r="AM88" s="9">
        <v>0.548246</v>
      </c>
      <c r="AN88" s="9" t="s">
        <v>85</v>
      </c>
      <c r="AO88" s="9" t="s">
        <v>85</v>
      </c>
      <c r="AP88" s="30">
        <v>0.618421</v>
      </c>
      <c r="AQ88" s="9" t="s">
        <v>85</v>
      </c>
      <c r="AR88" s="9" t="s">
        <v>85</v>
      </c>
      <c r="AS88" s="9">
        <v>0.72807</v>
      </c>
      <c r="AT88" s="9" t="s">
        <v>85</v>
      </c>
      <c r="AU88" s="9" t="s">
        <v>85</v>
      </c>
      <c r="AV88" s="9">
        <v>0.649123</v>
      </c>
      <c r="AW88" s="9" t="s">
        <v>85</v>
      </c>
      <c r="AX88" s="9" t="s">
        <v>85</v>
      </c>
      <c r="AY88" s="9">
        <v>0.565789</v>
      </c>
      <c r="AZ88" s="9" t="s">
        <v>85</v>
      </c>
      <c r="BA88" s="9" t="s">
        <v>85</v>
      </c>
      <c r="BB88" s="30">
        <v>0.548246</v>
      </c>
      <c r="BC88" s="9" t="s">
        <v>85</v>
      </c>
      <c r="BD88" s="10" t="s">
        <v>85</v>
      </c>
      <c r="BE88" s="10" t="s">
        <v>85</v>
      </c>
      <c r="BF88" s="9" t="s">
        <v>85</v>
      </c>
      <c r="BG88" s="6"/>
      <c r="BH88" s="6" t="str">
        <f t="shared" si="1"/>
        <v>10VB_Fold_Median</v>
      </c>
      <c r="BI88" s="6" t="str">
        <f t="shared" si="2"/>
        <v>8V_Fold_Median</v>
      </c>
      <c r="BJ88" s="6" t="str">
        <f t="shared" si="3"/>
        <v>12V_Fold_Median</v>
      </c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</row>
    <row r="89" ht="15.75" customHeight="1">
      <c r="A89" s="1" t="s">
        <v>183</v>
      </c>
      <c r="B89" s="9" t="s">
        <v>85</v>
      </c>
      <c r="C89" s="9">
        <v>0.830769</v>
      </c>
      <c r="D89" s="9" t="s">
        <v>85</v>
      </c>
      <c r="E89" s="9" t="s">
        <v>85</v>
      </c>
      <c r="F89" s="30">
        <v>0.784615397</v>
      </c>
      <c r="G89" s="9" t="s">
        <v>85</v>
      </c>
      <c r="H89" s="9" t="s">
        <v>85</v>
      </c>
      <c r="I89" s="9">
        <v>0.730769</v>
      </c>
      <c r="J89" s="9" t="s">
        <v>85</v>
      </c>
      <c r="K89" s="9" t="s">
        <v>85</v>
      </c>
      <c r="L89" s="9">
        <v>0.846154</v>
      </c>
      <c r="M89" s="9" t="s">
        <v>85</v>
      </c>
      <c r="N89" s="9" t="s">
        <v>85</v>
      </c>
      <c r="O89" s="9">
        <v>0.8</v>
      </c>
      <c r="P89" s="9" t="s">
        <v>85</v>
      </c>
      <c r="Q89" s="9" t="s">
        <v>85</v>
      </c>
      <c r="R89" s="9">
        <v>0.730769</v>
      </c>
      <c r="S89" s="9" t="s">
        <v>85</v>
      </c>
      <c r="T89" s="9" t="s">
        <v>85</v>
      </c>
      <c r="U89" s="9">
        <v>0.8</v>
      </c>
      <c r="V89" s="9" t="s">
        <v>85</v>
      </c>
      <c r="W89" s="9" t="s">
        <v>85</v>
      </c>
      <c r="X89" s="9">
        <v>0.723077</v>
      </c>
      <c r="Y89" s="9" t="s">
        <v>85</v>
      </c>
      <c r="Z89" s="9" t="s">
        <v>85</v>
      </c>
      <c r="AA89" s="30">
        <v>0.769231</v>
      </c>
      <c r="AB89" s="9" t="s">
        <v>85</v>
      </c>
      <c r="AC89" s="9" t="s">
        <v>85</v>
      </c>
      <c r="AD89" s="30">
        <v>0.8</v>
      </c>
      <c r="AE89" s="9" t="s">
        <v>85</v>
      </c>
      <c r="AF89" s="9" t="s">
        <v>85</v>
      </c>
      <c r="AG89" s="9">
        <v>0.823077</v>
      </c>
      <c r="AH89" s="9" t="s">
        <v>85</v>
      </c>
      <c r="AI89" s="9" t="s">
        <v>85</v>
      </c>
      <c r="AJ89" s="9">
        <v>0.784615</v>
      </c>
      <c r="AK89" s="9" t="s">
        <v>85</v>
      </c>
      <c r="AL89" s="9" t="s">
        <v>85</v>
      </c>
      <c r="AM89" s="9">
        <v>0.815385</v>
      </c>
      <c r="AN89" s="9" t="s">
        <v>85</v>
      </c>
      <c r="AO89" s="9" t="s">
        <v>85</v>
      </c>
      <c r="AP89" s="30">
        <v>0.776923</v>
      </c>
      <c r="AQ89" s="9" t="s">
        <v>85</v>
      </c>
      <c r="AR89" s="9" t="s">
        <v>85</v>
      </c>
      <c r="AS89" s="9">
        <v>0.730769</v>
      </c>
      <c r="AT89" s="9" t="s">
        <v>85</v>
      </c>
      <c r="AU89" s="9" t="s">
        <v>85</v>
      </c>
      <c r="AV89" s="9">
        <v>0.707692</v>
      </c>
      <c r="AW89" s="9" t="s">
        <v>85</v>
      </c>
      <c r="AX89" s="9" t="s">
        <v>85</v>
      </c>
      <c r="AY89" s="9">
        <v>0.769231</v>
      </c>
      <c r="AZ89" s="9" t="s">
        <v>85</v>
      </c>
      <c r="BA89" s="9" t="s">
        <v>85</v>
      </c>
      <c r="BB89" s="30">
        <v>0.761538</v>
      </c>
      <c r="BC89" s="9" t="s">
        <v>85</v>
      </c>
      <c r="BD89" s="10" t="s">
        <v>85</v>
      </c>
      <c r="BE89" s="10" t="s">
        <v>85</v>
      </c>
      <c r="BF89" s="9" t="s">
        <v>85</v>
      </c>
      <c r="BG89" s="6"/>
      <c r="BH89" s="6" t="str">
        <f t="shared" si="1"/>
        <v>5VB_Fold_Median</v>
      </c>
      <c r="BI89" s="6" t="str">
        <f t="shared" si="2"/>
        <v>5B_Fold_Median</v>
      </c>
      <c r="BJ89" s="6" t="str">
        <f t="shared" si="3"/>
        <v>10V_Fold_Median</v>
      </c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</row>
    <row r="90" ht="15.75" customHeight="1">
      <c r="A90" s="1" t="s">
        <v>184</v>
      </c>
      <c r="B90" s="9" t="s">
        <v>85</v>
      </c>
      <c r="C90" s="9">
        <v>1.0</v>
      </c>
      <c r="D90" s="9" t="s">
        <v>85</v>
      </c>
      <c r="E90" s="9" t="s">
        <v>85</v>
      </c>
      <c r="F90" s="30">
        <v>0.819999993</v>
      </c>
      <c r="G90" s="9" t="s">
        <v>85</v>
      </c>
      <c r="H90" s="9" t="s">
        <v>85</v>
      </c>
      <c r="I90" s="9">
        <v>0.99</v>
      </c>
      <c r="J90" s="9" t="s">
        <v>85</v>
      </c>
      <c r="K90" s="9" t="s">
        <v>85</v>
      </c>
      <c r="L90" s="9">
        <v>0.98</v>
      </c>
      <c r="M90" s="9" t="s">
        <v>85</v>
      </c>
      <c r="N90" s="9" t="s">
        <v>85</v>
      </c>
      <c r="O90" s="9">
        <v>1.0</v>
      </c>
      <c r="P90" s="9" t="s">
        <v>85</v>
      </c>
      <c r="Q90" s="9" t="s">
        <v>85</v>
      </c>
      <c r="R90" s="9">
        <v>1.0</v>
      </c>
      <c r="S90" s="9" t="s">
        <v>85</v>
      </c>
      <c r="T90" s="9" t="s">
        <v>85</v>
      </c>
      <c r="U90" s="9">
        <v>0.97</v>
      </c>
      <c r="V90" s="9" t="s">
        <v>85</v>
      </c>
      <c r="W90" s="9" t="s">
        <v>85</v>
      </c>
      <c r="X90" s="9">
        <v>0.96</v>
      </c>
      <c r="Y90" s="9" t="s">
        <v>85</v>
      </c>
      <c r="Z90" s="9" t="s">
        <v>85</v>
      </c>
      <c r="AA90" s="30">
        <v>1.0</v>
      </c>
      <c r="AB90" s="9" t="s">
        <v>85</v>
      </c>
      <c r="AC90" s="9" t="s">
        <v>85</v>
      </c>
      <c r="AD90" s="30">
        <v>1.0</v>
      </c>
      <c r="AE90" s="9" t="s">
        <v>85</v>
      </c>
      <c r="AF90" s="9" t="s">
        <v>85</v>
      </c>
      <c r="AG90" s="9">
        <v>0.99</v>
      </c>
      <c r="AH90" s="9" t="s">
        <v>85</v>
      </c>
      <c r="AI90" s="9" t="s">
        <v>85</v>
      </c>
      <c r="AJ90" s="9">
        <v>0.99</v>
      </c>
      <c r="AK90" s="9" t="s">
        <v>85</v>
      </c>
      <c r="AL90" s="9" t="s">
        <v>85</v>
      </c>
      <c r="AM90" s="9">
        <v>1.0</v>
      </c>
      <c r="AN90" s="9" t="s">
        <v>85</v>
      </c>
      <c r="AO90" s="9" t="s">
        <v>85</v>
      </c>
      <c r="AP90" s="30">
        <v>1.0</v>
      </c>
      <c r="AQ90" s="9" t="s">
        <v>85</v>
      </c>
      <c r="AR90" s="9" t="s">
        <v>85</v>
      </c>
      <c r="AS90" s="9">
        <v>0.99</v>
      </c>
      <c r="AT90" s="9" t="s">
        <v>85</v>
      </c>
      <c r="AU90" s="9" t="s">
        <v>85</v>
      </c>
      <c r="AV90" s="9">
        <v>0.99</v>
      </c>
      <c r="AW90" s="9" t="s">
        <v>85</v>
      </c>
      <c r="AX90" s="9" t="s">
        <v>85</v>
      </c>
      <c r="AY90" s="9">
        <v>1.0</v>
      </c>
      <c r="AZ90" s="9" t="s">
        <v>85</v>
      </c>
      <c r="BA90" s="9" t="s">
        <v>85</v>
      </c>
      <c r="BB90" s="30">
        <v>1.0</v>
      </c>
      <c r="BC90" s="9" t="s">
        <v>85</v>
      </c>
      <c r="BD90" s="10" t="s">
        <v>85</v>
      </c>
      <c r="BE90" s="10" t="s">
        <v>85</v>
      </c>
      <c r="BF90" s="9" t="s">
        <v>85</v>
      </c>
      <c r="BG90" s="6"/>
      <c r="BH90" s="6" t="str">
        <f t="shared" si="1"/>
        <v>5B_Fold_Median</v>
      </c>
      <c r="BI90" s="6" t="str">
        <f t="shared" si="2"/>
        <v>5B_Fold_Median</v>
      </c>
      <c r="BJ90" s="6" t="str">
        <f t="shared" si="3"/>
        <v>5B_Fold_Median</v>
      </c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</row>
    <row r="91" ht="15.75" customHeight="1">
      <c r="A91" s="1" t="s">
        <v>185</v>
      </c>
      <c r="B91" s="9" t="s">
        <v>85</v>
      </c>
      <c r="C91" s="9">
        <v>0.693591</v>
      </c>
      <c r="D91" s="9" t="s">
        <v>85</v>
      </c>
      <c r="E91" s="9" t="s">
        <v>85</v>
      </c>
      <c r="F91" s="30">
        <v>0.755926251</v>
      </c>
      <c r="G91" s="9" t="s">
        <v>85</v>
      </c>
      <c r="H91" s="9" t="s">
        <v>85</v>
      </c>
      <c r="I91" s="9">
        <v>0.849868</v>
      </c>
      <c r="J91" s="9" t="s">
        <v>85</v>
      </c>
      <c r="K91" s="9" t="s">
        <v>85</v>
      </c>
      <c r="L91" s="9">
        <v>0.838455</v>
      </c>
      <c r="M91" s="9" t="s">
        <v>85</v>
      </c>
      <c r="N91" s="9" t="s">
        <v>85</v>
      </c>
      <c r="O91" s="9">
        <v>0.673398</v>
      </c>
      <c r="P91" s="9" t="s">
        <v>85</v>
      </c>
      <c r="Q91" s="9" t="s">
        <v>85</v>
      </c>
      <c r="R91" s="9">
        <v>0.652327</v>
      </c>
      <c r="S91" s="9" t="s">
        <v>85</v>
      </c>
      <c r="T91" s="9" t="s">
        <v>85</v>
      </c>
      <c r="U91" s="9">
        <v>0.806848</v>
      </c>
      <c r="V91" s="9" t="s">
        <v>85</v>
      </c>
      <c r="W91" s="9" t="s">
        <v>85</v>
      </c>
      <c r="X91" s="9">
        <v>0.824407</v>
      </c>
      <c r="Y91" s="9" t="s">
        <v>85</v>
      </c>
      <c r="Z91" s="9" t="s">
        <v>85</v>
      </c>
      <c r="AA91" s="30">
        <v>0.727831</v>
      </c>
      <c r="AB91" s="9" t="s">
        <v>85</v>
      </c>
      <c r="AC91" s="9" t="s">
        <v>85</v>
      </c>
      <c r="AD91" s="30">
        <v>0.713784</v>
      </c>
      <c r="AE91" s="9" t="s">
        <v>85</v>
      </c>
      <c r="AF91" s="9" t="s">
        <v>85</v>
      </c>
      <c r="AG91" s="9">
        <v>0.877085</v>
      </c>
      <c r="AH91" s="9" t="s">
        <v>85</v>
      </c>
      <c r="AI91" s="9" t="s">
        <v>85</v>
      </c>
      <c r="AJ91" s="9">
        <v>0.85777</v>
      </c>
      <c r="AK91" s="9" t="s">
        <v>85</v>
      </c>
      <c r="AL91" s="9" t="s">
        <v>85</v>
      </c>
      <c r="AM91" s="9">
        <v>0.727831</v>
      </c>
      <c r="AN91" s="9" t="s">
        <v>85</v>
      </c>
      <c r="AO91" s="9" t="s">
        <v>85</v>
      </c>
      <c r="AP91" s="30">
        <v>0.690957</v>
      </c>
      <c r="AQ91" s="9" t="s">
        <v>85</v>
      </c>
      <c r="AR91" s="9" t="s">
        <v>85</v>
      </c>
      <c r="AS91" s="9">
        <v>0.777875</v>
      </c>
      <c r="AT91" s="9" t="s">
        <v>85</v>
      </c>
      <c r="AU91" s="9" t="s">
        <v>85</v>
      </c>
      <c r="AV91" s="9">
        <v>0.768218</v>
      </c>
      <c r="AW91" s="9" t="s">
        <v>85</v>
      </c>
      <c r="AX91" s="9" t="s">
        <v>85</v>
      </c>
      <c r="AY91" s="9">
        <v>0.732221</v>
      </c>
      <c r="AZ91" s="9" t="s">
        <v>85</v>
      </c>
      <c r="BA91" s="9" t="s">
        <v>85</v>
      </c>
      <c r="BB91" s="30">
        <v>0.753292</v>
      </c>
      <c r="BC91" s="9" t="s">
        <v>85</v>
      </c>
      <c r="BD91" s="10" t="s">
        <v>85</v>
      </c>
      <c r="BE91" s="10" t="s">
        <v>85</v>
      </c>
      <c r="BF91" s="9" t="s">
        <v>85</v>
      </c>
      <c r="BG91" s="6"/>
      <c r="BH91" s="6" t="str">
        <f t="shared" si="1"/>
        <v>10V_Fold_Median</v>
      </c>
      <c r="BI91" s="6" t="str">
        <f t="shared" si="2"/>
        <v>10VB_Fold_Median</v>
      </c>
      <c r="BJ91" s="6" t="str">
        <f t="shared" si="3"/>
        <v>5V_Fold_Median</v>
      </c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</row>
    <row r="92" ht="15.75" customHeight="1">
      <c r="A92" s="1" t="s">
        <v>186</v>
      </c>
      <c r="B92" s="9" t="s">
        <v>85</v>
      </c>
      <c r="C92" s="9">
        <v>0.5255</v>
      </c>
      <c r="D92" s="9" t="s">
        <v>85</v>
      </c>
      <c r="E92" s="9" t="s">
        <v>85</v>
      </c>
      <c r="F92" s="30">
        <v>0.472250015</v>
      </c>
      <c r="G92" s="9" t="s">
        <v>85</v>
      </c>
      <c r="H92" s="9" t="s">
        <v>85</v>
      </c>
      <c r="I92" s="9">
        <v>0.55275</v>
      </c>
      <c r="J92" s="9" t="s">
        <v>85</v>
      </c>
      <c r="K92" s="9" t="s">
        <v>85</v>
      </c>
      <c r="L92" s="9">
        <v>0.528</v>
      </c>
      <c r="M92" s="9" t="s">
        <v>85</v>
      </c>
      <c r="N92" s="9" t="s">
        <v>85</v>
      </c>
      <c r="O92" s="9">
        <v>0.46825</v>
      </c>
      <c r="P92" s="9" t="s">
        <v>85</v>
      </c>
      <c r="Q92" s="9" t="s">
        <v>85</v>
      </c>
      <c r="R92" s="9">
        <v>0.46875</v>
      </c>
      <c r="S92" s="9" t="s">
        <v>85</v>
      </c>
      <c r="T92" s="9" t="s">
        <v>85</v>
      </c>
      <c r="U92" s="9">
        <v>0.60325</v>
      </c>
      <c r="V92" s="9" t="s">
        <v>85</v>
      </c>
      <c r="W92" s="9" t="s">
        <v>85</v>
      </c>
      <c r="X92" s="9">
        <v>0.446</v>
      </c>
      <c r="Y92" s="9" t="s">
        <v>85</v>
      </c>
      <c r="Z92" s="9" t="s">
        <v>85</v>
      </c>
      <c r="AA92" s="30">
        <v>0.4815</v>
      </c>
      <c r="AB92" s="9" t="s">
        <v>85</v>
      </c>
      <c r="AC92" s="9" t="s">
        <v>85</v>
      </c>
      <c r="AD92" s="30">
        <v>0.49775</v>
      </c>
      <c r="AE92" s="9" t="s">
        <v>85</v>
      </c>
      <c r="AF92" s="9" t="s">
        <v>85</v>
      </c>
      <c r="AG92" s="9">
        <v>0.2855</v>
      </c>
      <c r="AH92" s="9" t="s">
        <v>85</v>
      </c>
      <c r="AI92" s="9" t="s">
        <v>85</v>
      </c>
      <c r="AJ92" s="9">
        <v>0.269</v>
      </c>
      <c r="AK92" s="9" t="s">
        <v>85</v>
      </c>
      <c r="AL92" s="9" t="s">
        <v>85</v>
      </c>
      <c r="AM92" s="9">
        <v>0.39425</v>
      </c>
      <c r="AN92" s="9" t="s">
        <v>85</v>
      </c>
      <c r="AO92" s="9" t="s">
        <v>85</v>
      </c>
      <c r="AP92" s="30">
        <v>0.4975</v>
      </c>
      <c r="AQ92" s="9" t="s">
        <v>85</v>
      </c>
      <c r="AR92" s="9" t="s">
        <v>85</v>
      </c>
      <c r="AS92" s="9">
        <v>0.4195</v>
      </c>
      <c r="AT92" s="9" t="s">
        <v>85</v>
      </c>
      <c r="AU92" s="9" t="s">
        <v>85</v>
      </c>
      <c r="AV92" s="9">
        <v>0.27725</v>
      </c>
      <c r="AW92" s="9" t="s">
        <v>85</v>
      </c>
      <c r="AX92" s="9" t="s">
        <v>85</v>
      </c>
      <c r="AY92" s="9">
        <v>0.4315</v>
      </c>
      <c r="AZ92" s="9" t="s">
        <v>85</v>
      </c>
      <c r="BA92" s="9" t="s">
        <v>85</v>
      </c>
      <c r="BB92" s="30">
        <v>0.263</v>
      </c>
      <c r="BC92" s="9" t="s">
        <v>85</v>
      </c>
      <c r="BD92" s="10" t="s">
        <v>85</v>
      </c>
      <c r="BE92" s="10" t="s">
        <v>85</v>
      </c>
      <c r="BF92" s="9" t="s">
        <v>85</v>
      </c>
      <c r="BG92" s="6"/>
      <c r="BH92" s="6" t="str">
        <f t="shared" si="1"/>
        <v>8V_Fold_Median</v>
      </c>
      <c r="BI92" s="6" t="str">
        <f t="shared" si="2"/>
        <v>5V_Fold_Median</v>
      </c>
      <c r="BJ92" s="6" t="str">
        <f t="shared" si="3"/>
        <v>5VB_Fold_Median</v>
      </c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</row>
    <row r="93" ht="15.75" customHeight="1">
      <c r="A93" s="1" t="s">
        <v>187</v>
      </c>
      <c r="B93" s="9" t="s">
        <v>85</v>
      </c>
      <c r="C93" s="9">
        <v>0.854167</v>
      </c>
      <c r="D93" s="9" t="s">
        <v>85</v>
      </c>
      <c r="E93" s="9" t="s">
        <v>85</v>
      </c>
      <c r="F93" s="30">
        <v>0.819444418</v>
      </c>
      <c r="G93" s="9" t="s">
        <v>85</v>
      </c>
      <c r="H93" s="9" t="s">
        <v>85</v>
      </c>
      <c r="I93" s="9">
        <v>0.777778</v>
      </c>
      <c r="J93" s="9" t="s">
        <v>85</v>
      </c>
      <c r="K93" s="9" t="s">
        <v>85</v>
      </c>
      <c r="L93" s="9">
        <v>0.791667</v>
      </c>
      <c r="M93" s="9" t="s">
        <v>85</v>
      </c>
      <c r="N93" s="9" t="s">
        <v>85</v>
      </c>
      <c r="O93" s="9">
        <v>0.881944</v>
      </c>
      <c r="P93" s="9" t="s">
        <v>85</v>
      </c>
      <c r="Q93" s="9" t="s">
        <v>85</v>
      </c>
      <c r="R93" s="9">
        <v>0.861111</v>
      </c>
      <c r="S93" s="9" t="s">
        <v>85</v>
      </c>
      <c r="T93" s="9" t="s">
        <v>85</v>
      </c>
      <c r="U93" s="9">
        <v>0.902778</v>
      </c>
      <c r="V93" s="9" t="s">
        <v>85</v>
      </c>
      <c r="W93" s="9" t="s">
        <v>85</v>
      </c>
      <c r="X93" s="9">
        <v>0.9375</v>
      </c>
      <c r="Y93" s="9" t="s">
        <v>85</v>
      </c>
      <c r="Z93" s="9" t="s">
        <v>85</v>
      </c>
      <c r="AA93" s="30">
        <v>0.881944</v>
      </c>
      <c r="AB93" s="9" t="s">
        <v>85</v>
      </c>
      <c r="AC93" s="9" t="s">
        <v>85</v>
      </c>
      <c r="AD93" s="30">
        <v>0.854167</v>
      </c>
      <c r="AE93" s="9" t="s">
        <v>85</v>
      </c>
      <c r="AF93" s="9" t="s">
        <v>85</v>
      </c>
      <c r="AG93" s="9">
        <v>0.868056</v>
      </c>
      <c r="AH93" s="9" t="s">
        <v>85</v>
      </c>
      <c r="AI93" s="9" t="s">
        <v>85</v>
      </c>
      <c r="AJ93" s="9">
        <v>0.881944</v>
      </c>
      <c r="AK93" s="9" t="s">
        <v>85</v>
      </c>
      <c r="AL93" s="9" t="s">
        <v>85</v>
      </c>
      <c r="AM93" s="9">
        <v>0.854167</v>
      </c>
      <c r="AN93" s="9" t="s">
        <v>85</v>
      </c>
      <c r="AO93" s="9" t="s">
        <v>85</v>
      </c>
      <c r="AP93" s="30">
        <v>0.833333</v>
      </c>
      <c r="AQ93" s="9" t="s">
        <v>85</v>
      </c>
      <c r="AR93" s="9" t="s">
        <v>85</v>
      </c>
      <c r="AS93" s="9">
        <v>0.861111</v>
      </c>
      <c r="AT93" s="9" t="s">
        <v>85</v>
      </c>
      <c r="AU93" s="9" t="s">
        <v>85</v>
      </c>
      <c r="AV93" s="9">
        <v>0.861111</v>
      </c>
      <c r="AW93" s="9" t="s">
        <v>85</v>
      </c>
      <c r="AX93" s="9" t="s">
        <v>85</v>
      </c>
      <c r="AY93" s="9">
        <v>0.888889</v>
      </c>
      <c r="AZ93" s="9" t="s">
        <v>85</v>
      </c>
      <c r="BA93" s="9" t="s">
        <v>85</v>
      </c>
      <c r="BB93" s="30">
        <v>0.868056</v>
      </c>
      <c r="BC93" s="9" t="s">
        <v>85</v>
      </c>
      <c r="BD93" s="10" t="s">
        <v>85</v>
      </c>
      <c r="BE93" s="10" t="s">
        <v>85</v>
      </c>
      <c r="BF93" s="9" t="s">
        <v>85</v>
      </c>
      <c r="BG93" s="6"/>
      <c r="BH93" s="6" t="str">
        <f t="shared" si="1"/>
        <v>8VB_Fold_Median</v>
      </c>
      <c r="BI93" s="6" t="str">
        <f t="shared" si="2"/>
        <v>8V_Fold_Median</v>
      </c>
      <c r="BJ93" s="6" t="str">
        <f t="shared" si="3"/>
        <v>20B_Fold_Median</v>
      </c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</row>
    <row r="94" ht="15.75" customHeight="1">
      <c r="A94" s="1" t="s">
        <v>188</v>
      </c>
      <c r="B94" s="9" t="s">
        <v>85</v>
      </c>
      <c r="C94" s="9">
        <v>0.765773</v>
      </c>
      <c r="D94" s="9" t="s">
        <v>85</v>
      </c>
      <c r="E94" s="9" t="s">
        <v>85</v>
      </c>
      <c r="F94" s="30">
        <v>0.746231139</v>
      </c>
      <c r="G94" s="9" t="s">
        <v>85</v>
      </c>
      <c r="H94" s="9" t="s">
        <v>85</v>
      </c>
      <c r="I94" s="9">
        <v>0.660804</v>
      </c>
      <c r="J94" s="9" t="s">
        <v>85</v>
      </c>
      <c r="K94" s="9" t="s">
        <v>85</v>
      </c>
      <c r="L94" s="9">
        <v>0.617253</v>
      </c>
      <c r="M94" s="9" t="s">
        <v>85</v>
      </c>
      <c r="N94" s="9" t="s">
        <v>85</v>
      </c>
      <c r="O94" s="9">
        <v>0.855388</v>
      </c>
      <c r="P94" s="9" t="s">
        <v>85</v>
      </c>
      <c r="Q94" s="9" t="s">
        <v>85</v>
      </c>
      <c r="R94" s="9">
        <v>0.840592</v>
      </c>
      <c r="S94" s="9" t="s">
        <v>85</v>
      </c>
      <c r="T94" s="9" t="s">
        <v>85</v>
      </c>
      <c r="U94" s="9">
        <v>0.824958</v>
      </c>
      <c r="V94" s="9" t="s">
        <v>85</v>
      </c>
      <c r="W94" s="9" t="s">
        <v>85</v>
      </c>
      <c r="X94" s="9">
        <v>0.563652</v>
      </c>
      <c r="Y94" s="9" t="s">
        <v>85</v>
      </c>
      <c r="Z94" s="9" t="s">
        <v>85</v>
      </c>
      <c r="AA94" s="30">
        <v>0.896706</v>
      </c>
      <c r="AB94" s="9" t="s">
        <v>85</v>
      </c>
      <c r="AC94" s="9" t="s">
        <v>85</v>
      </c>
      <c r="AD94" s="30">
        <v>0.890564</v>
      </c>
      <c r="AE94" s="9" t="s">
        <v>85</v>
      </c>
      <c r="AF94" s="9" t="s">
        <v>85</v>
      </c>
      <c r="AG94" s="9">
        <v>0.829704</v>
      </c>
      <c r="AH94" s="9" t="s">
        <v>85</v>
      </c>
      <c r="AI94" s="9" t="s">
        <v>85</v>
      </c>
      <c r="AJ94" s="9">
        <v>0.828587</v>
      </c>
      <c r="AK94" s="9" t="s">
        <v>85</v>
      </c>
      <c r="AL94" s="9" t="s">
        <v>85</v>
      </c>
      <c r="AM94" s="9">
        <v>0.887214</v>
      </c>
      <c r="AN94" s="9" t="s">
        <v>85</v>
      </c>
      <c r="AO94" s="9" t="s">
        <v>85</v>
      </c>
      <c r="AP94" s="30">
        <v>0.886097</v>
      </c>
      <c r="AQ94" s="9" t="s">
        <v>85</v>
      </c>
      <c r="AR94" s="9" t="s">
        <v>85</v>
      </c>
      <c r="AS94" s="9">
        <v>0.675042</v>
      </c>
      <c r="AT94" s="9" t="s">
        <v>85</v>
      </c>
      <c r="AU94" s="9" t="s">
        <v>85</v>
      </c>
      <c r="AV94" s="9">
        <v>0.740089</v>
      </c>
      <c r="AW94" s="9" t="s">
        <v>85</v>
      </c>
      <c r="AX94" s="9" t="s">
        <v>85</v>
      </c>
      <c r="AY94" s="9">
        <v>0.888331</v>
      </c>
      <c r="AZ94" s="9" t="s">
        <v>85</v>
      </c>
      <c r="BA94" s="9" t="s">
        <v>85</v>
      </c>
      <c r="BB94" s="30">
        <v>0.879955</v>
      </c>
      <c r="BC94" s="9" t="s">
        <v>85</v>
      </c>
      <c r="BD94" s="10" t="s">
        <v>85</v>
      </c>
      <c r="BE94" s="10" t="s">
        <v>85</v>
      </c>
      <c r="BF94" s="9" t="s">
        <v>85</v>
      </c>
      <c r="BG94" s="6"/>
      <c r="BH94" s="6" t="str">
        <f t="shared" si="1"/>
        <v>10B_Fold_Median</v>
      </c>
      <c r="BI94" s="6" t="str">
        <f t="shared" si="2"/>
        <v>10BN_Fold_Median</v>
      </c>
      <c r="BJ94" s="6" t="str">
        <f t="shared" si="3"/>
        <v>20B_Fold_Median</v>
      </c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</row>
    <row r="95" ht="15.75" customHeight="1">
      <c r="A95" s="1" t="s">
        <v>189</v>
      </c>
      <c r="B95" s="9" t="s">
        <v>85</v>
      </c>
      <c r="C95" s="9">
        <v>0.892116</v>
      </c>
      <c r="D95" s="9" t="s">
        <v>85</v>
      </c>
      <c r="E95" s="9" t="s">
        <v>85</v>
      </c>
      <c r="F95" s="30">
        <v>0.892115533</v>
      </c>
      <c r="G95" s="9" t="s">
        <v>85</v>
      </c>
      <c r="H95" s="9" t="s">
        <v>85</v>
      </c>
      <c r="I95" s="9">
        <v>0.892116</v>
      </c>
      <c r="J95" s="9" t="s">
        <v>85</v>
      </c>
      <c r="K95" s="9" t="s">
        <v>85</v>
      </c>
      <c r="L95" s="9">
        <v>0.892116</v>
      </c>
      <c r="M95" s="9" t="s">
        <v>85</v>
      </c>
      <c r="N95" s="9" t="s">
        <v>85</v>
      </c>
      <c r="O95" s="9">
        <v>0.892116</v>
      </c>
      <c r="P95" s="9" t="s">
        <v>85</v>
      </c>
      <c r="Q95" s="9" t="s">
        <v>85</v>
      </c>
      <c r="R95" s="9">
        <v>0.892116</v>
      </c>
      <c r="S95" s="9" t="s">
        <v>85</v>
      </c>
      <c r="T95" s="9" t="s">
        <v>85</v>
      </c>
      <c r="U95" s="9">
        <v>0.892116</v>
      </c>
      <c r="V95" s="9" t="s">
        <v>85</v>
      </c>
      <c r="W95" s="9" t="s">
        <v>85</v>
      </c>
      <c r="X95" s="9">
        <v>0.892116</v>
      </c>
      <c r="Y95" s="9" t="s">
        <v>85</v>
      </c>
      <c r="Z95" s="9" t="s">
        <v>85</v>
      </c>
      <c r="AA95" s="30">
        <v>0.892116</v>
      </c>
      <c r="AB95" s="9" t="s">
        <v>85</v>
      </c>
      <c r="AC95" s="9" t="s">
        <v>85</v>
      </c>
      <c r="AD95" s="30">
        <v>0.892116</v>
      </c>
      <c r="AE95" s="9" t="s">
        <v>85</v>
      </c>
      <c r="AF95" s="9" t="s">
        <v>85</v>
      </c>
      <c r="AG95" s="9">
        <v>0.892116</v>
      </c>
      <c r="AH95" s="9" t="s">
        <v>85</v>
      </c>
      <c r="AI95" s="9" t="s">
        <v>85</v>
      </c>
      <c r="AJ95" s="9">
        <v>0.892116</v>
      </c>
      <c r="AK95" s="9" t="s">
        <v>85</v>
      </c>
      <c r="AL95" s="9" t="s">
        <v>85</v>
      </c>
      <c r="AM95" s="9">
        <v>0.892116</v>
      </c>
      <c r="AN95" s="9" t="s">
        <v>85</v>
      </c>
      <c r="AO95" s="9" t="s">
        <v>85</v>
      </c>
      <c r="AP95" s="30">
        <v>0.892116</v>
      </c>
      <c r="AQ95" s="9" t="s">
        <v>85</v>
      </c>
      <c r="AR95" s="9" t="s">
        <v>85</v>
      </c>
      <c r="AS95" s="9">
        <v>0.892116</v>
      </c>
      <c r="AT95" s="9" t="s">
        <v>85</v>
      </c>
      <c r="AU95" s="9" t="s">
        <v>85</v>
      </c>
      <c r="AV95" s="9">
        <v>0.892116</v>
      </c>
      <c r="AW95" s="9" t="s">
        <v>85</v>
      </c>
      <c r="AX95" s="9" t="s">
        <v>85</v>
      </c>
      <c r="AY95" s="9">
        <v>0.892116</v>
      </c>
      <c r="AZ95" s="9" t="s">
        <v>85</v>
      </c>
      <c r="BA95" s="9" t="s">
        <v>85</v>
      </c>
      <c r="BB95" s="30">
        <v>0.892116</v>
      </c>
      <c r="BC95" s="9" t="s">
        <v>85</v>
      </c>
      <c r="BD95" s="10" t="s">
        <v>85</v>
      </c>
      <c r="BE95" s="10" t="s">
        <v>85</v>
      </c>
      <c r="BF95" s="9" t="s">
        <v>85</v>
      </c>
      <c r="BG95" s="6"/>
      <c r="BH95" s="6" t="str">
        <f t="shared" si="1"/>
        <v>5B_Fold_Median</v>
      </c>
      <c r="BI95" s="6" t="str">
        <f t="shared" si="2"/>
        <v>5B_Fold_Median</v>
      </c>
      <c r="BJ95" s="6" t="str">
        <f t="shared" si="3"/>
        <v>5B_Fold_Median</v>
      </c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</row>
    <row r="96" ht="15.75" customHeight="1">
      <c r="A96" s="1" t="s">
        <v>190</v>
      </c>
      <c r="B96" s="9" t="s">
        <v>85</v>
      </c>
      <c r="C96" s="9">
        <v>0.611111</v>
      </c>
      <c r="D96" s="9" t="s">
        <v>85</v>
      </c>
      <c r="E96" s="9" t="s">
        <v>85</v>
      </c>
      <c r="F96" s="30">
        <v>0.5</v>
      </c>
      <c r="G96" s="9" t="s">
        <v>85</v>
      </c>
      <c r="H96" s="9" t="s">
        <v>85</v>
      </c>
      <c r="I96" s="9">
        <v>0.5</v>
      </c>
      <c r="J96" s="9" t="s">
        <v>85</v>
      </c>
      <c r="K96" s="9" t="s">
        <v>85</v>
      </c>
      <c r="L96" s="9">
        <v>0.5</v>
      </c>
      <c r="M96" s="9" t="s">
        <v>85</v>
      </c>
      <c r="N96" s="9" t="s">
        <v>85</v>
      </c>
      <c r="O96" s="9">
        <v>0.5</v>
      </c>
      <c r="P96" s="9" t="s">
        <v>85</v>
      </c>
      <c r="Q96" s="9" t="s">
        <v>85</v>
      </c>
      <c r="R96" s="9">
        <v>0.5</v>
      </c>
      <c r="S96" s="9" t="s">
        <v>85</v>
      </c>
      <c r="T96" s="9" t="s">
        <v>85</v>
      </c>
      <c r="U96" s="9">
        <v>0.5</v>
      </c>
      <c r="V96" s="9" t="s">
        <v>85</v>
      </c>
      <c r="W96" s="9" t="s">
        <v>85</v>
      </c>
      <c r="X96" s="9">
        <v>0.5</v>
      </c>
      <c r="Y96" s="9" t="s">
        <v>85</v>
      </c>
      <c r="Z96" s="9" t="s">
        <v>85</v>
      </c>
      <c r="AA96" s="30">
        <v>0.5</v>
      </c>
      <c r="AB96" s="9" t="s">
        <v>85</v>
      </c>
      <c r="AC96" s="9" t="s">
        <v>85</v>
      </c>
      <c r="AD96" s="30">
        <v>0.5</v>
      </c>
      <c r="AE96" s="9" t="s">
        <v>85</v>
      </c>
      <c r="AF96" s="9" t="s">
        <v>85</v>
      </c>
      <c r="AG96" s="9">
        <v>0.5</v>
      </c>
      <c r="AH96" s="9" t="s">
        <v>85</v>
      </c>
      <c r="AI96" s="9" t="s">
        <v>85</v>
      </c>
      <c r="AJ96" s="9">
        <v>0.5</v>
      </c>
      <c r="AK96" s="9" t="s">
        <v>85</v>
      </c>
      <c r="AL96" s="9" t="s">
        <v>85</v>
      </c>
      <c r="AM96" s="9">
        <v>0.5</v>
      </c>
      <c r="AN96" s="9" t="s">
        <v>85</v>
      </c>
      <c r="AO96" s="9" t="s">
        <v>85</v>
      </c>
      <c r="AP96" s="30">
        <v>0.5</v>
      </c>
      <c r="AQ96" s="9" t="s">
        <v>85</v>
      </c>
      <c r="AR96" s="9" t="s">
        <v>85</v>
      </c>
      <c r="AS96" s="9">
        <v>0.5</v>
      </c>
      <c r="AT96" s="9" t="s">
        <v>85</v>
      </c>
      <c r="AU96" s="9" t="s">
        <v>85</v>
      </c>
      <c r="AV96" s="9">
        <v>0.5</v>
      </c>
      <c r="AW96" s="9" t="s">
        <v>85</v>
      </c>
      <c r="AX96" s="9" t="s">
        <v>85</v>
      </c>
      <c r="AY96" s="9">
        <v>0.5</v>
      </c>
      <c r="AZ96" s="9" t="s">
        <v>85</v>
      </c>
      <c r="BA96" s="9" t="s">
        <v>85</v>
      </c>
      <c r="BB96" s="30">
        <v>0.5</v>
      </c>
      <c r="BC96" s="9" t="s">
        <v>85</v>
      </c>
      <c r="BD96" s="10" t="s">
        <v>85</v>
      </c>
      <c r="BE96" s="10" t="s">
        <v>85</v>
      </c>
      <c r="BF96" s="9" t="s">
        <v>85</v>
      </c>
      <c r="BG96" s="6"/>
      <c r="BH96" s="6" t="str">
        <f t="shared" si="1"/>
        <v>5B_Fold_Median</v>
      </c>
      <c r="BI96" s="6" t="str">
        <f t="shared" si="2"/>
        <v>5BN_Fold_Median</v>
      </c>
      <c r="BJ96" s="6" t="str">
        <f t="shared" si="3"/>
        <v>5BN_Fold_Median</v>
      </c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</row>
    <row r="97" ht="15.75" customHeight="1">
      <c r="A97" s="1" t="s">
        <v>191</v>
      </c>
      <c r="B97" s="9" t="s">
        <v>85</v>
      </c>
      <c r="C97" s="9">
        <v>0.399687</v>
      </c>
      <c r="D97" s="9" t="s">
        <v>85</v>
      </c>
      <c r="E97" s="9" t="s">
        <v>85</v>
      </c>
      <c r="F97" s="30">
        <v>0.4106583</v>
      </c>
      <c r="G97" s="9" t="s">
        <v>85</v>
      </c>
      <c r="H97" s="9" t="s">
        <v>85</v>
      </c>
      <c r="I97" s="9">
        <v>0.393417</v>
      </c>
      <c r="J97" s="9" t="s">
        <v>85</v>
      </c>
      <c r="K97" s="9" t="s">
        <v>85</v>
      </c>
      <c r="L97" s="9">
        <v>0.382445</v>
      </c>
      <c r="M97" s="9" t="s">
        <v>85</v>
      </c>
      <c r="N97" s="9" t="s">
        <v>85</v>
      </c>
      <c r="O97" s="9">
        <v>0.420063</v>
      </c>
      <c r="P97" s="9" t="s">
        <v>85</v>
      </c>
      <c r="Q97" s="9" t="s">
        <v>85</v>
      </c>
      <c r="R97" s="9">
        <v>0.4279</v>
      </c>
      <c r="S97" s="9" t="s">
        <v>85</v>
      </c>
      <c r="T97" s="9" t="s">
        <v>85</v>
      </c>
      <c r="U97" s="9">
        <v>0.407524</v>
      </c>
      <c r="V97" s="9" t="s">
        <v>85</v>
      </c>
      <c r="W97" s="9" t="s">
        <v>85</v>
      </c>
      <c r="X97" s="9">
        <v>0.394984</v>
      </c>
      <c r="Y97" s="9" t="s">
        <v>85</v>
      </c>
      <c r="Z97" s="9" t="s">
        <v>85</v>
      </c>
      <c r="AA97" s="30">
        <v>0.437304</v>
      </c>
      <c r="AB97" s="9" t="s">
        <v>85</v>
      </c>
      <c r="AC97" s="9" t="s">
        <v>85</v>
      </c>
      <c r="AD97" s="30">
        <v>0.437304</v>
      </c>
      <c r="AE97" s="9" t="s">
        <v>85</v>
      </c>
      <c r="AF97" s="9" t="s">
        <v>85</v>
      </c>
      <c r="AG97" s="9">
        <v>0.358934</v>
      </c>
      <c r="AH97" s="9" t="s">
        <v>85</v>
      </c>
      <c r="AI97" s="9" t="s">
        <v>85</v>
      </c>
      <c r="AJ97" s="9">
        <v>0.42163</v>
      </c>
      <c r="AK97" s="9" t="s">
        <v>85</v>
      </c>
      <c r="AL97" s="9" t="s">
        <v>85</v>
      </c>
      <c r="AM97" s="9">
        <v>0.420063</v>
      </c>
      <c r="AN97" s="9" t="s">
        <v>85</v>
      </c>
      <c r="AO97" s="9" t="s">
        <v>85</v>
      </c>
      <c r="AP97" s="30">
        <v>0.452978</v>
      </c>
      <c r="AQ97" s="9" t="s">
        <v>85</v>
      </c>
      <c r="AR97" s="9" t="s">
        <v>85</v>
      </c>
      <c r="AS97" s="9">
        <v>0.380878</v>
      </c>
      <c r="AT97" s="9" t="s">
        <v>85</v>
      </c>
      <c r="AU97" s="9" t="s">
        <v>85</v>
      </c>
      <c r="AV97" s="9">
        <v>0.407524</v>
      </c>
      <c r="AW97" s="9" t="s">
        <v>85</v>
      </c>
      <c r="AX97" s="9" t="s">
        <v>85</v>
      </c>
      <c r="AY97" s="9">
        <v>0.410658</v>
      </c>
      <c r="AZ97" s="9" t="s">
        <v>85</v>
      </c>
      <c r="BA97" s="9" t="s">
        <v>85</v>
      </c>
      <c r="BB97" s="30">
        <v>0.407524</v>
      </c>
      <c r="BC97" s="9" t="s">
        <v>85</v>
      </c>
      <c r="BD97" s="10" t="s">
        <v>85</v>
      </c>
      <c r="BE97" s="10" t="s">
        <v>85</v>
      </c>
      <c r="BF97" s="9" t="s">
        <v>85</v>
      </c>
      <c r="BG97" s="6"/>
      <c r="BH97" s="6" t="str">
        <f t="shared" si="1"/>
        <v>12BN_Fold_Median</v>
      </c>
      <c r="BI97" s="6" t="str">
        <f t="shared" si="2"/>
        <v>10B_Fold_Median</v>
      </c>
      <c r="BJ97" s="6" t="str">
        <f t="shared" si="3"/>
        <v>10B_Fold_Median</v>
      </c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</row>
    <row r="98" ht="15.75" customHeight="1">
      <c r="A98" s="1" t="s">
        <v>192</v>
      </c>
      <c r="B98" s="9" t="s">
        <v>85</v>
      </c>
      <c r="C98" s="9">
        <v>0.506494</v>
      </c>
      <c r="D98" s="9" t="s">
        <v>85</v>
      </c>
      <c r="E98" s="9" t="s">
        <v>85</v>
      </c>
      <c r="F98" s="30">
        <v>0.467532456</v>
      </c>
      <c r="G98" s="9" t="s">
        <v>85</v>
      </c>
      <c r="H98" s="9" t="s">
        <v>85</v>
      </c>
      <c r="I98" s="9">
        <v>0.480519</v>
      </c>
      <c r="J98" s="9" t="s">
        <v>85</v>
      </c>
      <c r="K98" s="9" t="s">
        <v>85</v>
      </c>
      <c r="L98" s="9">
        <v>0.454545</v>
      </c>
      <c r="M98" s="9" t="s">
        <v>85</v>
      </c>
      <c r="N98" s="9" t="s">
        <v>85</v>
      </c>
      <c r="O98" s="9">
        <v>0.493506</v>
      </c>
      <c r="P98" s="9" t="s">
        <v>85</v>
      </c>
      <c r="Q98" s="9" t="s">
        <v>85</v>
      </c>
      <c r="R98" s="9">
        <v>0.519481</v>
      </c>
      <c r="S98" s="9" t="s">
        <v>85</v>
      </c>
      <c r="T98" s="9" t="s">
        <v>85</v>
      </c>
      <c r="U98" s="9">
        <v>0.519481</v>
      </c>
      <c r="V98" s="9" t="s">
        <v>85</v>
      </c>
      <c r="W98" s="9" t="s">
        <v>85</v>
      </c>
      <c r="X98" s="9">
        <v>0.454545</v>
      </c>
      <c r="Y98" s="9" t="s">
        <v>85</v>
      </c>
      <c r="Z98" s="9" t="s">
        <v>85</v>
      </c>
      <c r="AA98" s="30">
        <v>0.480519</v>
      </c>
      <c r="AB98" s="9" t="s">
        <v>85</v>
      </c>
      <c r="AC98" s="9" t="s">
        <v>85</v>
      </c>
      <c r="AD98" s="30">
        <v>0.480519</v>
      </c>
      <c r="AE98" s="9" t="s">
        <v>85</v>
      </c>
      <c r="AF98" s="9" t="s">
        <v>85</v>
      </c>
      <c r="AG98" s="9">
        <v>0.493506</v>
      </c>
      <c r="AH98" s="9" t="s">
        <v>85</v>
      </c>
      <c r="AI98" s="9" t="s">
        <v>85</v>
      </c>
      <c r="AJ98" s="9">
        <v>0.454545</v>
      </c>
      <c r="AK98" s="9" t="s">
        <v>85</v>
      </c>
      <c r="AL98" s="9" t="s">
        <v>85</v>
      </c>
      <c r="AM98" s="9">
        <v>0.519481</v>
      </c>
      <c r="AN98" s="9" t="s">
        <v>85</v>
      </c>
      <c r="AO98" s="9" t="s">
        <v>85</v>
      </c>
      <c r="AP98" s="30">
        <v>0.519481</v>
      </c>
      <c r="AQ98" s="9" t="s">
        <v>85</v>
      </c>
      <c r="AR98" s="9" t="s">
        <v>85</v>
      </c>
      <c r="AS98" s="9">
        <v>0.480519</v>
      </c>
      <c r="AT98" s="9" t="s">
        <v>85</v>
      </c>
      <c r="AU98" s="9" t="s">
        <v>85</v>
      </c>
      <c r="AV98" s="9">
        <v>0.467532</v>
      </c>
      <c r="AW98" s="9" t="s">
        <v>85</v>
      </c>
      <c r="AX98" s="9" t="s">
        <v>85</v>
      </c>
      <c r="AY98" s="9">
        <v>0.493506</v>
      </c>
      <c r="AZ98" s="9" t="s">
        <v>85</v>
      </c>
      <c r="BA98" s="9" t="s">
        <v>85</v>
      </c>
      <c r="BB98" s="30">
        <v>0.480519</v>
      </c>
      <c r="BC98" s="9" t="s">
        <v>85</v>
      </c>
      <c r="BD98" s="10" t="s">
        <v>85</v>
      </c>
      <c r="BE98" s="10" t="s">
        <v>85</v>
      </c>
      <c r="BF98" s="9" t="s">
        <v>85</v>
      </c>
      <c r="BG98" s="6"/>
      <c r="BH98" s="6" t="str">
        <f t="shared" si="1"/>
        <v>8BN_Fold_Median</v>
      </c>
      <c r="BI98" s="6" t="str">
        <f t="shared" si="2"/>
        <v>8BN_Fold_Median</v>
      </c>
      <c r="BJ98" s="6" t="str">
        <f t="shared" si="3"/>
        <v>8BN_Fold_Median</v>
      </c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</row>
    <row r="99" ht="15.75" customHeight="1">
      <c r="A99" s="1" t="s">
        <v>193</v>
      </c>
      <c r="B99" s="9" t="s">
        <v>85</v>
      </c>
      <c r="C99" s="9">
        <v>0.61039</v>
      </c>
      <c r="D99" s="9" t="s">
        <v>85</v>
      </c>
      <c r="E99" s="9" t="s">
        <v>85</v>
      </c>
      <c r="F99" s="30">
        <v>0.61038959</v>
      </c>
      <c r="G99" s="9" t="s">
        <v>85</v>
      </c>
      <c r="H99" s="9" t="s">
        <v>85</v>
      </c>
      <c r="I99" s="9">
        <v>0.571429</v>
      </c>
      <c r="J99" s="9" t="s">
        <v>85</v>
      </c>
      <c r="K99" s="9" t="s">
        <v>85</v>
      </c>
      <c r="L99" s="9">
        <v>0.571429</v>
      </c>
      <c r="M99" s="9" t="s">
        <v>85</v>
      </c>
      <c r="N99" s="9" t="s">
        <v>85</v>
      </c>
      <c r="O99" s="9">
        <v>0.597403</v>
      </c>
      <c r="P99" s="9" t="s">
        <v>85</v>
      </c>
      <c r="Q99" s="9" t="s">
        <v>85</v>
      </c>
      <c r="R99" s="9">
        <v>0.597403</v>
      </c>
      <c r="S99" s="9" t="s">
        <v>85</v>
      </c>
      <c r="T99" s="9" t="s">
        <v>85</v>
      </c>
      <c r="U99" s="9">
        <v>0.558442</v>
      </c>
      <c r="V99" s="9" t="s">
        <v>85</v>
      </c>
      <c r="W99" s="9" t="s">
        <v>85</v>
      </c>
      <c r="X99" s="9">
        <v>0.558442</v>
      </c>
      <c r="Y99" s="9" t="s">
        <v>85</v>
      </c>
      <c r="Z99" s="9" t="s">
        <v>85</v>
      </c>
      <c r="AA99" s="30">
        <v>0.623377</v>
      </c>
      <c r="AB99" s="9" t="s">
        <v>85</v>
      </c>
      <c r="AC99" s="9" t="s">
        <v>85</v>
      </c>
      <c r="AD99" s="30">
        <v>0.584416</v>
      </c>
      <c r="AE99" s="9" t="s">
        <v>85</v>
      </c>
      <c r="AF99" s="9" t="s">
        <v>85</v>
      </c>
      <c r="AG99" s="9">
        <v>0.558442</v>
      </c>
      <c r="AH99" s="9" t="s">
        <v>85</v>
      </c>
      <c r="AI99" s="9" t="s">
        <v>85</v>
      </c>
      <c r="AJ99" s="9">
        <v>0.545455</v>
      </c>
      <c r="AK99" s="9" t="s">
        <v>85</v>
      </c>
      <c r="AL99" s="9" t="s">
        <v>85</v>
      </c>
      <c r="AM99" s="9">
        <v>0.636364</v>
      </c>
      <c r="AN99" s="9" t="s">
        <v>85</v>
      </c>
      <c r="AO99" s="9" t="s">
        <v>85</v>
      </c>
      <c r="AP99" s="30">
        <v>0.623377</v>
      </c>
      <c r="AQ99" s="9" t="s">
        <v>85</v>
      </c>
      <c r="AR99" s="9" t="s">
        <v>85</v>
      </c>
      <c r="AS99" s="9">
        <v>0.61039</v>
      </c>
      <c r="AT99" s="9" t="s">
        <v>85</v>
      </c>
      <c r="AU99" s="9" t="s">
        <v>85</v>
      </c>
      <c r="AV99" s="9">
        <v>0.597403</v>
      </c>
      <c r="AW99" s="9" t="s">
        <v>85</v>
      </c>
      <c r="AX99" s="9" t="s">
        <v>85</v>
      </c>
      <c r="AY99" s="9">
        <v>0.597403</v>
      </c>
      <c r="AZ99" s="9" t="s">
        <v>85</v>
      </c>
      <c r="BA99" s="9" t="s">
        <v>85</v>
      </c>
      <c r="BB99" s="30">
        <v>0.623377</v>
      </c>
      <c r="BC99" s="9" t="s">
        <v>85</v>
      </c>
      <c r="BD99" s="10" t="s">
        <v>85</v>
      </c>
      <c r="BE99" s="10" t="s">
        <v>85</v>
      </c>
      <c r="BF99" s="9" t="s">
        <v>85</v>
      </c>
      <c r="BG99" s="6"/>
      <c r="BH99" s="6" t="str">
        <f t="shared" si="1"/>
        <v>12B_Fold_Median</v>
      </c>
      <c r="BI99" s="6" t="str">
        <f t="shared" si="2"/>
        <v>10B_Fold_Median</v>
      </c>
      <c r="BJ99" s="6" t="str">
        <f t="shared" si="3"/>
        <v>10B_Fold_Median</v>
      </c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</row>
    <row r="100" ht="15.75" customHeight="1">
      <c r="A100" s="1" t="s">
        <v>194</v>
      </c>
      <c r="B100" s="9" t="s">
        <v>85</v>
      </c>
      <c r="C100" s="9">
        <v>0.704</v>
      </c>
      <c r="D100" s="9" t="s">
        <v>85</v>
      </c>
      <c r="E100" s="9" t="s">
        <v>85</v>
      </c>
      <c r="F100" s="30">
        <v>0.702000022</v>
      </c>
      <c r="G100" s="9" t="s">
        <v>85</v>
      </c>
      <c r="H100" s="9" t="s">
        <v>85</v>
      </c>
      <c r="I100" s="9">
        <v>0.752</v>
      </c>
      <c r="J100" s="9" t="s">
        <v>85</v>
      </c>
      <c r="K100" s="9" t="s">
        <v>85</v>
      </c>
      <c r="L100" s="9">
        <v>0.753667</v>
      </c>
      <c r="M100" s="9" t="s">
        <v>85</v>
      </c>
      <c r="N100" s="9" t="s">
        <v>85</v>
      </c>
      <c r="O100" s="9">
        <v>0.705667</v>
      </c>
      <c r="P100" s="9" t="s">
        <v>85</v>
      </c>
      <c r="Q100" s="9" t="s">
        <v>85</v>
      </c>
      <c r="R100" s="9">
        <v>0.732</v>
      </c>
      <c r="S100" s="9" t="s">
        <v>85</v>
      </c>
      <c r="T100" s="9" t="s">
        <v>85</v>
      </c>
      <c r="U100" s="9">
        <v>0.748333</v>
      </c>
      <c r="V100" s="9" t="s">
        <v>85</v>
      </c>
      <c r="W100" s="9" t="s">
        <v>85</v>
      </c>
      <c r="X100" s="9">
        <v>0.753</v>
      </c>
      <c r="Y100" s="9" t="s">
        <v>85</v>
      </c>
      <c r="Z100" s="9" t="s">
        <v>85</v>
      </c>
      <c r="AA100" s="30">
        <v>0.749667</v>
      </c>
      <c r="AB100" s="9" t="s">
        <v>85</v>
      </c>
      <c r="AC100" s="9" t="s">
        <v>85</v>
      </c>
      <c r="AD100" s="30">
        <v>0.745667</v>
      </c>
      <c r="AE100" s="9" t="s">
        <v>85</v>
      </c>
      <c r="AF100" s="9" t="s">
        <v>85</v>
      </c>
      <c r="AG100" s="9">
        <v>0.763333</v>
      </c>
      <c r="AH100" s="9" t="s">
        <v>85</v>
      </c>
      <c r="AI100" s="9" t="s">
        <v>85</v>
      </c>
      <c r="AJ100" s="9">
        <v>0.779</v>
      </c>
      <c r="AK100" s="9" t="s">
        <v>85</v>
      </c>
      <c r="AL100" s="9" t="s">
        <v>85</v>
      </c>
      <c r="AM100" s="9">
        <v>0.756</v>
      </c>
      <c r="AN100" s="9" t="s">
        <v>85</v>
      </c>
      <c r="AO100" s="9" t="s">
        <v>85</v>
      </c>
      <c r="AP100" s="30">
        <v>0.755</v>
      </c>
      <c r="AQ100" s="9" t="s">
        <v>85</v>
      </c>
      <c r="AR100" s="9" t="s">
        <v>85</v>
      </c>
      <c r="AS100" s="9">
        <v>0.762333</v>
      </c>
      <c r="AT100" s="9" t="s">
        <v>85</v>
      </c>
      <c r="AU100" s="9" t="s">
        <v>85</v>
      </c>
      <c r="AV100" s="9">
        <v>0.773667</v>
      </c>
      <c r="AW100" s="9" t="s">
        <v>85</v>
      </c>
      <c r="AX100" s="9" t="s">
        <v>85</v>
      </c>
      <c r="AY100" s="9">
        <v>0.764</v>
      </c>
      <c r="AZ100" s="9" t="s">
        <v>85</v>
      </c>
      <c r="BA100" s="9" t="s">
        <v>85</v>
      </c>
      <c r="BB100" s="30">
        <v>0.780667</v>
      </c>
      <c r="BC100" s="9" t="s">
        <v>85</v>
      </c>
      <c r="BD100" s="10" t="s">
        <v>85</v>
      </c>
      <c r="BE100" s="10" t="s">
        <v>85</v>
      </c>
      <c r="BF100" s="9" t="s">
        <v>85</v>
      </c>
      <c r="BG100" s="6"/>
      <c r="BH100" s="6" t="str">
        <f t="shared" si="1"/>
        <v>20V_Fold_Median</v>
      </c>
      <c r="BI100" s="6" t="str">
        <f t="shared" si="2"/>
        <v>10VB_Fold_Median</v>
      </c>
      <c r="BJ100" s="6" t="str">
        <f t="shared" si="3"/>
        <v>12VB_Fold_Median</v>
      </c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</row>
    <row r="101" ht="15.75" customHeight="1">
      <c r="A101" s="15"/>
      <c r="H101" s="1"/>
      <c r="I101" s="1"/>
      <c r="J101" s="1"/>
      <c r="N101" s="1"/>
      <c r="O101" s="1"/>
      <c r="P101" s="1"/>
      <c r="Q101" s="1"/>
      <c r="R101" s="1"/>
      <c r="S101" s="1"/>
      <c r="V101" s="1"/>
      <c r="Z101" s="1"/>
      <c r="AA101" s="1"/>
      <c r="AB101" s="1"/>
      <c r="AC101" s="1"/>
      <c r="AD101" s="1"/>
      <c r="AF101" s="1"/>
      <c r="AG101" s="1"/>
      <c r="AH101" s="1"/>
      <c r="AL101" s="1"/>
      <c r="AM101" s="1"/>
      <c r="AN101" s="1"/>
      <c r="AO101" s="1"/>
      <c r="AP101" s="1"/>
      <c r="AQ101" s="1"/>
      <c r="AT101" s="1"/>
      <c r="AX101" s="1"/>
      <c r="AY101" s="1"/>
      <c r="AZ101" s="1"/>
      <c r="BA101" s="1"/>
      <c r="BB101" s="1"/>
    </row>
    <row r="102" ht="15.75" customHeight="1">
      <c r="A102" s="15"/>
      <c r="H102" s="1"/>
      <c r="I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ht="15.75" customHeight="1">
      <c r="A103" s="15"/>
      <c r="H103" s="1"/>
      <c r="I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ht="15.75" customHeight="1">
      <c r="A104" s="15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ht="15.75" customHeight="1">
      <c r="A105" s="15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ht="15.75" customHeight="1">
      <c r="A106" s="15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ht="15.75" customHeight="1"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ht="15.75" customHeight="1"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ht="15.75" customHeight="1"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ht="15.75" customHeight="1"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ht="15.75" customHeight="1"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ht="15.75" customHeight="1"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ht="15.75" customHeight="1"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ht="15.75" customHeight="1"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ht="15.75" customHeight="1"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ht="15.75" customHeight="1"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ht="15.75" customHeight="1"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ht="15.75" customHeight="1"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ht="15.75" customHeight="1"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ht="15.75" customHeight="1"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ht="15.75" customHeight="1"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ht="15.75" customHeight="1"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ht="15.75" customHeight="1"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ht="15.75" customHeight="1"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ht="15.75" customHeight="1"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ht="15.75" customHeight="1"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ht="15.75" customHeight="1"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ht="15.75" customHeight="1"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ht="15.75" customHeight="1"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ht="15.75" customHeight="1"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ht="15.75" customHeight="1"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ht="15.75" customHeight="1"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ht="15.75" customHeight="1"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ht="15.75" customHeight="1"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ht="15.75" customHeight="1"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ht="15.75" customHeight="1"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ht="15.75" customHeight="1"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ht="15.75" customHeight="1"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ht="15.75" customHeight="1"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ht="15.75" customHeight="1"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ht="15.75" customHeight="1"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ht="15.75" customHeight="1"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ht="15.75" customHeight="1"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ht="15.75" customHeight="1"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ht="15.75" customHeight="1"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ht="15.75" customHeight="1"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ht="15.75" customHeight="1"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ht="15.75" customHeight="1"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ht="15.75" customHeight="1"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ht="15.75" customHeight="1"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ht="15.75" customHeight="1"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ht="15.75" customHeight="1"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ht="15.75" customHeight="1"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ht="15.75" customHeight="1"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ht="15.75" customHeight="1"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ht="15.75" customHeight="1"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ht="15.75" customHeight="1"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ht="15.75" customHeight="1"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ht="15.75" customHeight="1"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ht="15.75" customHeight="1"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ht="15.75" customHeight="1"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ht="15.75" customHeight="1"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ht="15.75" customHeight="1"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ht="15.75" customHeight="1"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ht="15.75" customHeight="1"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ht="15.75" customHeight="1"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ht="15.75" customHeight="1"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ht="15.75" customHeight="1"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ht="15.75" customHeight="1"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ht="15.75" customHeight="1"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ht="15.75" customHeight="1"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ht="15.75" customHeight="1"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ht="15.75" customHeight="1"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ht="15.75" customHeight="1"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ht="15.75" customHeight="1"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ht="15.75" customHeight="1"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ht="15.75" customHeight="1"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ht="15.75" customHeight="1"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ht="15.75" customHeight="1"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ht="15.75" customHeight="1"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ht="15.75" customHeight="1"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ht="15.75" customHeight="1"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ht="15.75" customHeight="1"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ht="15.75" customHeight="1"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ht="15.75" customHeight="1"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ht="15.75" customHeight="1"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ht="15.75" customHeight="1"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ht="15.75" customHeight="1"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ht="15.75" customHeight="1"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ht="15.75" customHeight="1"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ht="15.75" customHeight="1"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ht="15.75" customHeight="1"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ht="15.75" customHeight="1"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ht="15.75" customHeight="1"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ht="15.75" customHeight="1"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ht="15.75" customHeight="1"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ht="15.75" customHeight="1"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ht="15.75" customHeight="1"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ht="15.75" customHeight="1"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ht="15.75" customHeight="1"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ht="15.75" customHeight="1"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ht="15.75" customHeight="1"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ht="15.75" customHeight="1"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ht="15.75" customHeight="1"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ht="15.75" customHeight="1"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ht="15.75" customHeight="1"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ht="15.75" customHeight="1"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ht="15.75" customHeight="1"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ht="15.75" customHeight="1"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ht="15.75" customHeight="1"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ht="15.75" customHeight="1"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ht="15.75" customHeight="1"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ht="15.75" customHeight="1"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ht="15.75" customHeight="1"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ht="15.75" customHeight="1"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ht="15.75" customHeight="1"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ht="15.75" customHeight="1"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ht="15.75" customHeight="1"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ht="15.75" customHeight="1"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ht="15.75" customHeight="1"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ht="15.75" customHeight="1"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ht="15.75" customHeight="1"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ht="15.75" customHeight="1"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ht="15.75" customHeight="1"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ht="15.75" customHeight="1"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ht="15.75" customHeight="1"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ht="15.75" customHeight="1"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ht="15.75" customHeight="1"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ht="15.75" customHeight="1"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ht="15.75" customHeight="1"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ht="15.75" customHeight="1"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ht="15.75" customHeight="1"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ht="15.75" customHeight="1"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ht="15.75" customHeight="1"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ht="15.75" customHeight="1"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ht="15.75" customHeight="1"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ht="15.75" customHeight="1"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ht="15.75" customHeight="1"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ht="15.75" customHeight="1"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ht="15.75" customHeight="1"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ht="15.75" customHeight="1"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ht="15.75" customHeight="1"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ht="15.75" customHeight="1"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ht="15.75" customHeight="1"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ht="15.75" customHeight="1"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ht="15.75" customHeight="1"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ht="15.75" customHeight="1"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ht="15.75" customHeight="1"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ht="15.75" customHeight="1"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ht="15.75" customHeight="1"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ht="15.75" customHeight="1"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ht="15.75" customHeight="1"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ht="15.75" customHeight="1"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ht="15.75" customHeight="1"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ht="15.75" customHeight="1"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ht="15.75" customHeight="1"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ht="15.75" customHeight="1"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ht="15.75" customHeight="1"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ht="15.75" customHeight="1"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ht="15.75" customHeight="1"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ht="15.75" customHeight="1"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ht="15.75" customHeight="1"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ht="15.75" customHeight="1"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ht="15.75" customHeight="1"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ht="15.75" customHeight="1"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ht="15.75" customHeight="1"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ht="15.75" customHeight="1"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ht="15.75" customHeight="1"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ht="15.75" customHeight="1"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ht="15.75" customHeight="1"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ht="15.75" customHeight="1"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ht="15.75" customHeight="1"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ht="15.75" customHeight="1"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ht="15.75" customHeight="1"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ht="15.75" customHeight="1"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ht="15.75" customHeight="1"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ht="15.75" customHeight="1"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ht="15.75" customHeight="1"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ht="15.75" customHeight="1"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ht="15.75" customHeight="1"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ht="15.75" customHeight="1"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ht="15.75" customHeight="1"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ht="15.75" customHeight="1"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ht="15.75" customHeight="1"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ht="15.75" customHeight="1"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ht="15.75" customHeight="1"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ht="15.75" customHeight="1"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ht="15.75" customHeight="1"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ht="15.75" customHeight="1"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ht="15.75" customHeight="1"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ht="15.75" customHeight="1"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ht="15.75" customHeight="1"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ht="15.75" customHeight="1"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ht="15.75" customHeight="1"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ht="15.75" customHeight="1"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ht="15.75" customHeight="1"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ht="15.75" customHeight="1"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ht="15.75" customHeight="1"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ht="15.75" customHeight="1"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ht="15.75" customHeight="1"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B1:D1"/>
    <mergeCell ref="E1:G1"/>
    <mergeCell ref="H1:J1"/>
    <mergeCell ref="K1:M1"/>
    <mergeCell ref="N1:P1"/>
    <mergeCell ref="Q1:S1"/>
    <mergeCell ref="T1:V1"/>
    <mergeCell ref="AR1:AT1"/>
    <mergeCell ref="AU1:AW1"/>
    <mergeCell ref="AX1:AZ1"/>
    <mergeCell ref="BA1:BC1"/>
    <mergeCell ref="BD1:BF1"/>
    <mergeCell ref="W1:Y1"/>
    <mergeCell ref="Z1:AB1"/>
    <mergeCell ref="AC1:AE1"/>
    <mergeCell ref="AF1:AH1"/>
    <mergeCell ref="AI1:AK1"/>
    <mergeCell ref="AL1:AN1"/>
    <mergeCell ref="AO1:AQ1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0"/>
  <cols>
    <col customWidth="1" min="1" max="1" width="27.63"/>
    <col customWidth="1" min="2" max="2" width="8.0"/>
    <col customWidth="1" min="3" max="3" width="9.0"/>
    <col customWidth="1" min="4" max="4" width="13.88"/>
    <col customWidth="1" min="5" max="5" width="15.13"/>
    <col customWidth="1" min="6" max="7" width="13.75"/>
    <col customWidth="1" min="8" max="8" width="15.38"/>
    <col customWidth="1" min="9" max="9" width="13.75"/>
    <col customWidth="1" min="13" max="13" width="13.38"/>
    <col customWidth="1" min="14" max="14" width="17.75"/>
    <col customWidth="1" min="17" max="17" width="14.38"/>
    <col customWidth="1" min="20" max="20" width="13.88"/>
    <col customWidth="1" min="23" max="23" width="14.13"/>
    <col customWidth="1" min="25" max="25" width="13.88"/>
    <col customWidth="1" min="26" max="26" width="14.25"/>
    <col customWidth="1" min="28" max="28" width="13.75"/>
    <col customWidth="1" min="29" max="29" width="14.38"/>
    <col customWidth="1" min="31" max="31" width="14.0"/>
    <col customWidth="1" min="32" max="32" width="15.0"/>
    <col customWidth="1" min="35" max="35" width="13.25"/>
    <col customWidth="1" min="37" max="37" width="15.25"/>
    <col customWidth="1" min="38" max="38" width="16.38"/>
    <col customWidth="1" min="39" max="39" width="13.88"/>
    <col customWidth="1" min="41" max="41" width="14.38"/>
    <col customWidth="1" min="43" max="43" width="13.38"/>
    <col customWidth="1" min="44" max="44" width="14.13"/>
    <col customWidth="1" min="47" max="47" width="15.38"/>
    <col customWidth="1" min="49" max="49" width="14.88"/>
    <col customWidth="1" min="50" max="50" width="16.88"/>
    <col customWidth="1" min="52" max="52" width="14.75"/>
    <col customWidth="1" min="53" max="53" width="15.88"/>
    <col customWidth="1" min="62" max="62" width="17.38"/>
    <col customWidth="1" min="63" max="63" width="16.75"/>
    <col customWidth="1" min="64" max="64" width="16.63"/>
    <col customWidth="1" min="70" max="72" width="17.38"/>
    <col customWidth="1" min="73" max="73" width="15.25"/>
  </cols>
  <sheetData>
    <row r="1" ht="15.75" customHeight="1">
      <c r="A1" s="1" t="s">
        <v>0</v>
      </c>
      <c r="B1" s="1" t="s">
        <v>212</v>
      </c>
      <c r="C1" s="15" t="s">
        <v>235</v>
      </c>
      <c r="D1" s="3" t="s">
        <v>2</v>
      </c>
      <c r="G1" s="3" t="s">
        <v>3</v>
      </c>
      <c r="J1" s="3" t="s">
        <v>4</v>
      </c>
      <c r="M1" s="3" t="s">
        <v>5</v>
      </c>
      <c r="P1" s="3" t="s">
        <v>6</v>
      </c>
      <c r="S1" s="3" t="s">
        <v>7</v>
      </c>
      <c r="V1" s="3" t="s">
        <v>8</v>
      </c>
      <c r="Y1" s="3" t="s">
        <v>9</v>
      </c>
      <c r="AB1" s="3" t="s">
        <v>10</v>
      </c>
      <c r="AE1" s="3" t="s">
        <v>11</v>
      </c>
      <c r="AH1" s="3" t="s">
        <v>12</v>
      </c>
      <c r="AK1" s="3" t="s">
        <v>13</v>
      </c>
      <c r="AN1" s="3" t="s">
        <v>14</v>
      </c>
      <c r="AQ1" s="3" t="s">
        <v>15</v>
      </c>
      <c r="AT1" s="3" t="s">
        <v>16</v>
      </c>
      <c r="AW1" s="3" t="s">
        <v>17</v>
      </c>
      <c r="AZ1" s="3" t="s">
        <v>18</v>
      </c>
      <c r="BC1" s="3" t="s">
        <v>19</v>
      </c>
      <c r="BF1" s="3" t="s">
        <v>20</v>
      </c>
      <c r="BI1" s="1"/>
      <c r="BK1" s="1"/>
      <c r="BL1" s="1"/>
      <c r="BM1" s="1"/>
      <c r="BN1" s="1"/>
      <c r="BO1" s="1"/>
      <c r="BP1" s="1"/>
      <c r="BQ1" s="1"/>
      <c r="BR1" s="1"/>
      <c r="BS1" s="1"/>
      <c r="BV1" s="1"/>
      <c r="BW1" s="1"/>
      <c r="BX1" s="1"/>
    </row>
    <row r="2" ht="15.75" customHeight="1">
      <c r="A2" s="1"/>
      <c r="B2" s="1"/>
      <c r="C2" s="15"/>
      <c r="D2" s="1" t="s">
        <v>260</v>
      </c>
      <c r="E2" s="1" t="s">
        <v>261</v>
      </c>
      <c r="F2" s="4" t="s">
        <v>262</v>
      </c>
      <c r="G2" s="1" t="s">
        <v>263</v>
      </c>
      <c r="H2" s="1" t="s">
        <v>264</v>
      </c>
      <c r="I2" s="4" t="s">
        <v>265</v>
      </c>
      <c r="J2" s="1" t="s">
        <v>27</v>
      </c>
      <c r="K2" s="1" t="s">
        <v>28</v>
      </c>
      <c r="L2" s="5" t="s">
        <v>29</v>
      </c>
      <c r="M2" s="1" t="s">
        <v>30</v>
      </c>
      <c r="N2" s="1" t="s">
        <v>31</v>
      </c>
      <c r="O2" s="5" t="s">
        <v>32</v>
      </c>
      <c r="P2" s="1" t="s">
        <v>266</v>
      </c>
      <c r="Q2" s="1" t="s">
        <v>267</v>
      </c>
      <c r="R2" s="5" t="s">
        <v>268</v>
      </c>
      <c r="S2" s="1" t="s">
        <v>269</v>
      </c>
      <c r="T2" s="1" t="s">
        <v>270</v>
      </c>
      <c r="U2" s="5" t="s">
        <v>271</v>
      </c>
      <c r="V2" s="1" t="s">
        <v>39</v>
      </c>
      <c r="W2" s="1" t="s">
        <v>40</v>
      </c>
      <c r="X2" s="5" t="s">
        <v>41</v>
      </c>
      <c r="Y2" s="1" t="s">
        <v>42</v>
      </c>
      <c r="Z2" s="1" t="s">
        <v>43</v>
      </c>
      <c r="AA2" s="5" t="s">
        <v>44</v>
      </c>
      <c r="AB2" s="1" t="s">
        <v>272</v>
      </c>
      <c r="AC2" s="1" t="s">
        <v>273</v>
      </c>
      <c r="AD2" s="5" t="s">
        <v>274</v>
      </c>
      <c r="AE2" s="1" t="s">
        <v>275</v>
      </c>
      <c r="AF2" s="1" t="s">
        <v>276</v>
      </c>
      <c r="AG2" s="5" t="s">
        <v>277</v>
      </c>
      <c r="AH2" s="1" t="s">
        <v>51</v>
      </c>
      <c r="AI2" s="1" t="s">
        <v>52</v>
      </c>
      <c r="AJ2" s="5" t="s">
        <v>53</v>
      </c>
      <c r="AK2" s="1" t="s">
        <v>54</v>
      </c>
      <c r="AL2" s="1" t="s">
        <v>55</v>
      </c>
      <c r="AM2" s="5" t="s">
        <v>56</v>
      </c>
      <c r="AN2" s="1" t="s">
        <v>278</v>
      </c>
      <c r="AO2" s="1" t="s">
        <v>279</v>
      </c>
      <c r="AP2" s="5" t="s">
        <v>280</v>
      </c>
      <c r="AQ2" s="1" t="s">
        <v>281</v>
      </c>
      <c r="AR2" s="1" t="s">
        <v>282</v>
      </c>
      <c r="AS2" s="5" t="s">
        <v>283</v>
      </c>
      <c r="AT2" s="1" t="s">
        <v>63</v>
      </c>
      <c r="AU2" s="1" t="s">
        <v>64</v>
      </c>
      <c r="AV2" s="5" t="s">
        <v>65</v>
      </c>
      <c r="AW2" s="1" t="s">
        <v>66</v>
      </c>
      <c r="AX2" s="1" t="s">
        <v>67</v>
      </c>
      <c r="AY2" s="5" t="s">
        <v>68</v>
      </c>
      <c r="AZ2" s="1" t="s">
        <v>284</v>
      </c>
      <c r="BA2" s="1" t="s">
        <v>285</v>
      </c>
      <c r="BB2" s="5" t="s">
        <v>286</v>
      </c>
      <c r="BC2" s="1" t="s">
        <v>72</v>
      </c>
      <c r="BD2" s="1" t="s">
        <v>73</v>
      </c>
      <c r="BE2" s="5" t="s">
        <v>74</v>
      </c>
      <c r="BF2" s="1" t="s">
        <v>75</v>
      </c>
      <c r="BG2" s="1" t="s">
        <v>76</v>
      </c>
      <c r="BH2" s="5" t="s">
        <v>77</v>
      </c>
      <c r="BI2" s="1"/>
      <c r="BJ2" s="1" t="s">
        <v>213</v>
      </c>
      <c r="BK2" s="1" t="s">
        <v>214</v>
      </c>
      <c r="BL2" s="1" t="s">
        <v>215</v>
      </c>
      <c r="BM2" s="1"/>
      <c r="BN2" s="1" t="s">
        <v>213</v>
      </c>
      <c r="BO2" s="1"/>
      <c r="BP2" s="1"/>
      <c r="BQ2" s="1" t="s">
        <v>216</v>
      </c>
      <c r="BR2" s="1" t="s">
        <v>287</v>
      </c>
      <c r="BS2" s="1" t="s">
        <v>219</v>
      </c>
      <c r="BV2" s="1"/>
      <c r="BW2" s="1"/>
      <c r="BX2" s="1"/>
    </row>
    <row r="3" ht="15.75" customHeight="1">
      <c r="A3" s="1" t="s">
        <v>84</v>
      </c>
      <c r="B3" s="17">
        <v>1460.0</v>
      </c>
      <c r="C3" s="17">
        <v>10.0</v>
      </c>
      <c r="D3" s="9" t="s">
        <v>85</v>
      </c>
      <c r="E3" s="9">
        <v>0.64</v>
      </c>
      <c r="F3" s="9" t="s">
        <v>85</v>
      </c>
      <c r="G3" s="9" t="s">
        <v>85</v>
      </c>
      <c r="H3" s="30">
        <v>0.569999993</v>
      </c>
      <c r="I3" s="9" t="s">
        <v>85</v>
      </c>
      <c r="J3" s="9" t="s">
        <v>85</v>
      </c>
      <c r="K3" s="9" t="s">
        <v>85</v>
      </c>
      <c r="L3" s="9" t="s">
        <v>85</v>
      </c>
      <c r="M3" s="9" t="s">
        <v>85</v>
      </c>
      <c r="N3" s="9" t="s">
        <v>85</v>
      </c>
      <c r="O3" s="9" t="s">
        <v>85</v>
      </c>
      <c r="P3" s="9" t="s">
        <v>85</v>
      </c>
      <c r="Q3" s="9">
        <v>0.62</v>
      </c>
      <c r="R3" s="9" t="s">
        <v>85</v>
      </c>
      <c r="S3" s="9" t="s">
        <v>85</v>
      </c>
      <c r="T3" s="9">
        <v>0.62</v>
      </c>
      <c r="U3" s="9" t="s">
        <v>85</v>
      </c>
      <c r="V3" s="9" t="s">
        <v>85</v>
      </c>
      <c r="W3" s="9" t="s">
        <v>85</v>
      </c>
      <c r="X3" s="9" t="s">
        <v>85</v>
      </c>
      <c r="Y3" s="9" t="s">
        <v>85</v>
      </c>
      <c r="Z3" s="9" t="s">
        <v>85</v>
      </c>
      <c r="AA3" s="9" t="s">
        <v>85</v>
      </c>
      <c r="AB3" s="9" t="s">
        <v>85</v>
      </c>
      <c r="AC3" s="30">
        <v>0.53</v>
      </c>
      <c r="AD3" s="9" t="s">
        <v>85</v>
      </c>
      <c r="AE3" s="9" t="s">
        <v>85</v>
      </c>
      <c r="AF3" s="30">
        <v>0.61</v>
      </c>
      <c r="AG3" s="9" t="s">
        <v>85</v>
      </c>
      <c r="AH3" s="9" t="s">
        <v>85</v>
      </c>
      <c r="AI3" s="9" t="s">
        <v>85</v>
      </c>
      <c r="AJ3" s="9" t="s">
        <v>85</v>
      </c>
      <c r="AK3" s="9" t="s">
        <v>85</v>
      </c>
      <c r="AL3" s="9" t="s">
        <v>85</v>
      </c>
      <c r="AM3" s="9" t="s">
        <v>85</v>
      </c>
      <c r="AN3" s="9" t="s">
        <v>85</v>
      </c>
      <c r="AO3" s="9">
        <v>0.65</v>
      </c>
      <c r="AP3" s="9" t="s">
        <v>85</v>
      </c>
      <c r="AQ3" s="9" t="s">
        <v>85</v>
      </c>
      <c r="AR3" s="30">
        <v>0.64</v>
      </c>
      <c r="AS3" s="9" t="s">
        <v>85</v>
      </c>
      <c r="AT3" s="9" t="s">
        <v>85</v>
      </c>
      <c r="AU3" s="9" t="s">
        <v>85</v>
      </c>
      <c r="AV3" s="9" t="s">
        <v>85</v>
      </c>
      <c r="AW3" s="9" t="s">
        <v>85</v>
      </c>
      <c r="AX3" s="9" t="s">
        <v>85</v>
      </c>
      <c r="AY3" s="9" t="s">
        <v>85</v>
      </c>
      <c r="AZ3" s="9" t="s">
        <v>85</v>
      </c>
      <c r="BA3" s="9" t="s">
        <v>85</v>
      </c>
      <c r="BB3" s="9" t="s">
        <v>85</v>
      </c>
      <c r="BC3" s="9" t="s">
        <v>85</v>
      </c>
      <c r="BD3" s="9" t="s">
        <v>85</v>
      </c>
      <c r="BE3" s="9" t="s">
        <v>85</v>
      </c>
      <c r="BF3" s="10" t="s">
        <v>85</v>
      </c>
      <c r="BG3" s="10" t="s">
        <v>85</v>
      </c>
      <c r="BH3" s="9" t="s">
        <v>85</v>
      </c>
      <c r="BI3" s="6"/>
      <c r="BJ3" s="6" t="str">
        <f t="shared" ref="BJ3:BJ100" si="1">INDEX($D$2:$BH$2,0,MATCH(MAX(D3:BH3),D3:BH3,0))</f>
        <v>12Bo_Fold_Median</v>
      </c>
      <c r="BK3" s="6" t="str">
        <f t="shared" ref="BK3:BK100" si="2">INDEX($D$2:$BH$2,0,MATCH(LARGE(D3:BH3,2),D3:BH3,0))</f>
        <v>5Bo_Fold_Median</v>
      </c>
      <c r="BL3" s="6" t="str">
        <f t="shared" ref="BL3:BL100" si="3">INDEX($D$2:$BH$2,0,MATCH(LARGE(D3:BH3,3),D3:BH3,0))</f>
        <v>5Bo_Fold_Median</v>
      </c>
      <c r="BM3" s="6"/>
      <c r="BN3" s="6">
        <f t="shared" ref="BN3:BN100" si="4">IF(ISNUMBER(SEARCH("5",BJ3)),5,IF(ISNUMBER(SEARCH("*8*",BJ3)),8,IF(ISNUMBER(SEARCH("*10*",BJ3)),10,IF(ISNUMBER(SEARCH("*12*",BJ3)),12,IF(ISNUMBER(SEARCH("*20*",BJ3)),20)))))</f>
        <v>12</v>
      </c>
      <c r="BO3" s="6"/>
      <c r="BP3" s="6"/>
      <c r="BQ3" s="6">
        <f>COUNTA(BJ3:BL100)</f>
        <v>294</v>
      </c>
      <c r="BR3" s="6">
        <f>COUNTIF($BJ$3:$BL$100,"*BoN_*")</f>
        <v>129</v>
      </c>
      <c r="BS3" s="6">
        <f>COUNTIF($BJ$3:$BL$100,"*Bo_*")</f>
        <v>165</v>
      </c>
      <c r="BU3" s="6"/>
      <c r="BV3" s="6"/>
      <c r="BW3" s="6"/>
      <c r="BX3" s="6"/>
    </row>
    <row r="4" ht="15.75" customHeight="1">
      <c r="A4" s="1" t="s">
        <v>89</v>
      </c>
      <c r="B4" s="17">
        <v>176.0</v>
      </c>
      <c r="C4" s="17">
        <v>37.0</v>
      </c>
      <c r="D4" s="9" t="s">
        <v>85</v>
      </c>
      <c r="E4" s="9">
        <v>0.29156</v>
      </c>
      <c r="F4" s="9" t="s">
        <v>85</v>
      </c>
      <c r="G4" s="9" t="s">
        <v>85</v>
      </c>
      <c r="H4" s="30">
        <v>0.319693089</v>
      </c>
      <c r="I4" s="9" t="s">
        <v>85</v>
      </c>
      <c r="J4" s="9" t="s">
        <v>85</v>
      </c>
      <c r="K4" s="9" t="s">
        <v>85</v>
      </c>
      <c r="L4" s="9" t="s">
        <v>85</v>
      </c>
      <c r="M4" s="9" t="s">
        <v>85</v>
      </c>
      <c r="N4" s="9" t="s">
        <v>85</v>
      </c>
      <c r="O4" s="9" t="s">
        <v>85</v>
      </c>
      <c r="P4" s="9" t="s">
        <v>85</v>
      </c>
      <c r="Q4" s="9">
        <v>0.232737</v>
      </c>
      <c r="R4" s="9" t="s">
        <v>85</v>
      </c>
      <c r="S4" s="9" t="s">
        <v>85</v>
      </c>
      <c r="T4" s="9">
        <v>0.248082</v>
      </c>
      <c r="U4" s="9" t="s">
        <v>85</v>
      </c>
      <c r="V4" s="9" t="s">
        <v>85</v>
      </c>
      <c r="W4" s="9" t="s">
        <v>85</v>
      </c>
      <c r="X4" s="9" t="s">
        <v>85</v>
      </c>
      <c r="Y4" s="9" t="s">
        <v>85</v>
      </c>
      <c r="Z4" s="9" t="s">
        <v>85</v>
      </c>
      <c r="AA4" s="9" t="s">
        <v>85</v>
      </c>
      <c r="AB4" s="9" t="s">
        <v>85</v>
      </c>
      <c r="AC4" s="30">
        <v>0.237852</v>
      </c>
      <c r="AD4" s="9" t="s">
        <v>85</v>
      </c>
      <c r="AE4" s="9" t="s">
        <v>85</v>
      </c>
      <c r="AF4" s="30">
        <v>0.237852</v>
      </c>
      <c r="AG4" s="9" t="s">
        <v>85</v>
      </c>
      <c r="AH4" s="9" t="s">
        <v>85</v>
      </c>
      <c r="AI4" s="9" t="s">
        <v>85</v>
      </c>
      <c r="AJ4" s="9" t="s">
        <v>85</v>
      </c>
      <c r="AK4" s="9" t="s">
        <v>85</v>
      </c>
      <c r="AL4" s="9" t="s">
        <v>85</v>
      </c>
      <c r="AM4" s="9" t="s">
        <v>85</v>
      </c>
      <c r="AN4" s="9" t="s">
        <v>85</v>
      </c>
      <c r="AO4" s="9">
        <v>0.31202</v>
      </c>
      <c r="AP4" s="9" t="s">
        <v>85</v>
      </c>
      <c r="AQ4" s="9" t="s">
        <v>85</v>
      </c>
      <c r="AR4" s="30">
        <v>0.317136</v>
      </c>
      <c r="AS4" s="9" t="s">
        <v>85</v>
      </c>
      <c r="AT4" s="9" t="s">
        <v>85</v>
      </c>
      <c r="AU4" s="9" t="s">
        <v>85</v>
      </c>
      <c r="AV4" s="9" t="s">
        <v>85</v>
      </c>
      <c r="AW4" s="9" t="s">
        <v>85</v>
      </c>
      <c r="AX4" s="9" t="s">
        <v>85</v>
      </c>
      <c r="AY4" s="9" t="s">
        <v>85</v>
      </c>
      <c r="AZ4" s="9" t="s">
        <v>85</v>
      </c>
      <c r="BA4" s="9" t="s">
        <v>85</v>
      </c>
      <c r="BB4" s="9" t="s">
        <v>85</v>
      </c>
      <c r="BC4" s="9" t="s">
        <v>85</v>
      </c>
      <c r="BD4" s="9" t="s">
        <v>85</v>
      </c>
      <c r="BE4" s="9" t="s">
        <v>85</v>
      </c>
      <c r="BF4" s="10" t="s">
        <v>85</v>
      </c>
      <c r="BG4" s="10" t="s">
        <v>85</v>
      </c>
      <c r="BH4" s="9" t="s">
        <v>85</v>
      </c>
      <c r="BI4" s="6"/>
      <c r="BJ4" s="6" t="str">
        <f t="shared" si="1"/>
        <v>5BoN_Fold_Median</v>
      </c>
      <c r="BK4" s="6" t="str">
        <f t="shared" si="2"/>
        <v>12BoN_Fold_Median</v>
      </c>
      <c r="BL4" s="6" t="str">
        <f t="shared" si="3"/>
        <v>12Bo_Fold_Median</v>
      </c>
      <c r="BM4" s="6"/>
      <c r="BN4" s="6">
        <f t="shared" si="4"/>
        <v>5</v>
      </c>
      <c r="BO4" s="6"/>
      <c r="BP4" s="6"/>
      <c r="BQ4" s="6"/>
      <c r="BR4" s="6"/>
      <c r="BS4" s="6"/>
      <c r="BT4" s="6"/>
      <c r="BU4" s="6"/>
      <c r="BV4" s="6"/>
      <c r="BW4" s="6"/>
      <c r="BX4" s="6"/>
    </row>
    <row r="5" ht="15.75" customHeight="1">
      <c r="A5" s="1" t="s">
        <v>91</v>
      </c>
      <c r="B5" s="17">
        <v>251.0</v>
      </c>
      <c r="C5" s="17">
        <v>3.0</v>
      </c>
      <c r="D5" s="9" t="s">
        <v>85</v>
      </c>
      <c r="E5" s="9">
        <v>0.634286</v>
      </c>
      <c r="F5" s="9" t="s">
        <v>85</v>
      </c>
      <c r="G5" s="9" t="s">
        <v>85</v>
      </c>
      <c r="H5" s="30">
        <v>0.617142856</v>
      </c>
      <c r="I5" s="9" t="s">
        <v>85</v>
      </c>
      <c r="J5" s="9" t="s">
        <v>85</v>
      </c>
      <c r="K5" s="9" t="s">
        <v>85</v>
      </c>
      <c r="L5" s="9" t="s">
        <v>85</v>
      </c>
      <c r="M5" s="9" t="s">
        <v>85</v>
      </c>
      <c r="N5" s="9" t="s">
        <v>85</v>
      </c>
      <c r="O5" s="9" t="s">
        <v>85</v>
      </c>
      <c r="P5" s="9" t="s">
        <v>85</v>
      </c>
      <c r="Q5" s="9">
        <v>0.645714</v>
      </c>
      <c r="R5" s="9" t="s">
        <v>85</v>
      </c>
      <c r="S5" s="9" t="s">
        <v>85</v>
      </c>
      <c r="T5" s="9">
        <v>0.64</v>
      </c>
      <c r="U5" s="9" t="s">
        <v>85</v>
      </c>
      <c r="V5" s="9" t="s">
        <v>85</v>
      </c>
      <c r="W5" s="9" t="s">
        <v>85</v>
      </c>
      <c r="X5" s="9" t="s">
        <v>85</v>
      </c>
      <c r="Y5" s="9" t="s">
        <v>85</v>
      </c>
      <c r="Z5" s="9" t="s">
        <v>85</v>
      </c>
      <c r="AA5" s="9" t="s">
        <v>85</v>
      </c>
      <c r="AB5" s="9" t="s">
        <v>85</v>
      </c>
      <c r="AC5" s="30">
        <v>0.708571</v>
      </c>
      <c r="AD5" s="9" t="s">
        <v>85</v>
      </c>
      <c r="AE5" s="9" t="s">
        <v>85</v>
      </c>
      <c r="AF5" s="30">
        <v>0.68</v>
      </c>
      <c r="AG5" s="9" t="s">
        <v>85</v>
      </c>
      <c r="AH5" s="9" t="s">
        <v>85</v>
      </c>
      <c r="AI5" s="9" t="s">
        <v>85</v>
      </c>
      <c r="AJ5" s="9" t="s">
        <v>85</v>
      </c>
      <c r="AK5" s="9" t="s">
        <v>85</v>
      </c>
      <c r="AL5" s="9" t="s">
        <v>85</v>
      </c>
      <c r="AM5" s="9" t="s">
        <v>85</v>
      </c>
      <c r="AN5" s="9" t="s">
        <v>85</v>
      </c>
      <c r="AO5" s="9">
        <v>0.708571</v>
      </c>
      <c r="AP5" s="9" t="s">
        <v>85</v>
      </c>
      <c r="AQ5" s="9" t="s">
        <v>85</v>
      </c>
      <c r="AR5" s="30" t="s">
        <v>85</v>
      </c>
      <c r="AS5" s="9" t="s">
        <v>85</v>
      </c>
      <c r="AT5" s="9" t="s">
        <v>85</v>
      </c>
      <c r="AU5" s="9" t="s">
        <v>85</v>
      </c>
      <c r="AV5" s="9" t="s">
        <v>85</v>
      </c>
      <c r="AW5" s="9" t="s">
        <v>85</v>
      </c>
      <c r="AX5" s="9" t="s">
        <v>85</v>
      </c>
      <c r="AY5" s="9" t="s">
        <v>85</v>
      </c>
      <c r="AZ5" s="9" t="s">
        <v>85</v>
      </c>
      <c r="BA5" s="9" t="s">
        <v>85</v>
      </c>
      <c r="BB5" s="9" t="s">
        <v>85</v>
      </c>
      <c r="BC5" s="9" t="s">
        <v>85</v>
      </c>
      <c r="BD5" s="9" t="s">
        <v>85</v>
      </c>
      <c r="BE5" s="9" t="s">
        <v>85</v>
      </c>
      <c r="BF5" s="10" t="s">
        <v>85</v>
      </c>
      <c r="BG5" s="10" t="s">
        <v>85</v>
      </c>
      <c r="BH5" s="9" t="s">
        <v>85</v>
      </c>
      <c r="BI5" s="6"/>
      <c r="BJ5" s="6" t="str">
        <f t="shared" si="1"/>
        <v>10Bo_Fold_Median</v>
      </c>
      <c r="BK5" s="6" t="str">
        <f t="shared" si="2"/>
        <v>10Bo_Fold_Median</v>
      </c>
      <c r="BL5" s="6" t="str">
        <f t="shared" si="3"/>
        <v>10BoN_Fold_Median</v>
      </c>
      <c r="BM5" s="6"/>
      <c r="BN5" s="6">
        <f t="shared" si="4"/>
        <v>10</v>
      </c>
      <c r="BO5" s="6"/>
      <c r="BP5" s="6"/>
      <c r="BQ5" s="1" t="s">
        <v>248</v>
      </c>
      <c r="BT5" s="6"/>
      <c r="BU5" s="6"/>
      <c r="BV5" s="6"/>
      <c r="BW5" s="6"/>
      <c r="BX5" s="6"/>
    </row>
    <row r="6" ht="15.75" customHeight="1">
      <c r="A6" s="1" t="s">
        <v>93</v>
      </c>
      <c r="B6" s="17">
        <v>470.0</v>
      </c>
      <c r="C6" s="17">
        <v>5.0</v>
      </c>
      <c r="D6" s="9" t="s">
        <v>85</v>
      </c>
      <c r="E6" s="9">
        <v>0.433333</v>
      </c>
      <c r="F6" s="9" t="s">
        <v>85</v>
      </c>
      <c r="G6" s="9" t="s">
        <v>85</v>
      </c>
      <c r="H6" s="30">
        <v>0.466666669</v>
      </c>
      <c r="I6" s="9" t="s">
        <v>85</v>
      </c>
      <c r="J6" s="9" t="s">
        <v>85</v>
      </c>
      <c r="K6" s="9" t="s">
        <v>85</v>
      </c>
      <c r="L6" s="9" t="s">
        <v>85</v>
      </c>
      <c r="M6" s="9" t="s">
        <v>85</v>
      </c>
      <c r="N6" s="9" t="s">
        <v>85</v>
      </c>
      <c r="O6" s="9" t="s">
        <v>85</v>
      </c>
      <c r="P6" s="9" t="s">
        <v>85</v>
      </c>
      <c r="Q6" s="9">
        <v>0.5</v>
      </c>
      <c r="R6" s="9" t="s">
        <v>85</v>
      </c>
      <c r="S6" s="9" t="s">
        <v>85</v>
      </c>
      <c r="T6" s="9">
        <v>0.5</v>
      </c>
      <c r="U6" s="9" t="s">
        <v>85</v>
      </c>
      <c r="V6" s="9" t="s">
        <v>85</v>
      </c>
      <c r="W6" s="9" t="s">
        <v>85</v>
      </c>
      <c r="X6" s="9" t="s">
        <v>85</v>
      </c>
      <c r="Y6" s="9" t="s">
        <v>85</v>
      </c>
      <c r="Z6" s="9" t="s">
        <v>85</v>
      </c>
      <c r="AA6" s="9" t="s">
        <v>85</v>
      </c>
      <c r="AB6" s="9" t="s">
        <v>85</v>
      </c>
      <c r="AC6" s="30">
        <v>0.5</v>
      </c>
      <c r="AD6" s="9" t="s">
        <v>85</v>
      </c>
      <c r="AE6" s="9" t="s">
        <v>85</v>
      </c>
      <c r="AF6" s="30">
        <v>0.4</v>
      </c>
      <c r="AG6" s="9" t="s">
        <v>85</v>
      </c>
      <c r="AH6" s="9" t="s">
        <v>85</v>
      </c>
      <c r="AI6" s="9" t="s">
        <v>85</v>
      </c>
      <c r="AJ6" s="9" t="s">
        <v>85</v>
      </c>
      <c r="AK6" s="9" t="s">
        <v>85</v>
      </c>
      <c r="AL6" s="9" t="s">
        <v>85</v>
      </c>
      <c r="AM6" s="9" t="s">
        <v>85</v>
      </c>
      <c r="AN6" s="9" t="s">
        <v>85</v>
      </c>
      <c r="AO6" s="9">
        <v>0.433333</v>
      </c>
      <c r="AP6" s="9" t="s">
        <v>85</v>
      </c>
      <c r="AQ6" s="9" t="s">
        <v>85</v>
      </c>
      <c r="AR6" s="30">
        <v>0.466667</v>
      </c>
      <c r="AS6" s="9" t="s">
        <v>85</v>
      </c>
      <c r="AT6" s="9" t="s">
        <v>85</v>
      </c>
      <c r="AU6" s="9" t="s">
        <v>85</v>
      </c>
      <c r="AV6" s="9" t="s">
        <v>85</v>
      </c>
      <c r="AW6" s="9" t="s">
        <v>85</v>
      </c>
      <c r="AX6" s="9" t="s">
        <v>85</v>
      </c>
      <c r="AY6" s="9" t="s">
        <v>85</v>
      </c>
      <c r="AZ6" s="9" t="s">
        <v>85</v>
      </c>
      <c r="BA6" s="9" t="s">
        <v>85</v>
      </c>
      <c r="BB6" s="9" t="s">
        <v>85</v>
      </c>
      <c r="BC6" s="9" t="s">
        <v>85</v>
      </c>
      <c r="BD6" s="9" t="s">
        <v>85</v>
      </c>
      <c r="BE6" s="9" t="s">
        <v>85</v>
      </c>
      <c r="BF6" s="10" t="s">
        <v>85</v>
      </c>
      <c r="BG6" s="10" t="s">
        <v>85</v>
      </c>
      <c r="BH6" s="9" t="s">
        <v>85</v>
      </c>
      <c r="BI6" s="6"/>
      <c r="BJ6" s="6" t="str">
        <f t="shared" si="1"/>
        <v>8Bo_Fold_Median</v>
      </c>
      <c r="BK6" s="6" t="str">
        <f t="shared" si="2"/>
        <v>8Bo_Fold_Median</v>
      </c>
      <c r="BL6" s="6" t="str">
        <f t="shared" si="3"/>
        <v>8Bo_Fold_Median</v>
      </c>
      <c r="BM6" s="6"/>
      <c r="BN6" s="6">
        <f t="shared" si="4"/>
        <v>8</v>
      </c>
      <c r="BO6" s="6"/>
      <c r="BP6" s="6"/>
      <c r="BQ6" s="1" t="s">
        <v>213</v>
      </c>
      <c r="BR6" s="6" t="s">
        <v>249</v>
      </c>
      <c r="BS6" s="6"/>
    </row>
    <row r="7" ht="15.75" customHeight="1">
      <c r="A7" s="1" t="s">
        <v>95</v>
      </c>
      <c r="B7" s="17">
        <v>512.0</v>
      </c>
      <c r="C7" s="17">
        <v>2.0</v>
      </c>
      <c r="D7" s="9" t="s">
        <v>85</v>
      </c>
      <c r="E7" s="9">
        <v>0.7</v>
      </c>
      <c r="F7" s="9" t="s">
        <v>85</v>
      </c>
      <c r="G7" s="9" t="s">
        <v>85</v>
      </c>
      <c r="H7" s="30">
        <v>0.850000024</v>
      </c>
      <c r="I7" s="9" t="s">
        <v>85</v>
      </c>
      <c r="J7" s="9" t="s">
        <v>85</v>
      </c>
      <c r="K7" s="9" t="s">
        <v>85</v>
      </c>
      <c r="L7" s="9" t="s">
        <v>85</v>
      </c>
      <c r="M7" s="9" t="s">
        <v>85</v>
      </c>
      <c r="N7" s="9" t="s">
        <v>85</v>
      </c>
      <c r="O7" s="9" t="s">
        <v>85</v>
      </c>
      <c r="P7" s="9" t="s">
        <v>85</v>
      </c>
      <c r="Q7" s="9">
        <v>0.8</v>
      </c>
      <c r="R7" s="9" t="s">
        <v>85</v>
      </c>
      <c r="S7" s="9" t="s">
        <v>85</v>
      </c>
      <c r="T7" s="9">
        <v>0.8</v>
      </c>
      <c r="U7" s="9" t="s">
        <v>85</v>
      </c>
      <c r="V7" s="9" t="s">
        <v>85</v>
      </c>
      <c r="W7" s="9" t="s">
        <v>85</v>
      </c>
      <c r="X7" s="9" t="s">
        <v>85</v>
      </c>
      <c r="Y7" s="9" t="s">
        <v>85</v>
      </c>
      <c r="Z7" s="9" t="s">
        <v>85</v>
      </c>
      <c r="AA7" s="9" t="s">
        <v>85</v>
      </c>
      <c r="AB7" s="9" t="s">
        <v>85</v>
      </c>
      <c r="AC7" s="30">
        <v>0.75</v>
      </c>
      <c r="AD7" s="9" t="s">
        <v>85</v>
      </c>
      <c r="AE7" s="9" t="s">
        <v>85</v>
      </c>
      <c r="AF7" s="30">
        <v>0.5</v>
      </c>
      <c r="AG7" s="9" t="s">
        <v>85</v>
      </c>
      <c r="AH7" s="9" t="s">
        <v>85</v>
      </c>
      <c r="AI7" s="9" t="s">
        <v>85</v>
      </c>
      <c r="AJ7" s="9" t="s">
        <v>85</v>
      </c>
      <c r="AK7" s="9" t="s">
        <v>85</v>
      </c>
      <c r="AL7" s="9" t="s">
        <v>85</v>
      </c>
      <c r="AM7" s="9" t="s">
        <v>85</v>
      </c>
      <c r="AN7" s="9" t="s">
        <v>85</v>
      </c>
      <c r="AO7" s="9">
        <v>0.55</v>
      </c>
      <c r="AP7" s="9" t="s">
        <v>85</v>
      </c>
      <c r="AQ7" s="9" t="s">
        <v>85</v>
      </c>
      <c r="AR7" s="30">
        <v>0.75</v>
      </c>
      <c r="AS7" s="9" t="s">
        <v>85</v>
      </c>
      <c r="AT7" s="9" t="s">
        <v>85</v>
      </c>
      <c r="AU7" s="9" t="s">
        <v>85</v>
      </c>
      <c r="AV7" s="9" t="s">
        <v>85</v>
      </c>
      <c r="AW7" s="9" t="s">
        <v>85</v>
      </c>
      <c r="AX7" s="9" t="s">
        <v>85</v>
      </c>
      <c r="AY7" s="9" t="s">
        <v>85</v>
      </c>
      <c r="AZ7" s="9" t="s">
        <v>85</v>
      </c>
      <c r="BA7" s="9" t="s">
        <v>85</v>
      </c>
      <c r="BB7" s="9" t="s">
        <v>85</v>
      </c>
      <c r="BC7" s="9" t="s">
        <v>85</v>
      </c>
      <c r="BD7" s="9" t="s">
        <v>85</v>
      </c>
      <c r="BE7" s="9" t="s">
        <v>85</v>
      </c>
      <c r="BF7" s="10" t="s">
        <v>85</v>
      </c>
      <c r="BG7" s="10" t="s">
        <v>85</v>
      </c>
      <c r="BH7" s="9" t="s">
        <v>85</v>
      </c>
      <c r="BI7" s="6"/>
      <c r="BJ7" s="6" t="str">
        <f t="shared" si="1"/>
        <v>5BoN_Fold_Median</v>
      </c>
      <c r="BK7" s="6" t="str">
        <f t="shared" si="2"/>
        <v>8Bo_Fold_Median</v>
      </c>
      <c r="BL7" s="6" t="str">
        <f t="shared" si="3"/>
        <v>8Bo_Fold_Median</v>
      </c>
      <c r="BM7" s="6"/>
      <c r="BN7" s="6">
        <f t="shared" si="4"/>
        <v>5</v>
      </c>
      <c r="BO7" s="6"/>
      <c r="BP7" s="6"/>
      <c r="BR7" s="6">
        <f>COUNTIF(BJ3:BJ100,"*5*")</f>
        <v>23</v>
      </c>
      <c r="BS7" s="6">
        <f>COUNTIF(BJ3:BJ100,"*8*")</f>
        <v>17</v>
      </c>
      <c r="BT7" s="6">
        <f>COUNTIF(BJ3:BJ100,"*10*")</f>
        <v>25</v>
      </c>
      <c r="BU7" s="6">
        <f>COUNTIF(BJ3:BJ100,"*12*")</f>
        <v>33</v>
      </c>
      <c r="BV7" s="6">
        <f>COUNTIF(BJ3:BJ100,"*20*")</f>
        <v>0</v>
      </c>
      <c r="BW7" s="6"/>
      <c r="BX7" s="6"/>
    </row>
    <row r="8" ht="15.75" customHeight="1">
      <c r="A8" s="1" t="s">
        <v>97</v>
      </c>
      <c r="B8" s="17">
        <v>512.0</v>
      </c>
      <c r="C8" s="17">
        <v>2.0</v>
      </c>
      <c r="D8" s="9" t="s">
        <v>85</v>
      </c>
      <c r="E8" s="9">
        <v>0.7</v>
      </c>
      <c r="F8" s="9" t="s">
        <v>85</v>
      </c>
      <c r="G8" s="9" t="s">
        <v>85</v>
      </c>
      <c r="H8" s="30">
        <v>0.600000024</v>
      </c>
      <c r="I8" s="9" t="s">
        <v>85</v>
      </c>
      <c r="J8" s="9" t="s">
        <v>85</v>
      </c>
      <c r="K8" s="9" t="s">
        <v>85</v>
      </c>
      <c r="L8" s="9" t="s">
        <v>85</v>
      </c>
      <c r="M8" s="9" t="s">
        <v>85</v>
      </c>
      <c r="N8" s="9" t="s">
        <v>85</v>
      </c>
      <c r="O8" s="9" t="s">
        <v>85</v>
      </c>
      <c r="P8" s="9" t="s">
        <v>85</v>
      </c>
      <c r="Q8" s="9">
        <v>0.55</v>
      </c>
      <c r="R8" s="9" t="s">
        <v>85</v>
      </c>
      <c r="S8" s="9" t="s">
        <v>85</v>
      </c>
      <c r="T8" s="9">
        <v>0.55</v>
      </c>
      <c r="U8" s="9" t="s">
        <v>85</v>
      </c>
      <c r="V8" s="9" t="s">
        <v>85</v>
      </c>
      <c r="W8" s="9" t="s">
        <v>85</v>
      </c>
      <c r="X8" s="9" t="s">
        <v>85</v>
      </c>
      <c r="Y8" s="9" t="s">
        <v>85</v>
      </c>
      <c r="Z8" s="9" t="s">
        <v>85</v>
      </c>
      <c r="AA8" s="9" t="s">
        <v>85</v>
      </c>
      <c r="AB8" s="9" t="s">
        <v>85</v>
      </c>
      <c r="AC8" s="30">
        <v>0.7</v>
      </c>
      <c r="AD8" s="9" t="s">
        <v>85</v>
      </c>
      <c r="AE8" s="9" t="s">
        <v>85</v>
      </c>
      <c r="AF8" s="30">
        <v>0.75</v>
      </c>
      <c r="AG8" s="9" t="s">
        <v>85</v>
      </c>
      <c r="AH8" s="9" t="s">
        <v>85</v>
      </c>
      <c r="AI8" s="9" t="s">
        <v>85</v>
      </c>
      <c r="AJ8" s="9" t="s">
        <v>85</v>
      </c>
      <c r="AK8" s="9" t="s">
        <v>85</v>
      </c>
      <c r="AL8" s="9" t="s">
        <v>85</v>
      </c>
      <c r="AM8" s="9" t="s">
        <v>85</v>
      </c>
      <c r="AN8" s="9" t="s">
        <v>85</v>
      </c>
      <c r="AO8" s="9">
        <v>0.6</v>
      </c>
      <c r="AP8" s="9" t="s">
        <v>85</v>
      </c>
      <c r="AQ8" s="9" t="s">
        <v>85</v>
      </c>
      <c r="AR8" s="30">
        <v>0.65</v>
      </c>
      <c r="AS8" s="9" t="s">
        <v>85</v>
      </c>
      <c r="AT8" s="9" t="s">
        <v>85</v>
      </c>
      <c r="AU8" s="9" t="s">
        <v>85</v>
      </c>
      <c r="AV8" s="9" t="s">
        <v>85</v>
      </c>
      <c r="AW8" s="9" t="s">
        <v>85</v>
      </c>
      <c r="AX8" s="9" t="s">
        <v>85</v>
      </c>
      <c r="AY8" s="9" t="s">
        <v>85</v>
      </c>
      <c r="AZ8" s="9" t="s">
        <v>85</v>
      </c>
      <c r="BA8" s="9" t="s">
        <v>85</v>
      </c>
      <c r="BB8" s="9" t="s">
        <v>85</v>
      </c>
      <c r="BC8" s="9" t="s">
        <v>85</v>
      </c>
      <c r="BD8" s="9" t="s">
        <v>85</v>
      </c>
      <c r="BE8" s="9" t="s">
        <v>85</v>
      </c>
      <c r="BF8" s="10" t="s">
        <v>85</v>
      </c>
      <c r="BG8" s="10" t="s">
        <v>85</v>
      </c>
      <c r="BH8" s="9" t="s">
        <v>85</v>
      </c>
      <c r="BI8" s="6"/>
      <c r="BJ8" s="6" t="str">
        <f t="shared" si="1"/>
        <v>10BoN_Fold_Median</v>
      </c>
      <c r="BK8" s="6" t="str">
        <f t="shared" si="2"/>
        <v>5Bo_Fold_Median</v>
      </c>
      <c r="BL8" s="6" t="str">
        <f t="shared" si="3"/>
        <v>5Bo_Fold_Median</v>
      </c>
      <c r="BM8" s="6"/>
      <c r="BN8" s="6">
        <f t="shared" si="4"/>
        <v>10</v>
      </c>
      <c r="BO8" s="6"/>
      <c r="BP8" s="6"/>
      <c r="BQ8" s="6"/>
      <c r="BR8" s="6" t="s">
        <v>250</v>
      </c>
      <c r="BS8" s="6" t="s">
        <v>251</v>
      </c>
      <c r="BT8" s="6" t="s">
        <v>252</v>
      </c>
      <c r="BU8" s="6" t="s">
        <v>253</v>
      </c>
      <c r="BV8" s="6" t="s">
        <v>254</v>
      </c>
      <c r="BW8" s="6"/>
      <c r="BX8" s="6"/>
    </row>
    <row r="9" ht="15.75" customHeight="1">
      <c r="A9" s="1" t="s">
        <v>98</v>
      </c>
      <c r="B9" s="17">
        <v>128.0</v>
      </c>
      <c r="C9" s="17">
        <v>3.0</v>
      </c>
      <c r="D9" s="9" t="s">
        <v>85</v>
      </c>
      <c r="E9" s="9">
        <v>0.886667</v>
      </c>
      <c r="F9" s="9" t="s">
        <v>85</v>
      </c>
      <c r="G9" s="9" t="s">
        <v>85</v>
      </c>
      <c r="H9" s="30">
        <v>0.886666656</v>
      </c>
      <c r="I9" s="9" t="s">
        <v>85</v>
      </c>
      <c r="J9" s="9" t="s">
        <v>85</v>
      </c>
      <c r="K9" s="9" t="s">
        <v>85</v>
      </c>
      <c r="L9" s="9" t="s">
        <v>85</v>
      </c>
      <c r="M9" s="9" t="s">
        <v>85</v>
      </c>
      <c r="N9" s="9" t="s">
        <v>85</v>
      </c>
      <c r="O9" s="9" t="s">
        <v>85</v>
      </c>
      <c r="P9" s="9" t="s">
        <v>85</v>
      </c>
      <c r="Q9" s="9">
        <v>0.88</v>
      </c>
      <c r="R9" s="9" t="s">
        <v>85</v>
      </c>
      <c r="S9" s="9" t="s">
        <v>85</v>
      </c>
      <c r="T9" s="9">
        <v>0.9</v>
      </c>
      <c r="U9" s="9" t="s">
        <v>85</v>
      </c>
      <c r="V9" s="9" t="s">
        <v>85</v>
      </c>
      <c r="W9" s="9" t="s">
        <v>85</v>
      </c>
      <c r="X9" s="9" t="s">
        <v>85</v>
      </c>
      <c r="Y9" s="9" t="s">
        <v>85</v>
      </c>
      <c r="Z9" s="9" t="s">
        <v>85</v>
      </c>
      <c r="AA9" s="9" t="s">
        <v>85</v>
      </c>
      <c r="AB9" s="9" t="s">
        <v>85</v>
      </c>
      <c r="AC9" s="30">
        <v>0.886667</v>
      </c>
      <c r="AD9" s="9" t="s">
        <v>85</v>
      </c>
      <c r="AE9" s="9" t="s">
        <v>85</v>
      </c>
      <c r="AF9" s="30">
        <v>0.893333</v>
      </c>
      <c r="AG9" s="9" t="s">
        <v>85</v>
      </c>
      <c r="AH9" s="9" t="s">
        <v>85</v>
      </c>
      <c r="AI9" s="9" t="s">
        <v>85</v>
      </c>
      <c r="AJ9" s="9" t="s">
        <v>85</v>
      </c>
      <c r="AK9" s="9" t="s">
        <v>85</v>
      </c>
      <c r="AL9" s="9" t="s">
        <v>85</v>
      </c>
      <c r="AM9" s="9" t="s">
        <v>85</v>
      </c>
      <c r="AN9" s="9" t="s">
        <v>85</v>
      </c>
      <c r="AO9" s="9">
        <v>0.873333</v>
      </c>
      <c r="AP9" s="9" t="s">
        <v>85</v>
      </c>
      <c r="AQ9" s="9" t="s">
        <v>85</v>
      </c>
      <c r="AR9" s="30">
        <v>0.893333</v>
      </c>
      <c r="AS9" s="9" t="s">
        <v>85</v>
      </c>
      <c r="AT9" s="9" t="s">
        <v>85</v>
      </c>
      <c r="AU9" s="9" t="s">
        <v>85</v>
      </c>
      <c r="AV9" s="9" t="s">
        <v>85</v>
      </c>
      <c r="AW9" s="9" t="s">
        <v>85</v>
      </c>
      <c r="AX9" s="9" t="s">
        <v>85</v>
      </c>
      <c r="AY9" s="9" t="s">
        <v>85</v>
      </c>
      <c r="AZ9" s="9" t="s">
        <v>85</v>
      </c>
      <c r="BA9" s="9" t="s">
        <v>85</v>
      </c>
      <c r="BB9" s="9" t="s">
        <v>85</v>
      </c>
      <c r="BC9" s="9" t="s">
        <v>85</v>
      </c>
      <c r="BD9" s="9" t="s">
        <v>85</v>
      </c>
      <c r="BE9" s="9" t="s">
        <v>85</v>
      </c>
      <c r="BF9" s="10" t="s">
        <v>85</v>
      </c>
      <c r="BG9" s="10" t="s">
        <v>85</v>
      </c>
      <c r="BH9" s="9" t="s">
        <v>85</v>
      </c>
      <c r="BI9" s="6"/>
      <c r="BJ9" s="6" t="str">
        <f t="shared" si="1"/>
        <v>8BoN_Fold_Median</v>
      </c>
      <c r="BK9" s="6" t="str">
        <f t="shared" si="2"/>
        <v>10BoN_Fold_Median</v>
      </c>
      <c r="BL9" s="6" t="str">
        <f t="shared" si="3"/>
        <v>10BoN_Fold_Median</v>
      </c>
      <c r="BM9" s="6"/>
      <c r="BN9" s="6">
        <f t="shared" si="4"/>
        <v>8</v>
      </c>
      <c r="BO9" s="6"/>
      <c r="BP9" s="6"/>
      <c r="BQ9" s="6" t="s">
        <v>233</v>
      </c>
      <c r="BR9" s="18">
        <f>COUNTIFS($BJ$3:$BJ$100,"*5*",$BJ$3:$BJ$100,"*Bo_*")</f>
        <v>14</v>
      </c>
      <c r="BS9" s="18">
        <f>COUNTIFS($BJ$3:$BJ$100,"*8*",$BJ$3:$BJ$100,"*Bo_*")</f>
        <v>6</v>
      </c>
      <c r="BT9" s="18">
        <f>COUNTIFS($BJ$3:$BJ$100,"*10*",$BJ$3:$BJ$100,"*Bo_*")</f>
        <v>14</v>
      </c>
      <c r="BU9" s="18">
        <f>COUNTIFS($BJ$3:$BJ$100,"*12*",$BJ$3:$BJ$100,"*Bo_*")</f>
        <v>21</v>
      </c>
      <c r="BV9" s="18">
        <f>COUNTIFS($BJ$3:$BJ$100,"*20*",$BJ$3:$BJ$100,"*Bo_*")</f>
        <v>0</v>
      </c>
      <c r="BW9" s="6">
        <f t="shared" ref="BW9:BW10" si="5">SUM(BR9:BV9)</f>
        <v>55</v>
      </c>
      <c r="BX9" s="6"/>
    </row>
    <row r="10" ht="15.75" customHeight="1">
      <c r="A10" s="1" t="s">
        <v>99</v>
      </c>
      <c r="B10" s="17">
        <v>577.0</v>
      </c>
      <c r="C10" s="17">
        <v>4.0</v>
      </c>
      <c r="D10" s="9" t="s">
        <v>85</v>
      </c>
      <c r="E10" s="9">
        <v>0.55</v>
      </c>
      <c r="F10" s="9" t="s">
        <v>85</v>
      </c>
      <c r="G10" s="9" t="s">
        <v>85</v>
      </c>
      <c r="H10" s="30">
        <v>0.566666663</v>
      </c>
      <c r="I10" s="9" t="s">
        <v>85</v>
      </c>
      <c r="J10" s="9" t="s">
        <v>85</v>
      </c>
      <c r="K10" s="9" t="s">
        <v>85</v>
      </c>
      <c r="L10" s="9" t="s">
        <v>85</v>
      </c>
      <c r="M10" s="9" t="s">
        <v>85</v>
      </c>
      <c r="N10" s="9" t="s">
        <v>85</v>
      </c>
      <c r="O10" s="9" t="s">
        <v>85</v>
      </c>
      <c r="P10" s="9" t="s">
        <v>85</v>
      </c>
      <c r="Q10" s="9">
        <v>0.55</v>
      </c>
      <c r="R10" s="9" t="s">
        <v>85</v>
      </c>
      <c r="S10" s="9" t="s">
        <v>85</v>
      </c>
      <c r="T10" s="9">
        <v>0.566667</v>
      </c>
      <c r="U10" s="9" t="s">
        <v>85</v>
      </c>
      <c r="V10" s="9" t="s">
        <v>85</v>
      </c>
      <c r="W10" s="9" t="s">
        <v>85</v>
      </c>
      <c r="X10" s="9" t="s">
        <v>85</v>
      </c>
      <c r="Y10" s="9" t="s">
        <v>85</v>
      </c>
      <c r="Z10" s="9" t="s">
        <v>85</v>
      </c>
      <c r="AA10" s="9" t="s">
        <v>85</v>
      </c>
      <c r="AB10" s="9" t="s">
        <v>85</v>
      </c>
      <c r="AC10" s="30">
        <v>0.583333</v>
      </c>
      <c r="AD10" s="9" t="s">
        <v>85</v>
      </c>
      <c r="AE10" s="9" t="s">
        <v>85</v>
      </c>
      <c r="AF10" s="30">
        <v>0.566667</v>
      </c>
      <c r="AG10" s="9" t="s">
        <v>85</v>
      </c>
      <c r="AH10" s="9" t="s">
        <v>85</v>
      </c>
      <c r="AI10" s="9" t="s">
        <v>85</v>
      </c>
      <c r="AJ10" s="9" t="s">
        <v>85</v>
      </c>
      <c r="AK10" s="9" t="s">
        <v>85</v>
      </c>
      <c r="AL10" s="9" t="s">
        <v>85</v>
      </c>
      <c r="AM10" s="9" t="s">
        <v>85</v>
      </c>
      <c r="AN10" s="9" t="s">
        <v>85</v>
      </c>
      <c r="AO10" s="9">
        <v>0.633333</v>
      </c>
      <c r="AP10" s="9" t="s">
        <v>85</v>
      </c>
      <c r="AQ10" s="9" t="s">
        <v>85</v>
      </c>
      <c r="AR10" s="30">
        <v>0.6</v>
      </c>
      <c r="AS10" s="9" t="s">
        <v>85</v>
      </c>
      <c r="AT10" s="9" t="s">
        <v>85</v>
      </c>
      <c r="AU10" s="9" t="s">
        <v>85</v>
      </c>
      <c r="AV10" s="9" t="s">
        <v>85</v>
      </c>
      <c r="AW10" s="9" t="s">
        <v>85</v>
      </c>
      <c r="AX10" s="9" t="s">
        <v>85</v>
      </c>
      <c r="AY10" s="9" t="s">
        <v>85</v>
      </c>
      <c r="AZ10" s="9" t="s">
        <v>85</v>
      </c>
      <c r="BA10" s="9" t="s">
        <v>85</v>
      </c>
      <c r="BB10" s="9" t="s">
        <v>85</v>
      </c>
      <c r="BC10" s="9" t="s">
        <v>85</v>
      </c>
      <c r="BD10" s="9" t="s">
        <v>85</v>
      </c>
      <c r="BE10" s="9" t="s">
        <v>85</v>
      </c>
      <c r="BF10" s="10" t="s">
        <v>85</v>
      </c>
      <c r="BG10" s="10" t="s">
        <v>85</v>
      </c>
      <c r="BH10" s="9" t="s">
        <v>85</v>
      </c>
      <c r="BI10" s="6"/>
      <c r="BJ10" s="6" t="str">
        <f t="shared" si="1"/>
        <v>12Bo_Fold_Median</v>
      </c>
      <c r="BK10" s="6" t="str">
        <f t="shared" si="2"/>
        <v>12BoN_Fold_Median</v>
      </c>
      <c r="BL10" s="6" t="str">
        <f t="shared" si="3"/>
        <v>10Bo_Fold_Median</v>
      </c>
      <c r="BM10" s="6"/>
      <c r="BN10" s="6">
        <f t="shared" si="4"/>
        <v>12</v>
      </c>
      <c r="BO10" s="6"/>
      <c r="BP10" s="6"/>
      <c r="BQ10" s="6" t="s">
        <v>288</v>
      </c>
      <c r="BR10" s="18">
        <f>COUNTIFS($BJ$3:$BJ$100,"*5*",$BJ$3:$BJ$100,"*BoN_*")</f>
        <v>9</v>
      </c>
      <c r="BS10" s="18">
        <f>COUNTIFS($BJ$3:$BJ$100,"*8*",$BJ$3:$BJ$100,"*BoN_*")</f>
        <v>11</v>
      </c>
      <c r="BT10" s="18">
        <f>COUNTIFS($BJ$3:$BJ$100,"*10*",$BJ$3:$BJ$100,"*BoN_*")</f>
        <v>11</v>
      </c>
      <c r="BU10" s="18">
        <f>COUNTIFS($BJ$3:$BJ$100,"*12*",$BJ$3:$BJ$100,"*BoN_*")</f>
        <v>12</v>
      </c>
      <c r="BV10" s="18">
        <f>COUNTIFS($BJ$3:$BJ$100,"*20*",$BJ$3:$BJ$100,"*BoN_*")</f>
        <v>0</v>
      </c>
      <c r="BW10" s="6">
        <f t="shared" si="5"/>
        <v>43</v>
      </c>
      <c r="BX10" s="6"/>
    </row>
    <row r="11" ht="15.75" customHeight="1">
      <c r="A11" s="1" t="s">
        <v>101</v>
      </c>
      <c r="B11" s="17">
        <v>128.0</v>
      </c>
      <c r="C11" s="17">
        <v>3.0</v>
      </c>
      <c r="D11" s="9" t="s">
        <v>85</v>
      </c>
      <c r="E11" s="9">
        <v>0.941111</v>
      </c>
      <c r="F11" s="9" t="s">
        <v>85</v>
      </c>
      <c r="G11" s="9" t="s">
        <v>85</v>
      </c>
      <c r="H11" s="30">
        <v>0.930000007</v>
      </c>
      <c r="I11" s="9" t="s">
        <v>85</v>
      </c>
      <c r="J11" s="9" t="s">
        <v>85</v>
      </c>
      <c r="K11" s="9" t="s">
        <v>85</v>
      </c>
      <c r="L11" s="9" t="s">
        <v>85</v>
      </c>
      <c r="M11" s="9" t="s">
        <v>85</v>
      </c>
      <c r="N11" s="9" t="s">
        <v>85</v>
      </c>
      <c r="O11" s="9" t="s">
        <v>85</v>
      </c>
      <c r="P11" s="9" t="s">
        <v>85</v>
      </c>
      <c r="Q11" s="9">
        <v>0.916667</v>
      </c>
      <c r="R11" s="9" t="s">
        <v>85</v>
      </c>
      <c r="S11" s="9" t="s">
        <v>85</v>
      </c>
      <c r="T11" s="9">
        <v>0.935556</v>
      </c>
      <c r="U11" s="9" t="s">
        <v>85</v>
      </c>
      <c r="V11" s="9" t="s">
        <v>85</v>
      </c>
      <c r="W11" s="9" t="s">
        <v>85</v>
      </c>
      <c r="X11" s="9" t="s">
        <v>85</v>
      </c>
      <c r="Y11" s="9" t="s">
        <v>85</v>
      </c>
      <c r="Z11" s="9" t="s">
        <v>85</v>
      </c>
      <c r="AA11" s="9" t="s">
        <v>85</v>
      </c>
      <c r="AB11" s="9" t="s">
        <v>85</v>
      </c>
      <c r="AC11" s="30">
        <v>0.95</v>
      </c>
      <c r="AD11" s="9" t="s">
        <v>85</v>
      </c>
      <c r="AE11" s="9" t="s">
        <v>85</v>
      </c>
      <c r="AF11" s="30">
        <v>0.958889</v>
      </c>
      <c r="AG11" s="9" t="s">
        <v>85</v>
      </c>
      <c r="AH11" s="9" t="s">
        <v>85</v>
      </c>
      <c r="AI11" s="9" t="s">
        <v>85</v>
      </c>
      <c r="AJ11" s="9" t="s">
        <v>85</v>
      </c>
      <c r="AK11" s="9" t="s">
        <v>85</v>
      </c>
      <c r="AL11" s="9" t="s">
        <v>85</v>
      </c>
      <c r="AM11" s="9" t="s">
        <v>85</v>
      </c>
      <c r="AN11" s="9" t="s">
        <v>85</v>
      </c>
      <c r="AO11" s="9">
        <v>0.948889</v>
      </c>
      <c r="AP11" s="9" t="s">
        <v>85</v>
      </c>
      <c r="AQ11" s="9" t="s">
        <v>85</v>
      </c>
      <c r="AR11" s="30" t="s">
        <v>85</v>
      </c>
      <c r="AS11" s="9" t="s">
        <v>85</v>
      </c>
      <c r="AT11" s="9" t="s">
        <v>85</v>
      </c>
      <c r="AU11" s="9" t="s">
        <v>85</v>
      </c>
      <c r="AV11" s="9" t="s">
        <v>85</v>
      </c>
      <c r="AW11" s="9" t="s">
        <v>85</v>
      </c>
      <c r="AX11" s="9" t="s">
        <v>85</v>
      </c>
      <c r="AY11" s="9" t="s">
        <v>85</v>
      </c>
      <c r="AZ11" s="9" t="s">
        <v>85</v>
      </c>
      <c r="BA11" s="9" t="s">
        <v>85</v>
      </c>
      <c r="BB11" s="9" t="s">
        <v>85</v>
      </c>
      <c r="BC11" s="9" t="s">
        <v>85</v>
      </c>
      <c r="BD11" s="9" t="s">
        <v>85</v>
      </c>
      <c r="BE11" s="9" t="s">
        <v>85</v>
      </c>
      <c r="BF11" s="10" t="s">
        <v>85</v>
      </c>
      <c r="BG11" s="10" t="s">
        <v>85</v>
      </c>
      <c r="BH11" s="9" t="s">
        <v>85</v>
      </c>
      <c r="BI11" s="6"/>
      <c r="BJ11" s="6" t="str">
        <f t="shared" si="1"/>
        <v>10BoN_Fold_Median</v>
      </c>
      <c r="BK11" s="6" t="str">
        <f t="shared" si="2"/>
        <v>10Bo_Fold_Median</v>
      </c>
      <c r="BL11" s="6" t="str">
        <f t="shared" si="3"/>
        <v>12Bo_Fold_Median</v>
      </c>
      <c r="BM11" s="6"/>
      <c r="BN11" s="6">
        <f t="shared" si="4"/>
        <v>10</v>
      </c>
      <c r="BO11" s="6"/>
      <c r="BP11" s="6"/>
      <c r="BQ11" s="6"/>
      <c r="BR11" s="6"/>
      <c r="BT11" s="6"/>
      <c r="BU11" s="6"/>
      <c r="BV11" s="6"/>
      <c r="BW11" s="6"/>
      <c r="BX11" s="6"/>
    </row>
    <row r="12" ht="15.75" customHeight="1">
      <c r="A12" s="1" t="s">
        <v>103</v>
      </c>
      <c r="B12" s="17">
        <v>24.0</v>
      </c>
      <c r="C12" s="17">
        <v>2.0</v>
      </c>
      <c r="D12" s="9" t="s">
        <v>85</v>
      </c>
      <c r="E12" s="9">
        <v>0.965015</v>
      </c>
      <c r="F12" s="9" t="s">
        <v>85</v>
      </c>
      <c r="G12" s="9" t="s">
        <v>85</v>
      </c>
      <c r="H12" s="30">
        <v>0.965014577</v>
      </c>
      <c r="I12" s="9" t="s">
        <v>85</v>
      </c>
      <c r="J12" s="9" t="s">
        <v>85</v>
      </c>
      <c r="K12" s="9" t="s">
        <v>85</v>
      </c>
      <c r="L12" s="9" t="s">
        <v>85</v>
      </c>
      <c r="M12" s="9" t="s">
        <v>85</v>
      </c>
      <c r="N12" s="9" t="s">
        <v>85</v>
      </c>
      <c r="O12" s="9" t="s">
        <v>85</v>
      </c>
      <c r="P12" s="9" t="s">
        <v>85</v>
      </c>
      <c r="Q12" s="9">
        <v>0.96793</v>
      </c>
      <c r="R12" s="9" t="s">
        <v>85</v>
      </c>
      <c r="S12" s="9" t="s">
        <v>85</v>
      </c>
      <c r="T12" s="9">
        <v>0.976676</v>
      </c>
      <c r="U12" s="9" t="s">
        <v>85</v>
      </c>
      <c r="V12" s="9" t="s">
        <v>85</v>
      </c>
      <c r="W12" s="9" t="s">
        <v>85</v>
      </c>
      <c r="X12" s="9" t="s">
        <v>85</v>
      </c>
      <c r="Y12" s="9" t="s">
        <v>85</v>
      </c>
      <c r="Z12" s="9" t="s">
        <v>85</v>
      </c>
      <c r="AA12" s="9" t="s">
        <v>85</v>
      </c>
      <c r="AB12" s="9" t="s">
        <v>85</v>
      </c>
      <c r="AC12" s="30">
        <v>0.970845</v>
      </c>
      <c r="AD12" s="9" t="s">
        <v>85</v>
      </c>
      <c r="AE12" s="9" t="s">
        <v>85</v>
      </c>
      <c r="AF12" s="30">
        <v>0.973761</v>
      </c>
      <c r="AG12" s="9" t="s">
        <v>85</v>
      </c>
      <c r="AH12" s="9" t="s">
        <v>85</v>
      </c>
      <c r="AI12" s="9" t="s">
        <v>85</v>
      </c>
      <c r="AJ12" s="9" t="s">
        <v>85</v>
      </c>
      <c r="AK12" s="9" t="s">
        <v>85</v>
      </c>
      <c r="AL12" s="9" t="s">
        <v>85</v>
      </c>
      <c r="AM12" s="9" t="s">
        <v>85</v>
      </c>
      <c r="AN12" s="9" t="s">
        <v>85</v>
      </c>
      <c r="AO12" s="9">
        <v>0.973761</v>
      </c>
      <c r="AP12" s="9" t="s">
        <v>85</v>
      </c>
      <c r="AQ12" s="9" t="s">
        <v>85</v>
      </c>
      <c r="AR12" s="30">
        <v>0.959184</v>
      </c>
      <c r="AS12" s="9" t="s">
        <v>85</v>
      </c>
      <c r="AT12" s="9" t="s">
        <v>85</v>
      </c>
      <c r="AU12" s="9" t="s">
        <v>85</v>
      </c>
      <c r="AV12" s="9" t="s">
        <v>85</v>
      </c>
      <c r="AW12" s="9" t="s">
        <v>85</v>
      </c>
      <c r="AX12" s="9" t="s">
        <v>85</v>
      </c>
      <c r="AY12" s="9" t="s">
        <v>85</v>
      </c>
      <c r="AZ12" s="9" t="s">
        <v>85</v>
      </c>
      <c r="BA12" s="9" t="s">
        <v>85</v>
      </c>
      <c r="BB12" s="9" t="s">
        <v>85</v>
      </c>
      <c r="BC12" s="9" t="s">
        <v>85</v>
      </c>
      <c r="BD12" s="9" t="s">
        <v>85</v>
      </c>
      <c r="BE12" s="9" t="s">
        <v>85</v>
      </c>
      <c r="BF12" s="10" t="s">
        <v>85</v>
      </c>
      <c r="BG12" s="10" t="s">
        <v>85</v>
      </c>
      <c r="BH12" s="9" t="s">
        <v>85</v>
      </c>
      <c r="BI12" s="6"/>
      <c r="BJ12" s="6" t="str">
        <f t="shared" si="1"/>
        <v>8BoN_Fold_Median</v>
      </c>
      <c r="BK12" s="6" t="str">
        <f t="shared" si="2"/>
        <v>10BoN_Fold_Median</v>
      </c>
      <c r="BL12" s="6" t="str">
        <f t="shared" si="3"/>
        <v>10BoN_Fold_Median</v>
      </c>
      <c r="BM12" s="6"/>
      <c r="BN12" s="6">
        <f t="shared" si="4"/>
        <v>8</v>
      </c>
      <c r="BO12" s="6"/>
      <c r="BP12" s="6"/>
      <c r="BQ12" s="6"/>
      <c r="BR12" s="6"/>
      <c r="BS12" s="6"/>
      <c r="BT12" s="6"/>
      <c r="BU12" s="6"/>
      <c r="BV12" s="6"/>
      <c r="BW12" s="6"/>
      <c r="BX12" s="6"/>
    </row>
    <row r="13" ht="15.75" customHeight="1">
      <c r="A13" s="1" t="s">
        <v>105</v>
      </c>
      <c r="B13" s="17">
        <v>166.0</v>
      </c>
      <c r="C13" s="17">
        <v>3.0</v>
      </c>
      <c r="D13" s="9" t="s">
        <v>85</v>
      </c>
      <c r="E13" s="9">
        <v>0.532552</v>
      </c>
      <c r="F13" s="9" t="s">
        <v>85</v>
      </c>
      <c r="G13" s="9" t="s">
        <v>85</v>
      </c>
      <c r="H13" s="30">
        <v>0.540624976</v>
      </c>
      <c r="I13" s="9" t="s">
        <v>85</v>
      </c>
      <c r="J13" s="9" t="s">
        <v>85</v>
      </c>
      <c r="K13" s="9" t="s">
        <v>85</v>
      </c>
      <c r="L13" s="9" t="s">
        <v>85</v>
      </c>
      <c r="M13" s="9" t="s">
        <v>85</v>
      </c>
      <c r="N13" s="9" t="s">
        <v>85</v>
      </c>
      <c r="O13" s="9" t="s">
        <v>85</v>
      </c>
      <c r="P13" s="9" t="s">
        <v>85</v>
      </c>
      <c r="Q13" s="9">
        <v>0.532552</v>
      </c>
      <c r="R13" s="9" t="s">
        <v>85</v>
      </c>
      <c r="S13" s="9" t="s">
        <v>85</v>
      </c>
      <c r="T13" s="9">
        <v>0.532552</v>
      </c>
      <c r="U13" s="9" t="s">
        <v>85</v>
      </c>
      <c r="V13" s="9" t="s">
        <v>85</v>
      </c>
      <c r="W13" s="9" t="s">
        <v>85</v>
      </c>
      <c r="X13" s="9" t="s">
        <v>85</v>
      </c>
      <c r="Y13" s="9" t="s">
        <v>85</v>
      </c>
      <c r="Z13" s="9" t="s">
        <v>85</v>
      </c>
      <c r="AA13" s="9" t="s">
        <v>85</v>
      </c>
      <c r="AB13" s="9" t="s">
        <v>85</v>
      </c>
      <c r="AC13" s="30">
        <v>0.540104</v>
      </c>
      <c r="AD13" s="9" t="s">
        <v>85</v>
      </c>
      <c r="AE13" s="9" t="s">
        <v>85</v>
      </c>
      <c r="AF13" s="30">
        <v>0.532552</v>
      </c>
      <c r="AG13" s="9" t="s">
        <v>85</v>
      </c>
      <c r="AH13" s="9" t="s">
        <v>85</v>
      </c>
      <c r="AI13" s="9" t="s">
        <v>85</v>
      </c>
      <c r="AJ13" s="9" t="s">
        <v>85</v>
      </c>
      <c r="AK13" s="9" t="s">
        <v>85</v>
      </c>
      <c r="AL13" s="9" t="s">
        <v>85</v>
      </c>
      <c r="AM13" s="9" t="s">
        <v>85</v>
      </c>
      <c r="AN13" s="9" t="s">
        <v>85</v>
      </c>
      <c r="AO13" s="9">
        <v>0.571094</v>
      </c>
      <c r="AP13" s="9" t="s">
        <v>85</v>
      </c>
      <c r="AQ13" s="9" t="s">
        <v>85</v>
      </c>
      <c r="AR13" s="30">
        <v>0.569792</v>
      </c>
      <c r="AS13" s="9" t="s">
        <v>85</v>
      </c>
      <c r="AT13" s="9" t="s">
        <v>85</v>
      </c>
      <c r="AU13" s="9" t="s">
        <v>85</v>
      </c>
      <c r="AV13" s="9" t="s">
        <v>85</v>
      </c>
      <c r="AW13" s="9" t="s">
        <v>85</v>
      </c>
      <c r="AX13" s="9" t="s">
        <v>85</v>
      </c>
      <c r="AY13" s="9" t="s">
        <v>85</v>
      </c>
      <c r="AZ13" s="9" t="s">
        <v>85</v>
      </c>
      <c r="BA13" s="9" t="s">
        <v>85</v>
      </c>
      <c r="BB13" s="9" t="s">
        <v>85</v>
      </c>
      <c r="BC13" s="9" t="s">
        <v>85</v>
      </c>
      <c r="BD13" s="9" t="s">
        <v>85</v>
      </c>
      <c r="BE13" s="9" t="s">
        <v>85</v>
      </c>
      <c r="BF13" s="10" t="s">
        <v>85</v>
      </c>
      <c r="BG13" s="10" t="s">
        <v>85</v>
      </c>
      <c r="BH13" s="9" t="s">
        <v>85</v>
      </c>
      <c r="BI13" s="6"/>
      <c r="BJ13" s="6" t="str">
        <f t="shared" si="1"/>
        <v>12Bo_Fold_Median</v>
      </c>
      <c r="BK13" s="6" t="str">
        <f t="shared" si="2"/>
        <v>12BoN_Fold_Median</v>
      </c>
      <c r="BL13" s="6" t="str">
        <f t="shared" si="3"/>
        <v>5BoN_Fold_Median</v>
      </c>
      <c r="BM13" s="6"/>
      <c r="BN13" s="6">
        <f t="shared" si="4"/>
        <v>12</v>
      </c>
      <c r="BO13" s="6"/>
      <c r="BP13" s="6"/>
      <c r="BQ13" s="6"/>
      <c r="BR13" s="6"/>
      <c r="BS13" s="6"/>
      <c r="BT13" s="6"/>
      <c r="BU13" s="6"/>
      <c r="BV13" s="6"/>
      <c r="BW13" s="6"/>
      <c r="BX13" s="6"/>
    </row>
    <row r="14" ht="15.75" customHeight="1">
      <c r="A14" s="1" t="s">
        <v>107</v>
      </c>
      <c r="B14" s="17">
        <v>1639.0</v>
      </c>
      <c r="C14" s="17">
        <v>4.0</v>
      </c>
      <c r="D14" s="9" t="s">
        <v>85</v>
      </c>
      <c r="E14" s="9">
        <v>0.381159</v>
      </c>
      <c r="F14" s="9" t="s">
        <v>85</v>
      </c>
      <c r="G14" s="9" t="s">
        <v>85</v>
      </c>
      <c r="H14" s="30">
        <v>0.505072474</v>
      </c>
      <c r="I14" s="9" t="s">
        <v>85</v>
      </c>
      <c r="J14" s="9" t="s">
        <v>85</v>
      </c>
      <c r="K14" s="9" t="s">
        <v>85</v>
      </c>
      <c r="L14" s="9" t="s">
        <v>85</v>
      </c>
      <c r="M14" s="9" t="s">
        <v>85</v>
      </c>
      <c r="N14" s="9" t="s">
        <v>85</v>
      </c>
      <c r="O14" s="9" t="s">
        <v>85</v>
      </c>
      <c r="P14" s="9" t="s">
        <v>85</v>
      </c>
      <c r="Q14" s="9">
        <v>0.597101</v>
      </c>
      <c r="R14" s="9" t="s">
        <v>85</v>
      </c>
      <c r="S14" s="9" t="s">
        <v>85</v>
      </c>
      <c r="T14" s="9">
        <v>0.544928</v>
      </c>
      <c r="U14" s="9" t="s">
        <v>85</v>
      </c>
      <c r="V14" s="9" t="s">
        <v>85</v>
      </c>
      <c r="W14" s="9" t="s">
        <v>85</v>
      </c>
      <c r="X14" s="9" t="s">
        <v>85</v>
      </c>
      <c r="Y14" s="9" t="s">
        <v>85</v>
      </c>
      <c r="Z14" s="9" t="s">
        <v>85</v>
      </c>
      <c r="AA14" s="9" t="s">
        <v>85</v>
      </c>
      <c r="AB14" s="9" t="s">
        <v>85</v>
      </c>
      <c r="AC14" s="30">
        <v>0.561594</v>
      </c>
      <c r="AD14" s="9" t="s">
        <v>85</v>
      </c>
      <c r="AE14" s="9" t="s">
        <v>85</v>
      </c>
      <c r="AF14" s="30">
        <v>0.601449</v>
      </c>
      <c r="AG14" s="9" t="s">
        <v>85</v>
      </c>
      <c r="AH14" s="9" t="s">
        <v>85</v>
      </c>
      <c r="AI14" s="9" t="s">
        <v>85</v>
      </c>
      <c r="AJ14" s="9" t="s">
        <v>85</v>
      </c>
      <c r="AK14" s="9" t="s">
        <v>85</v>
      </c>
      <c r="AL14" s="9" t="s">
        <v>85</v>
      </c>
      <c r="AM14" s="9" t="s">
        <v>85</v>
      </c>
      <c r="AN14" s="9" t="s">
        <v>85</v>
      </c>
      <c r="AO14" s="9">
        <v>0.619565</v>
      </c>
      <c r="AP14" s="9" t="s">
        <v>85</v>
      </c>
      <c r="AQ14" s="9" t="s">
        <v>85</v>
      </c>
      <c r="AR14" s="30">
        <v>0.605797</v>
      </c>
      <c r="AS14" s="9" t="s">
        <v>85</v>
      </c>
      <c r="AT14" s="9" t="s">
        <v>85</v>
      </c>
      <c r="AU14" s="9" t="s">
        <v>85</v>
      </c>
      <c r="AV14" s="9" t="s">
        <v>85</v>
      </c>
      <c r="AW14" s="9" t="s">
        <v>85</v>
      </c>
      <c r="AX14" s="9" t="s">
        <v>85</v>
      </c>
      <c r="AY14" s="9" t="s">
        <v>85</v>
      </c>
      <c r="AZ14" s="9" t="s">
        <v>85</v>
      </c>
      <c r="BA14" s="9" t="s">
        <v>85</v>
      </c>
      <c r="BB14" s="9" t="s">
        <v>85</v>
      </c>
      <c r="BC14" s="9" t="s">
        <v>85</v>
      </c>
      <c r="BD14" s="9" t="s">
        <v>85</v>
      </c>
      <c r="BE14" s="9" t="s">
        <v>85</v>
      </c>
      <c r="BF14" s="10" t="s">
        <v>85</v>
      </c>
      <c r="BG14" s="10" t="s">
        <v>85</v>
      </c>
      <c r="BH14" s="9" t="s">
        <v>85</v>
      </c>
      <c r="BI14" s="6"/>
      <c r="BJ14" s="6" t="str">
        <f t="shared" si="1"/>
        <v>12Bo_Fold_Median</v>
      </c>
      <c r="BK14" s="6" t="str">
        <f t="shared" si="2"/>
        <v>12BoN_Fold_Median</v>
      </c>
      <c r="BL14" s="6" t="str">
        <f t="shared" si="3"/>
        <v>10BoN_Fold_Median</v>
      </c>
      <c r="BM14" s="6"/>
      <c r="BN14" s="6">
        <f t="shared" si="4"/>
        <v>12</v>
      </c>
      <c r="BO14" s="6"/>
      <c r="BP14" s="6"/>
      <c r="BQ14" s="21" t="s">
        <v>289</v>
      </c>
      <c r="BR14" s="18" t="s">
        <v>290</v>
      </c>
      <c r="BS14" s="18" t="s">
        <v>291</v>
      </c>
      <c r="BT14" s="18" t="s">
        <v>292</v>
      </c>
      <c r="BU14" s="6"/>
      <c r="BV14" s="6"/>
      <c r="BW14" s="6"/>
      <c r="BX14" s="6"/>
    </row>
    <row r="15" ht="15.75" customHeight="1">
      <c r="A15" s="1" t="s">
        <v>109</v>
      </c>
      <c r="B15" s="17">
        <v>286.0</v>
      </c>
      <c r="C15" s="17">
        <v>2.0</v>
      </c>
      <c r="D15" s="9" t="s">
        <v>85</v>
      </c>
      <c r="E15" s="9">
        <v>0.785714</v>
      </c>
      <c r="F15" s="9" t="s">
        <v>85</v>
      </c>
      <c r="G15" s="9" t="s">
        <v>85</v>
      </c>
      <c r="H15" s="30">
        <v>0.785714269</v>
      </c>
      <c r="I15" s="9" t="s">
        <v>85</v>
      </c>
      <c r="J15" s="9" t="s">
        <v>85</v>
      </c>
      <c r="K15" s="9" t="s">
        <v>85</v>
      </c>
      <c r="L15" s="9" t="s">
        <v>85</v>
      </c>
      <c r="M15" s="9" t="s">
        <v>85</v>
      </c>
      <c r="N15" s="9" t="s">
        <v>85</v>
      </c>
      <c r="O15" s="9" t="s">
        <v>85</v>
      </c>
      <c r="P15" s="9" t="s">
        <v>85</v>
      </c>
      <c r="Q15" s="9">
        <v>0.714286</v>
      </c>
      <c r="R15" s="9" t="s">
        <v>85</v>
      </c>
      <c r="S15" s="9" t="s">
        <v>85</v>
      </c>
      <c r="T15" s="9">
        <v>0.75</v>
      </c>
      <c r="U15" s="9" t="s">
        <v>85</v>
      </c>
      <c r="V15" s="9" t="s">
        <v>85</v>
      </c>
      <c r="W15" s="9" t="s">
        <v>85</v>
      </c>
      <c r="X15" s="9" t="s">
        <v>85</v>
      </c>
      <c r="Y15" s="9" t="s">
        <v>85</v>
      </c>
      <c r="Z15" s="9" t="s">
        <v>85</v>
      </c>
      <c r="AA15" s="9" t="s">
        <v>85</v>
      </c>
      <c r="AB15" s="9" t="s">
        <v>85</v>
      </c>
      <c r="AC15" s="30">
        <v>0.857143</v>
      </c>
      <c r="AD15" s="9" t="s">
        <v>85</v>
      </c>
      <c r="AE15" s="9" t="s">
        <v>85</v>
      </c>
      <c r="AF15" s="30">
        <v>0.892857</v>
      </c>
      <c r="AG15" s="9" t="s">
        <v>85</v>
      </c>
      <c r="AH15" s="9" t="s">
        <v>85</v>
      </c>
      <c r="AI15" s="9" t="s">
        <v>85</v>
      </c>
      <c r="AJ15" s="9" t="s">
        <v>85</v>
      </c>
      <c r="AK15" s="9" t="s">
        <v>85</v>
      </c>
      <c r="AL15" s="9" t="s">
        <v>85</v>
      </c>
      <c r="AM15" s="9" t="s">
        <v>85</v>
      </c>
      <c r="AN15" s="9" t="s">
        <v>85</v>
      </c>
      <c r="AO15" s="9">
        <v>0.892857</v>
      </c>
      <c r="AP15" s="9" t="s">
        <v>85</v>
      </c>
      <c r="AQ15" s="9" t="s">
        <v>85</v>
      </c>
      <c r="AR15" s="30">
        <v>0.928571</v>
      </c>
      <c r="AS15" s="9" t="s">
        <v>85</v>
      </c>
      <c r="AT15" s="9" t="s">
        <v>85</v>
      </c>
      <c r="AU15" s="9" t="s">
        <v>85</v>
      </c>
      <c r="AV15" s="9" t="s">
        <v>85</v>
      </c>
      <c r="AW15" s="9" t="s">
        <v>85</v>
      </c>
      <c r="AX15" s="9" t="s">
        <v>85</v>
      </c>
      <c r="AY15" s="9" t="s">
        <v>85</v>
      </c>
      <c r="AZ15" s="9" t="s">
        <v>85</v>
      </c>
      <c r="BA15" s="9" t="s">
        <v>85</v>
      </c>
      <c r="BB15" s="9" t="s">
        <v>85</v>
      </c>
      <c r="BC15" s="9" t="s">
        <v>85</v>
      </c>
      <c r="BD15" s="9" t="s">
        <v>85</v>
      </c>
      <c r="BE15" s="9" t="s">
        <v>85</v>
      </c>
      <c r="BF15" s="10" t="s">
        <v>85</v>
      </c>
      <c r="BG15" s="10" t="s">
        <v>85</v>
      </c>
      <c r="BH15" s="9" t="s">
        <v>85</v>
      </c>
      <c r="BI15" s="6"/>
      <c r="BJ15" s="6" t="str">
        <f t="shared" si="1"/>
        <v>12BoN_Fold_Median</v>
      </c>
      <c r="BK15" s="6" t="str">
        <f t="shared" si="2"/>
        <v>10BoN_Fold_Median</v>
      </c>
      <c r="BL15" s="6" t="str">
        <f t="shared" si="3"/>
        <v>10BoN_Fold_Median</v>
      </c>
      <c r="BM15" s="6"/>
      <c r="BN15" s="6">
        <f t="shared" si="4"/>
        <v>12</v>
      </c>
      <c r="BO15" s="6"/>
      <c r="BP15" s="6"/>
      <c r="BQ15" s="18" t="s">
        <v>290</v>
      </c>
      <c r="BR15" s="22">
        <v>1.0</v>
      </c>
      <c r="BS15" s="22"/>
      <c r="BT15" s="22"/>
      <c r="BU15" s="6"/>
      <c r="BV15" s="6"/>
      <c r="BW15" s="6"/>
      <c r="BX15" s="6"/>
    </row>
    <row r="16" ht="15.75" customHeight="1">
      <c r="A16" s="1" t="s">
        <v>110</v>
      </c>
      <c r="B16" s="17">
        <v>720.0</v>
      </c>
      <c r="C16" s="17">
        <v>2.0</v>
      </c>
      <c r="D16" s="9" t="s">
        <v>85</v>
      </c>
      <c r="E16" s="9">
        <v>0.812</v>
      </c>
      <c r="F16" s="9" t="s">
        <v>85</v>
      </c>
      <c r="G16" s="9" t="s">
        <v>85</v>
      </c>
      <c r="H16" s="30">
        <v>0.736000001</v>
      </c>
      <c r="I16" s="9" t="s">
        <v>85</v>
      </c>
      <c r="J16" s="9" t="s">
        <v>85</v>
      </c>
      <c r="K16" s="9" t="s">
        <v>85</v>
      </c>
      <c r="L16" s="9" t="s">
        <v>85</v>
      </c>
      <c r="M16" s="9" t="s">
        <v>85</v>
      </c>
      <c r="N16" s="9" t="s">
        <v>85</v>
      </c>
      <c r="O16" s="9" t="s">
        <v>85</v>
      </c>
      <c r="P16" s="9" t="s">
        <v>85</v>
      </c>
      <c r="Q16" s="9">
        <v>0.808</v>
      </c>
      <c r="R16" s="9" t="s">
        <v>85</v>
      </c>
      <c r="S16" s="9" t="s">
        <v>85</v>
      </c>
      <c r="T16" s="9">
        <v>0.816</v>
      </c>
      <c r="U16" s="9" t="s">
        <v>85</v>
      </c>
      <c r="V16" s="9" t="s">
        <v>85</v>
      </c>
      <c r="W16" s="9" t="s">
        <v>85</v>
      </c>
      <c r="X16" s="9" t="s">
        <v>85</v>
      </c>
      <c r="Y16" s="9" t="s">
        <v>85</v>
      </c>
      <c r="Z16" s="9" t="s">
        <v>85</v>
      </c>
      <c r="AA16" s="9" t="s">
        <v>85</v>
      </c>
      <c r="AB16" s="9" t="s">
        <v>85</v>
      </c>
      <c r="AC16" s="30">
        <v>0.832</v>
      </c>
      <c r="AD16" s="9" t="s">
        <v>85</v>
      </c>
      <c r="AE16" s="9" t="s">
        <v>85</v>
      </c>
      <c r="AF16" s="30">
        <v>0.824</v>
      </c>
      <c r="AG16" s="9" t="s">
        <v>85</v>
      </c>
      <c r="AH16" s="9" t="s">
        <v>85</v>
      </c>
      <c r="AI16" s="9" t="s">
        <v>85</v>
      </c>
      <c r="AJ16" s="9" t="s">
        <v>85</v>
      </c>
      <c r="AK16" s="9" t="s">
        <v>85</v>
      </c>
      <c r="AL16" s="9" t="s">
        <v>85</v>
      </c>
      <c r="AM16" s="9" t="s">
        <v>85</v>
      </c>
      <c r="AN16" s="9" t="s">
        <v>85</v>
      </c>
      <c r="AO16" s="9">
        <v>0.812</v>
      </c>
      <c r="AP16" s="9" t="s">
        <v>85</v>
      </c>
      <c r="AQ16" s="9" t="s">
        <v>85</v>
      </c>
      <c r="AR16" s="30">
        <v>0.808</v>
      </c>
      <c r="AS16" s="9" t="s">
        <v>85</v>
      </c>
      <c r="AT16" s="9" t="s">
        <v>85</v>
      </c>
      <c r="AU16" s="9" t="s">
        <v>85</v>
      </c>
      <c r="AV16" s="9" t="s">
        <v>85</v>
      </c>
      <c r="AW16" s="9" t="s">
        <v>85</v>
      </c>
      <c r="AX16" s="9" t="s">
        <v>85</v>
      </c>
      <c r="AY16" s="9" t="s">
        <v>85</v>
      </c>
      <c r="AZ16" s="9" t="s">
        <v>85</v>
      </c>
      <c r="BA16" s="9" t="s">
        <v>85</v>
      </c>
      <c r="BB16" s="9" t="s">
        <v>85</v>
      </c>
      <c r="BC16" s="9" t="s">
        <v>85</v>
      </c>
      <c r="BD16" s="9" t="s">
        <v>85</v>
      </c>
      <c r="BE16" s="9" t="s">
        <v>85</v>
      </c>
      <c r="BF16" s="10" t="s">
        <v>85</v>
      </c>
      <c r="BG16" s="10" t="s">
        <v>85</v>
      </c>
      <c r="BH16" s="9" t="s">
        <v>85</v>
      </c>
      <c r="BI16" s="6"/>
      <c r="BJ16" s="6" t="str">
        <f t="shared" si="1"/>
        <v>10Bo_Fold_Median</v>
      </c>
      <c r="BK16" s="6" t="str">
        <f t="shared" si="2"/>
        <v>10BoN_Fold_Median</v>
      </c>
      <c r="BL16" s="6" t="str">
        <f t="shared" si="3"/>
        <v>8BoN_Fold_Median</v>
      </c>
      <c r="BM16" s="6"/>
      <c r="BN16" s="6">
        <f t="shared" si="4"/>
        <v>10</v>
      </c>
      <c r="BO16" s="6"/>
      <c r="BP16" s="6"/>
      <c r="BQ16" s="18" t="s">
        <v>291</v>
      </c>
      <c r="BR16" s="23">
        <f>CORREL($BN$3:$BN$100,$B$3:$B$100)</f>
        <v>0.1214973585</v>
      </c>
      <c r="BS16" s="22">
        <v>1.0</v>
      </c>
      <c r="BT16" s="22"/>
      <c r="BU16" s="6"/>
      <c r="BV16" s="6"/>
      <c r="BW16" s="6"/>
      <c r="BX16" s="6"/>
    </row>
    <row r="17" ht="15.75" customHeight="1">
      <c r="A17" s="1" t="s">
        <v>111</v>
      </c>
      <c r="B17" s="17">
        <v>46.0</v>
      </c>
      <c r="C17" s="17">
        <v>24.0</v>
      </c>
      <c r="D17" s="9" t="s">
        <v>85</v>
      </c>
      <c r="E17" s="9">
        <v>0.406548</v>
      </c>
      <c r="F17" s="9" t="s">
        <v>85</v>
      </c>
      <c r="G17" s="9" t="s">
        <v>85</v>
      </c>
      <c r="H17" s="30">
        <v>0.441726178</v>
      </c>
      <c r="I17" s="9" t="s">
        <v>85</v>
      </c>
      <c r="J17" s="9" t="s">
        <v>85</v>
      </c>
      <c r="K17" s="9" t="s">
        <v>85</v>
      </c>
      <c r="L17" s="9" t="s">
        <v>85</v>
      </c>
      <c r="M17" s="9" t="s">
        <v>85</v>
      </c>
      <c r="N17" s="9" t="s">
        <v>85</v>
      </c>
      <c r="O17" s="9" t="s">
        <v>85</v>
      </c>
      <c r="P17" s="9" t="s">
        <v>85</v>
      </c>
      <c r="Q17" s="9">
        <v>0.43619</v>
      </c>
      <c r="R17" s="9" t="s">
        <v>85</v>
      </c>
      <c r="S17" s="9" t="s">
        <v>85</v>
      </c>
      <c r="T17" s="9">
        <v>0.501071</v>
      </c>
      <c r="U17" s="9" t="s">
        <v>85</v>
      </c>
      <c r="V17" s="9" t="s">
        <v>85</v>
      </c>
      <c r="W17" s="9" t="s">
        <v>85</v>
      </c>
      <c r="X17" s="9" t="s">
        <v>85</v>
      </c>
      <c r="Y17" s="9" t="s">
        <v>85</v>
      </c>
      <c r="Z17" s="9" t="s">
        <v>85</v>
      </c>
      <c r="AA17" s="9" t="s">
        <v>85</v>
      </c>
      <c r="AB17" s="9" t="s">
        <v>85</v>
      </c>
      <c r="AC17" s="30">
        <v>0.458274</v>
      </c>
      <c r="AD17" s="9" t="s">
        <v>85</v>
      </c>
      <c r="AE17" s="9" t="s">
        <v>85</v>
      </c>
      <c r="AF17" s="30">
        <v>0.431786</v>
      </c>
      <c r="AG17" s="9" t="s">
        <v>85</v>
      </c>
      <c r="AH17" s="9" t="s">
        <v>85</v>
      </c>
      <c r="AI17" s="9" t="s">
        <v>85</v>
      </c>
      <c r="AJ17" s="9" t="s">
        <v>85</v>
      </c>
      <c r="AK17" s="9" t="s">
        <v>85</v>
      </c>
      <c r="AL17" s="9" t="s">
        <v>85</v>
      </c>
      <c r="AM17" s="9" t="s">
        <v>85</v>
      </c>
      <c r="AN17" s="9" t="s">
        <v>85</v>
      </c>
      <c r="AO17" s="9">
        <v>0.496012</v>
      </c>
      <c r="AP17" s="9" t="s">
        <v>85</v>
      </c>
      <c r="AQ17" s="9" t="s">
        <v>85</v>
      </c>
      <c r="AR17" s="30">
        <v>0.504881</v>
      </c>
      <c r="AS17" s="9" t="s">
        <v>85</v>
      </c>
      <c r="AT17" s="9" t="s">
        <v>85</v>
      </c>
      <c r="AU17" s="9" t="s">
        <v>85</v>
      </c>
      <c r="AV17" s="9" t="s">
        <v>85</v>
      </c>
      <c r="AW17" s="9" t="s">
        <v>85</v>
      </c>
      <c r="AX17" s="9" t="s">
        <v>85</v>
      </c>
      <c r="AY17" s="9" t="s">
        <v>85</v>
      </c>
      <c r="AZ17" s="9" t="s">
        <v>85</v>
      </c>
      <c r="BA17" s="9" t="s">
        <v>85</v>
      </c>
      <c r="BB17" s="9" t="s">
        <v>85</v>
      </c>
      <c r="BC17" s="9" t="s">
        <v>85</v>
      </c>
      <c r="BD17" s="9" t="s">
        <v>85</v>
      </c>
      <c r="BE17" s="9" t="s">
        <v>85</v>
      </c>
      <c r="BF17" s="10" t="s">
        <v>85</v>
      </c>
      <c r="BG17" s="10" t="s">
        <v>85</v>
      </c>
      <c r="BH17" s="9" t="s">
        <v>85</v>
      </c>
      <c r="BI17" s="6"/>
      <c r="BJ17" s="6" t="str">
        <f t="shared" si="1"/>
        <v>12BoN_Fold_Median</v>
      </c>
      <c r="BK17" s="6" t="str">
        <f t="shared" si="2"/>
        <v>8BoN_Fold_Median</v>
      </c>
      <c r="BL17" s="6" t="str">
        <f t="shared" si="3"/>
        <v>12Bo_Fold_Median</v>
      </c>
      <c r="BM17" s="6"/>
      <c r="BN17" s="6">
        <f t="shared" si="4"/>
        <v>12</v>
      </c>
      <c r="BO17" s="6"/>
      <c r="BP17" s="6"/>
      <c r="BQ17" s="18" t="s">
        <v>292</v>
      </c>
      <c r="BR17" s="23">
        <f>CORREL($BN$3:$BN$100,$C$3:$C$100)</f>
        <v>0.1757371402</v>
      </c>
      <c r="BS17" s="22"/>
      <c r="BT17" s="22">
        <v>1.0</v>
      </c>
      <c r="BU17" s="6"/>
      <c r="BV17" s="6"/>
      <c r="BW17" s="6"/>
      <c r="BX17" s="6"/>
    </row>
    <row r="18" ht="15.75" customHeight="1">
      <c r="A18" s="1" t="s">
        <v>112</v>
      </c>
      <c r="B18" s="17">
        <v>345.0</v>
      </c>
      <c r="C18" s="17">
        <v>4.0</v>
      </c>
      <c r="D18" s="9" t="s">
        <v>85</v>
      </c>
      <c r="E18" s="9">
        <v>0.882353</v>
      </c>
      <c r="F18" s="9" t="s">
        <v>85</v>
      </c>
      <c r="G18" s="9" t="s">
        <v>85</v>
      </c>
      <c r="H18" s="30">
        <v>0.879084945</v>
      </c>
      <c r="I18" s="9" t="s">
        <v>85</v>
      </c>
      <c r="J18" s="9" t="s">
        <v>85</v>
      </c>
      <c r="K18" s="9" t="s">
        <v>85</v>
      </c>
      <c r="L18" s="9" t="s">
        <v>85</v>
      </c>
      <c r="M18" s="9" t="s">
        <v>85</v>
      </c>
      <c r="N18" s="9" t="s">
        <v>85</v>
      </c>
      <c r="O18" s="9" t="s">
        <v>85</v>
      </c>
      <c r="P18" s="9" t="s">
        <v>85</v>
      </c>
      <c r="Q18" s="9">
        <v>0.879085</v>
      </c>
      <c r="R18" s="9" t="s">
        <v>85</v>
      </c>
      <c r="S18" s="9" t="s">
        <v>85</v>
      </c>
      <c r="T18" s="9">
        <v>0.892157</v>
      </c>
      <c r="U18" s="9" t="s">
        <v>85</v>
      </c>
      <c r="V18" s="9" t="s">
        <v>85</v>
      </c>
      <c r="W18" s="9" t="s">
        <v>85</v>
      </c>
      <c r="X18" s="9" t="s">
        <v>85</v>
      </c>
      <c r="Y18" s="9" t="s">
        <v>85</v>
      </c>
      <c r="Z18" s="9" t="s">
        <v>85</v>
      </c>
      <c r="AA18" s="9" t="s">
        <v>85</v>
      </c>
      <c r="AB18" s="9" t="s">
        <v>85</v>
      </c>
      <c r="AC18" s="30">
        <v>0.888889</v>
      </c>
      <c r="AD18" s="9" t="s">
        <v>85</v>
      </c>
      <c r="AE18" s="9" t="s">
        <v>85</v>
      </c>
      <c r="AF18" s="30">
        <v>0.882353</v>
      </c>
      <c r="AG18" s="9" t="s">
        <v>85</v>
      </c>
      <c r="AH18" s="9" t="s">
        <v>85</v>
      </c>
      <c r="AI18" s="9" t="s">
        <v>85</v>
      </c>
      <c r="AJ18" s="9" t="s">
        <v>85</v>
      </c>
      <c r="AK18" s="9" t="s">
        <v>85</v>
      </c>
      <c r="AL18" s="9" t="s">
        <v>85</v>
      </c>
      <c r="AM18" s="9" t="s">
        <v>85</v>
      </c>
      <c r="AN18" s="9" t="s">
        <v>85</v>
      </c>
      <c r="AO18" s="9">
        <v>0.888889</v>
      </c>
      <c r="AP18" s="9" t="s">
        <v>85</v>
      </c>
      <c r="AQ18" s="9" t="s">
        <v>85</v>
      </c>
      <c r="AR18" s="30">
        <v>0.892157</v>
      </c>
      <c r="AS18" s="9" t="s">
        <v>85</v>
      </c>
      <c r="AT18" s="9" t="s">
        <v>85</v>
      </c>
      <c r="AU18" s="9" t="s">
        <v>85</v>
      </c>
      <c r="AV18" s="9" t="s">
        <v>85</v>
      </c>
      <c r="AW18" s="9" t="s">
        <v>85</v>
      </c>
      <c r="AX18" s="9" t="s">
        <v>85</v>
      </c>
      <c r="AY18" s="9" t="s">
        <v>85</v>
      </c>
      <c r="AZ18" s="9" t="s">
        <v>85</v>
      </c>
      <c r="BA18" s="9" t="s">
        <v>85</v>
      </c>
      <c r="BB18" s="9" t="s">
        <v>85</v>
      </c>
      <c r="BC18" s="9" t="s">
        <v>85</v>
      </c>
      <c r="BD18" s="9" t="s">
        <v>85</v>
      </c>
      <c r="BE18" s="9" t="s">
        <v>85</v>
      </c>
      <c r="BF18" s="10" t="s">
        <v>85</v>
      </c>
      <c r="BG18" s="10" t="s">
        <v>85</v>
      </c>
      <c r="BH18" s="9" t="s">
        <v>85</v>
      </c>
      <c r="BI18" s="6"/>
      <c r="BJ18" s="6" t="str">
        <f t="shared" si="1"/>
        <v>8BoN_Fold_Median</v>
      </c>
      <c r="BK18" s="6" t="str">
        <f t="shared" si="2"/>
        <v>8BoN_Fold_Median</v>
      </c>
      <c r="BL18" s="6" t="str">
        <f t="shared" si="3"/>
        <v>10Bo_Fold_Median</v>
      </c>
      <c r="BM18" s="6"/>
      <c r="BN18" s="6">
        <f t="shared" si="4"/>
        <v>8</v>
      </c>
      <c r="BO18" s="6"/>
      <c r="BP18" s="6"/>
      <c r="BQ18" s="6"/>
      <c r="BR18" s="6"/>
      <c r="BS18" s="6"/>
      <c r="BT18" s="6"/>
      <c r="BU18" s="6"/>
      <c r="BV18" s="6"/>
      <c r="BW18" s="6"/>
      <c r="BX18" s="6"/>
    </row>
    <row r="19" ht="15.75" customHeight="1">
      <c r="A19" s="1" t="s">
        <v>113</v>
      </c>
      <c r="B19" s="17">
        <v>80.0</v>
      </c>
      <c r="C19" s="17">
        <v>3.0</v>
      </c>
      <c r="D19" s="9" t="s">
        <v>85</v>
      </c>
      <c r="E19" s="9">
        <v>0.669065</v>
      </c>
      <c r="F19" s="9" t="s">
        <v>85</v>
      </c>
      <c r="G19" s="9" t="s">
        <v>85</v>
      </c>
      <c r="H19" s="30">
        <v>0.676258981</v>
      </c>
      <c r="I19" s="9" t="s">
        <v>85</v>
      </c>
      <c r="J19" s="9" t="s">
        <v>85</v>
      </c>
      <c r="K19" s="9" t="s">
        <v>85</v>
      </c>
      <c r="L19" s="9" t="s">
        <v>85</v>
      </c>
      <c r="M19" s="9" t="s">
        <v>85</v>
      </c>
      <c r="N19" s="9" t="s">
        <v>85</v>
      </c>
      <c r="O19" s="9" t="s">
        <v>85</v>
      </c>
      <c r="P19" s="9" t="s">
        <v>85</v>
      </c>
      <c r="Q19" s="9">
        <v>0.683453</v>
      </c>
      <c r="R19" s="9" t="s">
        <v>85</v>
      </c>
      <c r="S19" s="9" t="s">
        <v>85</v>
      </c>
      <c r="T19" s="9">
        <v>0.683453</v>
      </c>
      <c r="U19" s="9" t="s">
        <v>85</v>
      </c>
      <c r="V19" s="9" t="s">
        <v>85</v>
      </c>
      <c r="W19" s="9" t="s">
        <v>85</v>
      </c>
      <c r="X19" s="9" t="s">
        <v>85</v>
      </c>
      <c r="Y19" s="9" t="s">
        <v>85</v>
      </c>
      <c r="Z19" s="9" t="s">
        <v>85</v>
      </c>
      <c r="AA19" s="9" t="s">
        <v>85</v>
      </c>
      <c r="AB19" s="9" t="s">
        <v>85</v>
      </c>
      <c r="AC19" s="30">
        <v>0.683453</v>
      </c>
      <c r="AD19" s="9" t="s">
        <v>85</v>
      </c>
      <c r="AE19" s="9" t="s">
        <v>85</v>
      </c>
      <c r="AF19" s="30">
        <v>0.71223</v>
      </c>
      <c r="AG19" s="9" t="s">
        <v>85</v>
      </c>
      <c r="AH19" s="9" t="s">
        <v>85</v>
      </c>
      <c r="AI19" s="9" t="s">
        <v>85</v>
      </c>
      <c r="AJ19" s="9" t="s">
        <v>85</v>
      </c>
      <c r="AK19" s="9" t="s">
        <v>85</v>
      </c>
      <c r="AL19" s="9" t="s">
        <v>85</v>
      </c>
      <c r="AM19" s="9" t="s">
        <v>85</v>
      </c>
      <c r="AN19" s="9" t="s">
        <v>85</v>
      </c>
      <c r="AO19" s="9">
        <v>0.683453</v>
      </c>
      <c r="AP19" s="9" t="s">
        <v>85</v>
      </c>
      <c r="AQ19" s="9" t="s">
        <v>85</v>
      </c>
      <c r="AR19" s="30">
        <v>0.697842</v>
      </c>
      <c r="AS19" s="9" t="s">
        <v>85</v>
      </c>
      <c r="AT19" s="9" t="s">
        <v>85</v>
      </c>
      <c r="AU19" s="9" t="s">
        <v>85</v>
      </c>
      <c r="AV19" s="9" t="s">
        <v>85</v>
      </c>
      <c r="AW19" s="9" t="s">
        <v>85</v>
      </c>
      <c r="AX19" s="9" t="s">
        <v>85</v>
      </c>
      <c r="AY19" s="9" t="s">
        <v>85</v>
      </c>
      <c r="AZ19" s="9" t="s">
        <v>85</v>
      </c>
      <c r="BA19" s="9" t="s">
        <v>85</v>
      </c>
      <c r="BB19" s="9" t="s">
        <v>85</v>
      </c>
      <c r="BC19" s="9" t="s">
        <v>85</v>
      </c>
      <c r="BD19" s="9" t="s">
        <v>85</v>
      </c>
      <c r="BE19" s="9" t="s">
        <v>85</v>
      </c>
      <c r="BF19" s="10" t="s">
        <v>85</v>
      </c>
      <c r="BG19" s="10" t="s">
        <v>85</v>
      </c>
      <c r="BH19" s="9" t="s">
        <v>85</v>
      </c>
      <c r="BI19" s="6"/>
      <c r="BJ19" s="6" t="str">
        <f t="shared" si="1"/>
        <v>10BoN_Fold_Median</v>
      </c>
      <c r="BK19" s="6" t="str">
        <f t="shared" si="2"/>
        <v>12BoN_Fold_Median</v>
      </c>
      <c r="BL19" s="6" t="str">
        <f t="shared" si="3"/>
        <v>8Bo_Fold_Median</v>
      </c>
      <c r="BM19" s="6"/>
      <c r="BN19" s="6">
        <f t="shared" si="4"/>
        <v>10</v>
      </c>
      <c r="BO19" s="6"/>
      <c r="BP19" s="6"/>
      <c r="BQ19" s="6"/>
      <c r="BR19" s="6"/>
      <c r="BT19" s="6"/>
      <c r="BU19" s="6"/>
      <c r="BV19" s="6"/>
      <c r="BW19" s="6"/>
      <c r="BX19" s="6"/>
    </row>
    <row r="20" ht="15.75" customHeight="1">
      <c r="A20" s="1" t="s">
        <v>114</v>
      </c>
      <c r="B20" s="17">
        <v>80.0</v>
      </c>
      <c r="C20" s="17">
        <v>2.0</v>
      </c>
      <c r="D20" s="9" t="s">
        <v>85</v>
      </c>
      <c r="E20" s="9">
        <v>0.728261</v>
      </c>
      <c r="F20" s="9" t="s">
        <v>85</v>
      </c>
      <c r="G20" s="9" t="s">
        <v>85</v>
      </c>
      <c r="H20" s="30">
        <v>0.728260875</v>
      </c>
      <c r="I20" s="9" t="s">
        <v>85</v>
      </c>
      <c r="J20" s="9" t="s">
        <v>85</v>
      </c>
      <c r="K20" s="9" t="s">
        <v>85</v>
      </c>
      <c r="L20" s="9" t="s">
        <v>85</v>
      </c>
      <c r="M20" s="9" t="s">
        <v>85</v>
      </c>
      <c r="N20" s="9" t="s">
        <v>85</v>
      </c>
      <c r="O20" s="9" t="s">
        <v>85</v>
      </c>
      <c r="P20" s="9" t="s">
        <v>85</v>
      </c>
      <c r="Q20" s="9">
        <v>0.735507</v>
      </c>
      <c r="R20" s="9" t="s">
        <v>85</v>
      </c>
      <c r="S20" s="9" t="s">
        <v>85</v>
      </c>
      <c r="T20" s="9">
        <v>0.728261</v>
      </c>
      <c r="U20" s="9" t="s">
        <v>85</v>
      </c>
      <c r="V20" s="9" t="s">
        <v>85</v>
      </c>
      <c r="W20" s="9" t="s">
        <v>85</v>
      </c>
      <c r="X20" s="9" t="s">
        <v>85</v>
      </c>
      <c r="Y20" s="9" t="s">
        <v>85</v>
      </c>
      <c r="Z20" s="9" t="s">
        <v>85</v>
      </c>
      <c r="AA20" s="9" t="s">
        <v>85</v>
      </c>
      <c r="AB20" s="9" t="s">
        <v>85</v>
      </c>
      <c r="AC20" s="30">
        <v>0.742754</v>
      </c>
      <c r="AD20" s="9" t="s">
        <v>85</v>
      </c>
      <c r="AE20" s="9" t="s">
        <v>85</v>
      </c>
      <c r="AF20" s="30">
        <v>0.75</v>
      </c>
      <c r="AG20" s="9" t="s">
        <v>85</v>
      </c>
      <c r="AH20" s="9" t="s">
        <v>85</v>
      </c>
      <c r="AI20" s="9" t="s">
        <v>85</v>
      </c>
      <c r="AJ20" s="9" t="s">
        <v>85</v>
      </c>
      <c r="AK20" s="9" t="s">
        <v>85</v>
      </c>
      <c r="AL20" s="9" t="s">
        <v>85</v>
      </c>
      <c r="AM20" s="9" t="s">
        <v>85</v>
      </c>
      <c r="AN20" s="9" t="s">
        <v>85</v>
      </c>
      <c r="AO20" s="9">
        <v>0.764493</v>
      </c>
      <c r="AP20" s="9" t="s">
        <v>85</v>
      </c>
      <c r="AQ20" s="9" t="s">
        <v>85</v>
      </c>
      <c r="AR20" s="30">
        <v>0.757246</v>
      </c>
      <c r="AS20" s="9" t="s">
        <v>85</v>
      </c>
      <c r="AT20" s="9" t="s">
        <v>85</v>
      </c>
      <c r="AU20" s="9" t="s">
        <v>85</v>
      </c>
      <c r="AV20" s="9" t="s">
        <v>85</v>
      </c>
      <c r="AW20" s="9" t="s">
        <v>85</v>
      </c>
      <c r="AX20" s="9" t="s">
        <v>85</v>
      </c>
      <c r="AY20" s="9" t="s">
        <v>85</v>
      </c>
      <c r="AZ20" s="9" t="s">
        <v>85</v>
      </c>
      <c r="BA20" s="9" t="s">
        <v>85</v>
      </c>
      <c r="BB20" s="9" t="s">
        <v>85</v>
      </c>
      <c r="BC20" s="9" t="s">
        <v>85</v>
      </c>
      <c r="BD20" s="9" t="s">
        <v>85</v>
      </c>
      <c r="BE20" s="9" t="s">
        <v>85</v>
      </c>
      <c r="BF20" s="10" t="s">
        <v>85</v>
      </c>
      <c r="BG20" s="10" t="s">
        <v>85</v>
      </c>
      <c r="BH20" s="9" t="s">
        <v>85</v>
      </c>
      <c r="BI20" s="6"/>
      <c r="BJ20" s="6" t="str">
        <f t="shared" si="1"/>
        <v>12Bo_Fold_Median</v>
      </c>
      <c r="BK20" s="6" t="str">
        <f t="shared" si="2"/>
        <v>12BoN_Fold_Median</v>
      </c>
      <c r="BL20" s="6" t="str">
        <f t="shared" si="3"/>
        <v>10BoN_Fold_Median</v>
      </c>
      <c r="BM20" s="6"/>
      <c r="BN20" s="6">
        <f t="shared" si="4"/>
        <v>12</v>
      </c>
      <c r="BO20" s="6"/>
      <c r="BP20" s="6"/>
      <c r="BQ20" s="6"/>
      <c r="BR20" s="6"/>
      <c r="BT20" s="6"/>
      <c r="BU20" s="6"/>
      <c r="BV20" s="6"/>
      <c r="BW20" s="6"/>
      <c r="BX20" s="6"/>
    </row>
    <row r="21" ht="15.75" customHeight="1">
      <c r="A21" s="1" t="s">
        <v>115</v>
      </c>
      <c r="B21" s="17">
        <v>80.0</v>
      </c>
      <c r="C21" s="17">
        <v>6.0</v>
      </c>
      <c r="D21" s="9" t="s">
        <v>85</v>
      </c>
      <c r="E21" s="9">
        <v>0.597122</v>
      </c>
      <c r="F21" s="9" t="s">
        <v>85</v>
      </c>
      <c r="G21" s="9" t="s">
        <v>85</v>
      </c>
      <c r="H21" s="30">
        <v>0.597122312</v>
      </c>
      <c r="I21" s="9" t="s">
        <v>85</v>
      </c>
      <c r="J21" s="9" t="s">
        <v>85</v>
      </c>
      <c r="K21" s="9" t="s">
        <v>85</v>
      </c>
      <c r="L21" s="9" t="s">
        <v>85</v>
      </c>
      <c r="M21" s="9" t="s">
        <v>85</v>
      </c>
      <c r="N21" s="9" t="s">
        <v>85</v>
      </c>
      <c r="O21" s="9" t="s">
        <v>85</v>
      </c>
      <c r="P21" s="9" t="s">
        <v>85</v>
      </c>
      <c r="Q21" s="9">
        <v>0.589928</v>
      </c>
      <c r="R21" s="9" t="s">
        <v>85</v>
      </c>
      <c r="S21" s="9" t="s">
        <v>85</v>
      </c>
      <c r="T21" s="9">
        <v>0.611511</v>
      </c>
      <c r="U21" s="9" t="s">
        <v>85</v>
      </c>
      <c r="V21" s="9" t="s">
        <v>85</v>
      </c>
      <c r="W21" s="9" t="s">
        <v>85</v>
      </c>
      <c r="X21" s="9" t="s">
        <v>85</v>
      </c>
      <c r="Y21" s="9" t="s">
        <v>85</v>
      </c>
      <c r="Z21" s="9" t="s">
        <v>85</v>
      </c>
      <c r="AA21" s="9" t="s">
        <v>85</v>
      </c>
      <c r="AB21" s="9" t="s">
        <v>85</v>
      </c>
      <c r="AC21" s="30">
        <v>0.582734</v>
      </c>
      <c r="AD21" s="9" t="s">
        <v>85</v>
      </c>
      <c r="AE21" s="9" t="s">
        <v>85</v>
      </c>
      <c r="AF21" s="30">
        <v>0.604317</v>
      </c>
      <c r="AG21" s="9" t="s">
        <v>85</v>
      </c>
      <c r="AH21" s="9" t="s">
        <v>85</v>
      </c>
      <c r="AI21" s="9" t="s">
        <v>85</v>
      </c>
      <c r="AJ21" s="9" t="s">
        <v>85</v>
      </c>
      <c r="AK21" s="9" t="s">
        <v>85</v>
      </c>
      <c r="AL21" s="9" t="s">
        <v>85</v>
      </c>
      <c r="AM21" s="9" t="s">
        <v>85</v>
      </c>
      <c r="AN21" s="9" t="s">
        <v>85</v>
      </c>
      <c r="AO21" s="9">
        <v>0.625899</v>
      </c>
      <c r="AP21" s="9" t="s">
        <v>85</v>
      </c>
      <c r="AQ21" s="9" t="s">
        <v>85</v>
      </c>
      <c r="AR21" s="30">
        <v>0.582734</v>
      </c>
      <c r="AS21" s="9" t="s">
        <v>85</v>
      </c>
      <c r="AT21" s="9" t="s">
        <v>85</v>
      </c>
      <c r="AU21" s="9" t="s">
        <v>85</v>
      </c>
      <c r="AV21" s="9" t="s">
        <v>85</v>
      </c>
      <c r="AW21" s="9" t="s">
        <v>85</v>
      </c>
      <c r="AX21" s="9" t="s">
        <v>85</v>
      </c>
      <c r="AY21" s="9" t="s">
        <v>85</v>
      </c>
      <c r="AZ21" s="9" t="s">
        <v>85</v>
      </c>
      <c r="BA21" s="9" t="s">
        <v>85</v>
      </c>
      <c r="BB21" s="9" t="s">
        <v>85</v>
      </c>
      <c r="BC21" s="9" t="s">
        <v>85</v>
      </c>
      <c r="BD21" s="9" t="s">
        <v>85</v>
      </c>
      <c r="BE21" s="9" t="s">
        <v>85</v>
      </c>
      <c r="BF21" s="10" t="s">
        <v>85</v>
      </c>
      <c r="BG21" s="10" t="s">
        <v>85</v>
      </c>
      <c r="BH21" s="9" t="s">
        <v>85</v>
      </c>
      <c r="BI21" s="6"/>
      <c r="BJ21" s="6" t="str">
        <f t="shared" si="1"/>
        <v>12Bo_Fold_Median</v>
      </c>
      <c r="BK21" s="6" t="str">
        <f t="shared" si="2"/>
        <v>8BoN_Fold_Median</v>
      </c>
      <c r="BL21" s="6" t="str">
        <f t="shared" si="3"/>
        <v>10BoN_Fold_Median</v>
      </c>
      <c r="BM21" s="6"/>
      <c r="BN21" s="6">
        <f t="shared" si="4"/>
        <v>12</v>
      </c>
      <c r="BO21" s="6"/>
      <c r="BP21" s="6"/>
      <c r="BQ21" s="6"/>
      <c r="BR21" s="6"/>
      <c r="BS21" s="6"/>
      <c r="BT21" s="6"/>
      <c r="BU21" s="6"/>
      <c r="BV21" s="6"/>
      <c r="BW21" s="6"/>
      <c r="BX21" s="6"/>
    </row>
    <row r="22" ht="15.75" customHeight="1">
      <c r="A22" s="1" t="s">
        <v>116</v>
      </c>
      <c r="B22" s="17">
        <v>512.0</v>
      </c>
      <c r="C22" s="17">
        <v>2.0</v>
      </c>
      <c r="D22" s="9" t="s">
        <v>85</v>
      </c>
      <c r="E22" s="9">
        <v>0.748201</v>
      </c>
      <c r="F22" s="9" t="s">
        <v>85</v>
      </c>
      <c r="G22" s="9" t="s">
        <v>85</v>
      </c>
      <c r="H22" s="30">
        <v>0.74820143</v>
      </c>
      <c r="I22" s="9" t="s">
        <v>85</v>
      </c>
      <c r="J22" s="9" t="s">
        <v>85</v>
      </c>
      <c r="K22" s="9" t="s">
        <v>85</v>
      </c>
      <c r="L22" s="9" t="s">
        <v>85</v>
      </c>
      <c r="M22" s="9" t="s">
        <v>85</v>
      </c>
      <c r="N22" s="9" t="s">
        <v>85</v>
      </c>
      <c r="O22" s="9" t="s">
        <v>85</v>
      </c>
      <c r="P22" s="9" t="s">
        <v>85</v>
      </c>
      <c r="Q22" s="9">
        <v>0.748201</v>
      </c>
      <c r="R22" s="9" t="s">
        <v>85</v>
      </c>
      <c r="S22" s="9" t="s">
        <v>85</v>
      </c>
      <c r="T22" s="9">
        <v>0.748201</v>
      </c>
      <c r="U22" s="9" t="s">
        <v>85</v>
      </c>
      <c r="V22" s="9" t="s">
        <v>85</v>
      </c>
      <c r="W22" s="9" t="s">
        <v>85</v>
      </c>
      <c r="X22" s="9" t="s">
        <v>85</v>
      </c>
      <c r="Y22" s="9" t="s">
        <v>85</v>
      </c>
      <c r="Z22" s="9" t="s">
        <v>85</v>
      </c>
      <c r="AA22" s="9" t="s">
        <v>85</v>
      </c>
      <c r="AB22" s="9" t="s">
        <v>85</v>
      </c>
      <c r="AC22" s="30">
        <v>0.748201</v>
      </c>
      <c r="AD22" s="9" t="s">
        <v>85</v>
      </c>
      <c r="AE22" s="9" t="s">
        <v>85</v>
      </c>
      <c r="AF22" s="30">
        <v>0.748201</v>
      </c>
      <c r="AG22" s="9" t="s">
        <v>85</v>
      </c>
      <c r="AH22" s="9" t="s">
        <v>85</v>
      </c>
      <c r="AI22" s="9" t="s">
        <v>85</v>
      </c>
      <c r="AJ22" s="9" t="s">
        <v>85</v>
      </c>
      <c r="AK22" s="9" t="s">
        <v>85</v>
      </c>
      <c r="AL22" s="9" t="s">
        <v>85</v>
      </c>
      <c r="AM22" s="9" t="s">
        <v>85</v>
      </c>
      <c r="AN22" s="9" t="s">
        <v>85</v>
      </c>
      <c r="AO22" s="9">
        <v>0.748201</v>
      </c>
      <c r="AP22" s="9" t="s">
        <v>85</v>
      </c>
      <c r="AQ22" s="9" t="s">
        <v>85</v>
      </c>
      <c r="AR22" s="30">
        <v>0.748201</v>
      </c>
      <c r="AS22" s="9" t="s">
        <v>85</v>
      </c>
      <c r="AT22" s="9" t="s">
        <v>85</v>
      </c>
      <c r="AU22" s="9" t="s">
        <v>85</v>
      </c>
      <c r="AV22" s="9" t="s">
        <v>85</v>
      </c>
      <c r="AW22" s="9" t="s">
        <v>85</v>
      </c>
      <c r="AX22" s="9" t="s">
        <v>85</v>
      </c>
      <c r="AY22" s="9" t="s">
        <v>85</v>
      </c>
      <c r="AZ22" s="9" t="s">
        <v>85</v>
      </c>
      <c r="BA22" s="9" t="s">
        <v>85</v>
      </c>
      <c r="BB22" s="9" t="s">
        <v>85</v>
      </c>
      <c r="BC22" s="9" t="s">
        <v>85</v>
      </c>
      <c r="BD22" s="9" t="s">
        <v>85</v>
      </c>
      <c r="BE22" s="9" t="s">
        <v>85</v>
      </c>
      <c r="BF22" s="10" t="s">
        <v>85</v>
      </c>
      <c r="BG22" s="10" t="s">
        <v>85</v>
      </c>
      <c r="BH22" s="9" t="s">
        <v>85</v>
      </c>
      <c r="BI22" s="6"/>
      <c r="BJ22" s="6" t="str">
        <f t="shared" si="1"/>
        <v>5BoN_Fold_Median</v>
      </c>
      <c r="BK22" s="6" t="str">
        <f t="shared" si="2"/>
        <v>5Bo_Fold_Median</v>
      </c>
      <c r="BL22" s="6" t="str">
        <f t="shared" si="3"/>
        <v>5Bo_Fold_Median</v>
      </c>
      <c r="BM22" s="6"/>
      <c r="BN22" s="6">
        <f t="shared" si="4"/>
        <v>5</v>
      </c>
      <c r="BO22" s="6"/>
      <c r="BP22" s="6"/>
      <c r="BQ22" s="6"/>
      <c r="BR22" s="6"/>
      <c r="BS22" s="6"/>
      <c r="BT22" s="6"/>
      <c r="BU22" s="6"/>
      <c r="BV22" s="6"/>
      <c r="BW22" s="6"/>
      <c r="BX22" s="6"/>
    </row>
    <row r="23" ht="15.75" customHeight="1">
      <c r="A23" s="1" t="s">
        <v>117</v>
      </c>
      <c r="B23" s="17">
        <v>96.0</v>
      </c>
      <c r="C23" s="17">
        <v>2.0</v>
      </c>
      <c r="D23" s="9" t="s">
        <v>85</v>
      </c>
      <c r="E23" s="9">
        <v>0.64</v>
      </c>
      <c r="F23" s="9" t="s">
        <v>85</v>
      </c>
      <c r="G23" s="9" t="s">
        <v>85</v>
      </c>
      <c r="H23" s="30">
        <v>0.639999986</v>
      </c>
      <c r="I23" s="9" t="s">
        <v>85</v>
      </c>
      <c r="J23" s="9" t="s">
        <v>85</v>
      </c>
      <c r="K23" s="9" t="s">
        <v>85</v>
      </c>
      <c r="L23" s="9" t="s">
        <v>85</v>
      </c>
      <c r="M23" s="9" t="s">
        <v>85</v>
      </c>
      <c r="N23" s="9" t="s">
        <v>85</v>
      </c>
      <c r="O23" s="9" t="s">
        <v>85</v>
      </c>
      <c r="P23" s="9" t="s">
        <v>85</v>
      </c>
      <c r="Q23" s="9">
        <v>0.64</v>
      </c>
      <c r="R23" s="9" t="s">
        <v>85</v>
      </c>
      <c r="S23" s="9" t="s">
        <v>85</v>
      </c>
      <c r="T23" s="9">
        <v>0.64</v>
      </c>
      <c r="U23" s="9" t="s">
        <v>85</v>
      </c>
      <c r="V23" s="9" t="s">
        <v>85</v>
      </c>
      <c r="W23" s="9" t="s">
        <v>85</v>
      </c>
      <c r="X23" s="9" t="s">
        <v>85</v>
      </c>
      <c r="Y23" s="9" t="s">
        <v>85</v>
      </c>
      <c r="Z23" s="9" t="s">
        <v>85</v>
      </c>
      <c r="AA23" s="9" t="s">
        <v>85</v>
      </c>
      <c r="AB23" s="9" t="s">
        <v>85</v>
      </c>
      <c r="AC23" s="30">
        <v>0.64</v>
      </c>
      <c r="AD23" s="9" t="s">
        <v>85</v>
      </c>
      <c r="AE23" s="9" t="s">
        <v>85</v>
      </c>
      <c r="AF23" s="30">
        <v>0.64</v>
      </c>
      <c r="AG23" s="9" t="s">
        <v>85</v>
      </c>
      <c r="AH23" s="9" t="s">
        <v>85</v>
      </c>
      <c r="AI23" s="9" t="s">
        <v>85</v>
      </c>
      <c r="AJ23" s="9" t="s">
        <v>85</v>
      </c>
      <c r="AK23" s="9" t="s">
        <v>85</v>
      </c>
      <c r="AL23" s="9" t="s">
        <v>85</v>
      </c>
      <c r="AM23" s="9" t="s">
        <v>85</v>
      </c>
      <c r="AN23" s="9" t="s">
        <v>85</v>
      </c>
      <c r="AO23" s="9">
        <v>0.64</v>
      </c>
      <c r="AP23" s="9" t="s">
        <v>85</v>
      </c>
      <c r="AQ23" s="9" t="s">
        <v>85</v>
      </c>
      <c r="AR23" s="30">
        <v>0.64</v>
      </c>
      <c r="AS23" s="9" t="s">
        <v>85</v>
      </c>
      <c r="AT23" s="9" t="s">
        <v>85</v>
      </c>
      <c r="AU23" s="9" t="s">
        <v>85</v>
      </c>
      <c r="AV23" s="9" t="s">
        <v>85</v>
      </c>
      <c r="AW23" s="9" t="s">
        <v>85</v>
      </c>
      <c r="AX23" s="9" t="s">
        <v>85</v>
      </c>
      <c r="AY23" s="9" t="s">
        <v>85</v>
      </c>
      <c r="AZ23" s="9" t="s">
        <v>85</v>
      </c>
      <c r="BA23" s="9" t="s">
        <v>85</v>
      </c>
      <c r="BB23" s="9" t="s">
        <v>85</v>
      </c>
      <c r="BC23" s="9" t="s">
        <v>85</v>
      </c>
      <c r="BD23" s="9" t="s">
        <v>85</v>
      </c>
      <c r="BE23" s="9" t="s">
        <v>85</v>
      </c>
      <c r="BF23" s="10" t="s">
        <v>85</v>
      </c>
      <c r="BG23" s="10" t="s">
        <v>85</v>
      </c>
      <c r="BH23" s="9" t="s">
        <v>85</v>
      </c>
      <c r="BI23" s="6"/>
      <c r="BJ23" s="6" t="str">
        <f t="shared" si="1"/>
        <v>5Bo_Fold_Median</v>
      </c>
      <c r="BK23" s="6" t="str">
        <f t="shared" si="2"/>
        <v>5Bo_Fold_Median</v>
      </c>
      <c r="BL23" s="6" t="str">
        <f t="shared" si="3"/>
        <v>5Bo_Fold_Median</v>
      </c>
      <c r="BM23" s="6"/>
      <c r="BN23" s="6">
        <f t="shared" si="4"/>
        <v>5</v>
      </c>
      <c r="BO23" s="6"/>
      <c r="BP23" s="6"/>
      <c r="BQ23" s="6"/>
      <c r="BR23" s="6"/>
      <c r="BS23" s="6"/>
      <c r="BT23" s="6"/>
      <c r="BU23" s="6"/>
      <c r="BV23" s="6"/>
      <c r="BW23" s="6"/>
      <c r="BX23" s="6"/>
    </row>
    <row r="24" ht="15.75" customHeight="1">
      <c r="A24" s="1" t="s">
        <v>118</v>
      </c>
      <c r="B24" s="17">
        <v>140.0</v>
      </c>
      <c r="C24" s="17">
        <v>5.0</v>
      </c>
      <c r="D24" s="9" t="s">
        <v>85</v>
      </c>
      <c r="E24" s="9">
        <v>0.913333</v>
      </c>
      <c r="F24" s="9" t="s">
        <v>85</v>
      </c>
      <c r="G24" s="9" t="s">
        <v>85</v>
      </c>
      <c r="H24" s="30">
        <v>0.914444447</v>
      </c>
      <c r="I24" s="9" t="s">
        <v>85</v>
      </c>
      <c r="J24" s="9" t="s">
        <v>85</v>
      </c>
      <c r="K24" s="9" t="s">
        <v>85</v>
      </c>
      <c r="L24" s="9" t="s">
        <v>85</v>
      </c>
      <c r="M24" s="9" t="s">
        <v>85</v>
      </c>
      <c r="N24" s="9" t="s">
        <v>85</v>
      </c>
      <c r="O24" s="9" t="s">
        <v>85</v>
      </c>
      <c r="P24" s="9" t="s">
        <v>85</v>
      </c>
      <c r="Q24" s="9">
        <v>0.915111</v>
      </c>
      <c r="R24" s="9" t="s">
        <v>85</v>
      </c>
      <c r="S24" s="9" t="s">
        <v>85</v>
      </c>
      <c r="T24" s="9">
        <v>0.914889</v>
      </c>
      <c r="U24" s="9" t="s">
        <v>85</v>
      </c>
      <c r="V24" s="9" t="s">
        <v>85</v>
      </c>
      <c r="W24" s="9" t="s">
        <v>85</v>
      </c>
      <c r="X24" s="9" t="s">
        <v>85</v>
      </c>
      <c r="Y24" s="9" t="s">
        <v>85</v>
      </c>
      <c r="Z24" s="9" t="s">
        <v>85</v>
      </c>
      <c r="AA24" s="9" t="s">
        <v>85</v>
      </c>
      <c r="AB24" s="9" t="s">
        <v>85</v>
      </c>
      <c r="AC24" s="30">
        <v>0.916222</v>
      </c>
      <c r="AD24" s="9" t="s">
        <v>85</v>
      </c>
      <c r="AE24" s="9" t="s">
        <v>85</v>
      </c>
      <c r="AF24" s="30">
        <v>0.916222</v>
      </c>
      <c r="AG24" s="9" t="s">
        <v>85</v>
      </c>
      <c r="AH24" s="9" t="s">
        <v>85</v>
      </c>
      <c r="AI24" s="9" t="s">
        <v>85</v>
      </c>
      <c r="AJ24" s="9" t="s">
        <v>85</v>
      </c>
      <c r="AK24" s="9" t="s">
        <v>85</v>
      </c>
      <c r="AL24" s="9" t="s">
        <v>85</v>
      </c>
      <c r="AM24" s="9" t="s">
        <v>85</v>
      </c>
      <c r="AN24" s="9" t="s">
        <v>85</v>
      </c>
      <c r="AO24" s="9">
        <v>0.916667</v>
      </c>
      <c r="AP24" s="9" t="s">
        <v>85</v>
      </c>
      <c r="AQ24" s="9" t="s">
        <v>85</v>
      </c>
      <c r="AR24" s="30">
        <v>0.916</v>
      </c>
      <c r="AS24" s="9" t="s">
        <v>85</v>
      </c>
      <c r="AT24" s="9" t="s">
        <v>85</v>
      </c>
      <c r="AU24" s="9" t="s">
        <v>85</v>
      </c>
      <c r="AV24" s="9" t="s">
        <v>85</v>
      </c>
      <c r="AW24" s="9" t="s">
        <v>85</v>
      </c>
      <c r="AX24" s="9" t="s">
        <v>85</v>
      </c>
      <c r="AY24" s="9" t="s">
        <v>85</v>
      </c>
      <c r="AZ24" s="9" t="s">
        <v>85</v>
      </c>
      <c r="BA24" s="9" t="s">
        <v>85</v>
      </c>
      <c r="BB24" s="9" t="s">
        <v>85</v>
      </c>
      <c r="BC24" s="9" t="s">
        <v>85</v>
      </c>
      <c r="BD24" s="9" t="s">
        <v>85</v>
      </c>
      <c r="BE24" s="9" t="s">
        <v>85</v>
      </c>
      <c r="BF24" s="10" t="s">
        <v>85</v>
      </c>
      <c r="BG24" s="10" t="s">
        <v>85</v>
      </c>
      <c r="BH24" s="9" t="s">
        <v>85</v>
      </c>
      <c r="BI24" s="6"/>
      <c r="BJ24" s="6" t="str">
        <f t="shared" si="1"/>
        <v>12Bo_Fold_Median</v>
      </c>
      <c r="BK24" s="6" t="str">
        <f t="shared" si="2"/>
        <v>10Bo_Fold_Median</v>
      </c>
      <c r="BL24" s="6" t="str">
        <f t="shared" si="3"/>
        <v>10Bo_Fold_Median</v>
      </c>
      <c r="BM24" s="6"/>
      <c r="BN24" s="6">
        <f t="shared" si="4"/>
        <v>12</v>
      </c>
      <c r="BO24" s="6"/>
      <c r="BP24" s="6"/>
      <c r="BR24" s="6"/>
      <c r="BS24" s="6"/>
      <c r="BT24" s="6"/>
      <c r="BU24" s="6"/>
      <c r="BV24" s="6"/>
      <c r="BW24" s="6"/>
      <c r="BX24" s="6"/>
    </row>
    <row r="25" ht="15.75" customHeight="1">
      <c r="A25" s="1" t="s">
        <v>119</v>
      </c>
      <c r="B25" s="17">
        <v>136.0</v>
      </c>
      <c r="C25" s="17">
        <v>2.0</v>
      </c>
      <c r="D25" s="9" t="s">
        <v>85</v>
      </c>
      <c r="E25" s="9">
        <v>0.785134</v>
      </c>
      <c r="F25" s="9" t="s">
        <v>85</v>
      </c>
      <c r="G25" s="9" t="s">
        <v>85</v>
      </c>
      <c r="H25" s="30">
        <v>0.59814167</v>
      </c>
      <c r="I25" s="9" t="s">
        <v>85</v>
      </c>
      <c r="J25" s="9" t="s">
        <v>85</v>
      </c>
      <c r="K25" s="9" t="s">
        <v>85</v>
      </c>
      <c r="L25" s="9" t="s">
        <v>85</v>
      </c>
      <c r="M25" s="9" t="s">
        <v>85</v>
      </c>
      <c r="N25" s="9" t="s">
        <v>85</v>
      </c>
      <c r="O25" s="9" t="s">
        <v>85</v>
      </c>
      <c r="P25" s="9" t="s">
        <v>85</v>
      </c>
      <c r="Q25" s="9">
        <v>0.765389</v>
      </c>
      <c r="R25" s="9" t="s">
        <v>85</v>
      </c>
      <c r="S25" s="9" t="s">
        <v>85</v>
      </c>
      <c r="T25" s="9">
        <v>0.704994</v>
      </c>
      <c r="U25" s="9" t="s">
        <v>85</v>
      </c>
      <c r="V25" s="9" t="s">
        <v>85</v>
      </c>
      <c r="W25" s="9" t="s">
        <v>85</v>
      </c>
      <c r="X25" s="9" t="s">
        <v>85</v>
      </c>
      <c r="Y25" s="9" t="s">
        <v>85</v>
      </c>
      <c r="Z25" s="9" t="s">
        <v>85</v>
      </c>
      <c r="AA25" s="9" t="s">
        <v>85</v>
      </c>
      <c r="AB25" s="9" t="s">
        <v>85</v>
      </c>
      <c r="AC25" s="30">
        <v>0.745645</v>
      </c>
      <c r="AD25" s="9" t="s">
        <v>85</v>
      </c>
      <c r="AE25" s="9" t="s">
        <v>85</v>
      </c>
      <c r="AF25" s="30">
        <v>0.71777</v>
      </c>
      <c r="AG25" s="9" t="s">
        <v>85</v>
      </c>
      <c r="AH25" s="9" t="s">
        <v>85</v>
      </c>
      <c r="AI25" s="9" t="s">
        <v>85</v>
      </c>
      <c r="AJ25" s="9" t="s">
        <v>85</v>
      </c>
      <c r="AK25" s="9" t="s">
        <v>85</v>
      </c>
      <c r="AL25" s="9" t="s">
        <v>85</v>
      </c>
      <c r="AM25" s="9" t="s">
        <v>85</v>
      </c>
      <c r="AN25" s="9" t="s">
        <v>85</v>
      </c>
      <c r="AO25" s="9">
        <v>0.807201</v>
      </c>
      <c r="AP25" s="9" t="s">
        <v>85</v>
      </c>
      <c r="AQ25" s="9" t="s">
        <v>85</v>
      </c>
      <c r="AR25" s="30">
        <v>0.735192</v>
      </c>
      <c r="AS25" s="9" t="s">
        <v>85</v>
      </c>
      <c r="AT25" s="9" t="s">
        <v>85</v>
      </c>
      <c r="AU25" s="9" t="s">
        <v>85</v>
      </c>
      <c r="AV25" s="9" t="s">
        <v>85</v>
      </c>
      <c r="AW25" s="9" t="s">
        <v>85</v>
      </c>
      <c r="AX25" s="9" t="s">
        <v>85</v>
      </c>
      <c r="AY25" s="9" t="s">
        <v>85</v>
      </c>
      <c r="AZ25" s="9" t="s">
        <v>85</v>
      </c>
      <c r="BA25" s="9" t="s">
        <v>85</v>
      </c>
      <c r="BB25" s="9" t="s">
        <v>85</v>
      </c>
      <c r="BC25" s="9" t="s">
        <v>85</v>
      </c>
      <c r="BD25" s="9" t="s">
        <v>85</v>
      </c>
      <c r="BE25" s="9" t="s">
        <v>85</v>
      </c>
      <c r="BF25" s="10" t="s">
        <v>85</v>
      </c>
      <c r="BG25" s="10" t="s">
        <v>85</v>
      </c>
      <c r="BH25" s="9" t="s">
        <v>85</v>
      </c>
      <c r="BI25" s="6"/>
      <c r="BJ25" s="6" t="str">
        <f t="shared" si="1"/>
        <v>12Bo_Fold_Median</v>
      </c>
      <c r="BK25" s="6" t="str">
        <f t="shared" si="2"/>
        <v>5Bo_Fold_Median</v>
      </c>
      <c r="BL25" s="6" t="str">
        <f t="shared" si="3"/>
        <v>8Bo_Fold_Median</v>
      </c>
      <c r="BM25" s="6"/>
      <c r="BN25" s="6">
        <f t="shared" si="4"/>
        <v>12</v>
      </c>
      <c r="BO25" s="6"/>
      <c r="BP25" s="6"/>
      <c r="BR25" s="6"/>
      <c r="BS25" s="6"/>
      <c r="BT25" s="6"/>
      <c r="BU25" s="6"/>
      <c r="BV25" s="6"/>
      <c r="BW25" s="6"/>
      <c r="BX25" s="6"/>
    </row>
    <row r="26" ht="15.75" customHeight="1">
      <c r="A26" s="1" t="s">
        <v>120</v>
      </c>
      <c r="B26" s="17">
        <v>96.0</v>
      </c>
      <c r="C26" s="17">
        <v>7.0</v>
      </c>
      <c r="D26" s="9" t="s">
        <v>85</v>
      </c>
      <c r="E26" s="9">
        <v>0.630787</v>
      </c>
      <c r="F26" s="9" t="s">
        <v>85</v>
      </c>
      <c r="G26" s="9" t="s">
        <v>85</v>
      </c>
      <c r="H26" s="30">
        <v>0.556866825</v>
      </c>
      <c r="I26" s="9" t="s">
        <v>85</v>
      </c>
      <c r="J26" s="9" t="s">
        <v>85</v>
      </c>
      <c r="K26" s="9" t="s">
        <v>85</v>
      </c>
      <c r="L26" s="9" t="s">
        <v>85</v>
      </c>
      <c r="M26" s="9" t="s">
        <v>85</v>
      </c>
      <c r="N26" s="9" t="s">
        <v>85</v>
      </c>
      <c r="O26" s="9" t="s">
        <v>85</v>
      </c>
      <c r="P26" s="9" t="s">
        <v>85</v>
      </c>
      <c r="Q26" s="9">
        <v>0.648165</v>
      </c>
      <c r="R26" s="9" t="s">
        <v>85</v>
      </c>
      <c r="S26" s="9" t="s">
        <v>85</v>
      </c>
      <c r="T26" s="9">
        <v>0.652056</v>
      </c>
      <c r="U26" s="9" t="s">
        <v>85</v>
      </c>
      <c r="V26" s="9" t="s">
        <v>85</v>
      </c>
      <c r="W26" s="9" t="s">
        <v>85</v>
      </c>
      <c r="X26" s="9" t="s">
        <v>85</v>
      </c>
      <c r="Y26" s="9" t="s">
        <v>85</v>
      </c>
      <c r="Z26" s="9" t="s">
        <v>85</v>
      </c>
      <c r="AA26" s="9" t="s">
        <v>85</v>
      </c>
      <c r="AB26" s="9" t="s">
        <v>85</v>
      </c>
      <c r="AC26" s="30">
        <v>0.635067</v>
      </c>
      <c r="AD26" s="9" t="s">
        <v>85</v>
      </c>
      <c r="AE26" s="9" t="s">
        <v>85</v>
      </c>
      <c r="AF26" s="30">
        <v>0.664765</v>
      </c>
      <c r="AG26" s="9" t="s">
        <v>85</v>
      </c>
      <c r="AH26" s="9" t="s">
        <v>85</v>
      </c>
      <c r="AI26" s="9" t="s">
        <v>85</v>
      </c>
      <c r="AJ26" s="9" t="s">
        <v>85</v>
      </c>
      <c r="AK26" s="9" t="s">
        <v>85</v>
      </c>
      <c r="AL26" s="9" t="s">
        <v>85</v>
      </c>
      <c r="AM26" s="9" t="s">
        <v>85</v>
      </c>
      <c r="AN26" s="9" t="s">
        <v>85</v>
      </c>
      <c r="AO26" s="9">
        <v>0.622487</v>
      </c>
      <c r="AP26" s="9" t="s">
        <v>85</v>
      </c>
      <c r="AQ26" s="9" t="s">
        <v>85</v>
      </c>
      <c r="AR26" s="30">
        <v>0.61328</v>
      </c>
      <c r="AS26" s="9" t="s">
        <v>85</v>
      </c>
      <c r="AT26" s="9" t="s">
        <v>85</v>
      </c>
      <c r="AU26" s="9" t="s">
        <v>85</v>
      </c>
      <c r="AV26" s="9" t="s">
        <v>85</v>
      </c>
      <c r="AW26" s="9" t="s">
        <v>85</v>
      </c>
      <c r="AX26" s="9" t="s">
        <v>85</v>
      </c>
      <c r="AY26" s="9" t="s">
        <v>85</v>
      </c>
      <c r="AZ26" s="9" t="s">
        <v>85</v>
      </c>
      <c r="BA26" s="9" t="s">
        <v>85</v>
      </c>
      <c r="BB26" s="9" t="s">
        <v>85</v>
      </c>
      <c r="BC26" s="9" t="s">
        <v>85</v>
      </c>
      <c r="BD26" s="9" t="s">
        <v>85</v>
      </c>
      <c r="BE26" s="9" t="s">
        <v>85</v>
      </c>
      <c r="BF26" s="10" t="s">
        <v>85</v>
      </c>
      <c r="BG26" s="10" t="s">
        <v>85</v>
      </c>
      <c r="BH26" s="9" t="s">
        <v>85</v>
      </c>
      <c r="BI26" s="6"/>
      <c r="BJ26" s="6" t="str">
        <f t="shared" si="1"/>
        <v>10BoN_Fold_Median</v>
      </c>
      <c r="BK26" s="6" t="str">
        <f t="shared" si="2"/>
        <v>8BoN_Fold_Median</v>
      </c>
      <c r="BL26" s="6" t="str">
        <f t="shared" si="3"/>
        <v>8Bo_Fold_Median</v>
      </c>
      <c r="BM26" s="6"/>
      <c r="BN26" s="6">
        <f t="shared" si="4"/>
        <v>10</v>
      </c>
      <c r="BO26" s="6"/>
      <c r="BP26" s="6"/>
      <c r="BQ26" s="6"/>
      <c r="BR26" s="6"/>
      <c r="BS26" s="6"/>
      <c r="BT26" s="6"/>
      <c r="BU26" s="6"/>
      <c r="BV26" s="6"/>
      <c r="BW26" s="6"/>
      <c r="BX26" s="6"/>
    </row>
    <row r="27" ht="15.75" customHeight="1">
      <c r="A27" s="1" t="s">
        <v>121</v>
      </c>
      <c r="B27" s="17">
        <v>1751.0</v>
      </c>
      <c r="C27" s="17">
        <v>4.0</v>
      </c>
      <c r="D27" s="9" t="s">
        <v>85</v>
      </c>
      <c r="E27" s="9">
        <v>0.252</v>
      </c>
      <c r="F27" s="9" t="s">
        <v>85</v>
      </c>
      <c r="G27" s="9" t="s">
        <v>85</v>
      </c>
      <c r="H27" s="30">
        <v>0.256000012</v>
      </c>
      <c r="I27" s="9" t="s">
        <v>85</v>
      </c>
      <c r="J27" s="9" t="s">
        <v>85</v>
      </c>
      <c r="K27" s="9" t="s">
        <v>85</v>
      </c>
      <c r="L27" s="9" t="s">
        <v>85</v>
      </c>
      <c r="M27" s="9" t="s">
        <v>85</v>
      </c>
      <c r="N27" s="9" t="s">
        <v>85</v>
      </c>
      <c r="O27" s="9" t="s">
        <v>85</v>
      </c>
      <c r="P27" s="9" t="s">
        <v>85</v>
      </c>
      <c r="Q27" s="9">
        <v>0.284</v>
      </c>
      <c r="R27" s="9" t="s">
        <v>85</v>
      </c>
      <c r="S27" s="9" t="s">
        <v>85</v>
      </c>
      <c r="T27" s="9">
        <v>0.248</v>
      </c>
      <c r="U27" s="9" t="s">
        <v>85</v>
      </c>
      <c r="V27" s="9" t="s">
        <v>85</v>
      </c>
      <c r="W27" s="9" t="s">
        <v>85</v>
      </c>
      <c r="X27" s="9" t="s">
        <v>85</v>
      </c>
      <c r="Y27" s="9" t="s">
        <v>85</v>
      </c>
      <c r="Z27" s="9" t="s">
        <v>85</v>
      </c>
      <c r="AA27" s="9" t="s">
        <v>85</v>
      </c>
      <c r="AB27" s="9" t="s">
        <v>85</v>
      </c>
      <c r="AC27" s="30">
        <v>0.268</v>
      </c>
      <c r="AD27" s="9" t="s">
        <v>85</v>
      </c>
      <c r="AE27" s="9" t="s">
        <v>85</v>
      </c>
      <c r="AF27" s="30">
        <v>0.284</v>
      </c>
      <c r="AG27" s="9" t="s">
        <v>85</v>
      </c>
      <c r="AH27" s="9" t="s">
        <v>85</v>
      </c>
      <c r="AI27" s="9" t="s">
        <v>85</v>
      </c>
      <c r="AJ27" s="9" t="s">
        <v>85</v>
      </c>
      <c r="AK27" s="9" t="s">
        <v>85</v>
      </c>
      <c r="AL27" s="9" t="s">
        <v>85</v>
      </c>
      <c r="AM27" s="9" t="s">
        <v>85</v>
      </c>
      <c r="AN27" s="9" t="s">
        <v>85</v>
      </c>
      <c r="AO27" s="9">
        <v>0.248</v>
      </c>
      <c r="AP27" s="9" t="s">
        <v>85</v>
      </c>
      <c r="AQ27" s="9" t="s">
        <v>85</v>
      </c>
      <c r="AR27" s="30">
        <v>0.258</v>
      </c>
      <c r="AS27" s="9" t="s">
        <v>85</v>
      </c>
      <c r="AT27" s="9" t="s">
        <v>85</v>
      </c>
      <c r="AU27" s="9" t="s">
        <v>85</v>
      </c>
      <c r="AV27" s="9" t="s">
        <v>85</v>
      </c>
      <c r="AW27" s="9" t="s">
        <v>85</v>
      </c>
      <c r="AX27" s="9" t="s">
        <v>85</v>
      </c>
      <c r="AY27" s="9" t="s">
        <v>85</v>
      </c>
      <c r="AZ27" s="9" t="s">
        <v>85</v>
      </c>
      <c r="BA27" s="9" t="s">
        <v>85</v>
      </c>
      <c r="BB27" s="9" t="s">
        <v>85</v>
      </c>
      <c r="BC27" s="9" t="s">
        <v>85</v>
      </c>
      <c r="BD27" s="9" t="s">
        <v>85</v>
      </c>
      <c r="BE27" s="9" t="s">
        <v>85</v>
      </c>
      <c r="BF27" s="10" t="s">
        <v>85</v>
      </c>
      <c r="BG27" s="10" t="s">
        <v>85</v>
      </c>
      <c r="BH27" s="9" t="s">
        <v>85</v>
      </c>
      <c r="BI27" s="6"/>
      <c r="BJ27" s="6" t="str">
        <f t="shared" si="1"/>
        <v>8Bo_Fold_Median</v>
      </c>
      <c r="BK27" s="6" t="str">
        <f t="shared" si="2"/>
        <v>8Bo_Fold_Median</v>
      </c>
      <c r="BL27" s="6" t="str">
        <f t="shared" si="3"/>
        <v>10Bo_Fold_Median</v>
      </c>
      <c r="BM27" s="6"/>
      <c r="BN27" s="6">
        <f t="shared" si="4"/>
        <v>8</v>
      </c>
      <c r="BO27" s="6"/>
      <c r="BP27" s="6"/>
      <c r="BQ27" s="6"/>
      <c r="BR27" s="6"/>
      <c r="BS27" s="6"/>
      <c r="BT27" s="6"/>
      <c r="BU27" s="6"/>
      <c r="BV27" s="6"/>
      <c r="BW27" s="6"/>
      <c r="BX27" s="6"/>
    </row>
    <row r="28" ht="15.75" customHeight="1">
      <c r="A28" s="1" t="s">
        <v>122</v>
      </c>
      <c r="B28" s="17">
        <v>131.0</v>
      </c>
      <c r="C28" s="17">
        <v>14.0</v>
      </c>
      <c r="D28" s="9" t="s">
        <v>85</v>
      </c>
      <c r="E28" s="9">
        <v>0.395266</v>
      </c>
      <c r="F28" s="9" t="s">
        <v>85</v>
      </c>
      <c r="G28" s="9" t="s">
        <v>85</v>
      </c>
      <c r="H28" s="30">
        <v>0.411834329</v>
      </c>
      <c r="I28" s="9" t="s">
        <v>85</v>
      </c>
      <c r="J28" s="9" t="s">
        <v>85</v>
      </c>
      <c r="K28" s="9" t="s">
        <v>85</v>
      </c>
      <c r="L28" s="9" t="s">
        <v>85</v>
      </c>
      <c r="M28" s="9" t="s">
        <v>85</v>
      </c>
      <c r="N28" s="9" t="s">
        <v>85</v>
      </c>
      <c r="O28" s="9" t="s">
        <v>85</v>
      </c>
      <c r="P28" s="9" t="s">
        <v>85</v>
      </c>
      <c r="Q28" s="9">
        <v>0.587574</v>
      </c>
      <c r="R28" s="9" t="s">
        <v>85</v>
      </c>
      <c r="S28" s="9" t="s">
        <v>85</v>
      </c>
      <c r="T28" s="9">
        <v>0.557396</v>
      </c>
      <c r="U28" s="9" t="s">
        <v>85</v>
      </c>
      <c r="V28" s="9" t="s">
        <v>85</v>
      </c>
      <c r="W28" s="9" t="s">
        <v>85</v>
      </c>
      <c r="X28" s="9" t="s">
        <v>85</v>
      </c>
      <c r="Y28" s="9" t="s">
        <v>85</v>
      </c>
      <c r="Z28" s="9" t="s">
        <v>85</v>
      </c>
      <c r="AA28" s="9" t="s">
        <v>85</v>
      </c>
      <c r="AB28" s="9" t="s">
        <v>85</v>
      </c>
      <c r="AC28" s="30">
        <v>0.580473</v>
      </c>
      <c r="AD28" s="9" t="s">
        <v>85</v>
      </c>
      <c r="AE28" s="9" t="s">
        <v>85</v>
      </c>
      <c r="AF28" s="30">
        <v>0.673373</v>
      </c>
      <c r="AG28" s="9" t="s">
        <v>85</v>
      </c>
      <c r="AH28" s="9" t="s">
        <v>85</v>
      </c>
      <c r="AI28" s="9" t="s">
        <v>85</v>
      </c>
      <c r="AJ28" s="9" t="s">
        <v>85</v>
      </c>
      <c r="AK28" s="9" t="s">
        <v>85</v>
      </c>
      <c r="AL28" s="9" t="s">
        <v>85</v>
      </c>
      <c r="AM28" s="9" t="s">
        <v>85</v>
      </c>
      <c r="AN28" s="9" t="s">
        <v>85</v>
      </c>
      <c r="AO28" s="9">
        <v>0.591124</v>
      </c>
      <c r="AP28" s="9" t="s">
        <v>85</v>
      </c>
      <c r="AQ28" s="9" t="s">
        <v>85</v>
      </c>
      <c r="AR28" s="30">
        <v>0.629586</v>
      </c>
      <c r="AS28" s="9" t="s">
        <v>85</v>
      </c>
      <c r="AT28" s="9" t="s">
        <v>85</v>
      </c>
      <c r="AU28" s="9" t="s">
        <v>85</v>
      </c>
      <c r="AV28" s="9" t="s">
        <v>85</v>
      </c>
      <c r="AW28" s="9" t="s">
        <v>85</v>
      </c>
      <c r="AX28" s="9" t="s">
        <v>85</v>
      </c>
      <c r="AY28" s="9" t="s">
        <v>85</v>
      </c>
      <c r="AZ28" s="9" t="s">
        <v>85</v>
      </c>
      <c r="BA28" s="9" t="s">
        <v>85</v>
      </c>
      <c r="BB28" s="9" t="s">
        <v>85</v>
      </c>
      <c r="BC28" s="9" t="s">
        <v>85</v>
      </c>
      <c r="BD28" s="9" t="s">
        <v>85</v>
      </c>
      <c r="BE28" s="9" t="s">
        <v>85</v>
      </c>
      <c r="BF28" s="10" t="s">
        <v>85</v>
      </c>
      <c r="BG28" s="10" t="s">
        <v>85</v>
      </c>
      <c r="BH28" s="9" t="s">
        <v>85</v>
      </c>
      <c r="BI28" s="6"/>
      <c r="BJ28" s="6" t="str">
        <f t="shared" si="1"/>
        <v>10BoN_Fold_Median</v>
      </c>
      <c r="BK28" s="6" t="str">
        <f t="shared" si="2"/>
        <v>12BoN_Fold_Median</v>
      </c>
      <c r="BL28" s="6" t="str">
        <f t="shared" si="3"/>
        <v>12Bo_Fold_Median</v>
      </c>
      <c r="BM28" s="6"/>
      <c r="BN28" s="6">
        <f t="shared" si="4"/>
        <v>10</v>
      </c>
      <c r="BO28" s="6"/>
      <c r="BP28" s="6"/>
      <c r="BQ28" s="6"/>
      <c r="BR28" s="6"/>
      <c r="BT28" s="6"/>
      <c r="BU28" s="6"/>
      <c r="BV28" s="6"/>
      <c r="BW28" s="6"/>
      <c r="BX28" s="6"/>
    </row>
    <row r="29" ht="15.75" customHeight="1">
      <c r="A29" s="1" t="s">
        <v>123</v>
      </c>
      <c r="B29" s="17">
        <v>350.0</v>
      </c>
      <c r="C29" s="17">
        <v>4.0</v>
      </c>
      <c r="D29" s="9" t="s">
        <v>85</v>
      </c>
      <c r="E29" s="9">
        <v>0.397727</v>
      </c>
      <c r="F29" s="9" t="s">
        <v>85</v>
      </c>
      <c r="G29" s="9" t="s">
        <v>85</v>
      </c>
      <c r="H29" s="30">
        <v>0.363636374</v>
      </c>
      <c r="I29" s="9" t="s">
        <v>85</v>
      </c>
      <c r="J29" s="9" t="s">
        <v>85</v>
      </c>
      <c r="K29" s="9" t="s">
        <v>85</v>
      </c>
      <c r="L29" s="9" t="s">
        <v>85</v>
      </c>
      <c r="M29" s="9" t="s">
        <v>85</v>
      </c>
      <c r="N29" s="9" t="s">
        <v>85</v>
      </c>
      <c r="O29" s="9" t="s">
        <v>85</v>
      </c>
      <c r="P29" s="9" t="s">
        <v>85</v>
      </c>
      <c r="Q29" s="9">
        <v>0.409091</v>
      </c>
      <c r="R29" s="9" t="s">
        <v>85</v>
      </c>
      <c r="S29" s="9" t="s">
        <v>85</v>
      </c>
      <c r="T29" s="9">
        <v>0.488636</v>
      </c>
      <c r="U29" s="9" t="s">
        <v>85</v>
      </c>
      <c r="V29" s="9" t="s">
        <v>85</v>
      </c>
      <c r="W29" s="9" t="s">
        <v>85</v>
      </c>
      <c r="X29" s="9" t="s">
        <v>85</v>
      </c>
      <c r="Y29" s="9" t="s">
        <v>85</v>
      </c>
      <c r="Z29" s="9" t="s">
        <v>85</v>
      </c>
      <c r="AA29" s="9" t="s">
        <v>85</v>
      </c>
      <c r="AB29" s="9" t="s">
        <v>85</v>
      </c>
      <c r="AC29" s="30">
        <v>0.454545</v>
      </c>
      <c r="AD29" s="9" t="s">
        <v>85</v>
      </c>
      <c r="AE29" s="9" t="s">
        <v>85</v>
      </c>
      <c r="AF29" s="30">
        <v>0.477273</v>
      </c>
      <c r="AG29" s="9" t="s">
        <v>85</v>
      </c>
      <c r="AH29" s="9" t="s">
        <v>85</v>
      </c>
      <c r="AI29" s="9" t="s">
        <v>85</v>
      </c>
      <c r="AJ29" s="9" t="s">
        <v>85</v>
      </c>
      <c r="AK29" s="9" t="s">
        <v>85</v>
      </c>
      <c r="AL29" s="9" t="s">
        <v>85</v>
      </c>
      <c r="AM29" s="9" t="s">
        <v>85</v>
      </c>
      <c r="AN29" s="9" t="s">
        <v>85</v>
      </c>
      <c r="AO29" s="9">
        <v>0.534091</v>
      </c>
      <c r="AP29" s="9" t="s">
        <v>85</v>
      </c>
      <c r="AQ29" s="9" t="s">
        <v>85</v>
      </c>
      <c r="AR29" s="30">
        <v>0.647727</v>
      </c>
      <c r="AS29" s="9" t="s">
        <v>85</v>
      </c>
      <c r="AT29" s="9" t="s">
        <v>85</v>
      </c>
      <c r="AU29" s="9" t="s">
        <v>85</v>
      </c>
      <c r="AV29" s="9" t="s">
        <v>85</v>
      </c>
      <c r="AW29" s="9" t="s">
        <v>85</v>
      </c>
      <c r="AX29" s="9" t="s">
        <v>85</v>
      </c>
      <c r="AY29" s="9" t="s">
        <v>85</v>
      </c>
      <c r="AZ29" s="9" t="s">
        <v>85</v>
      </c>
      <c r="BA29" s="9" t="s">
        <v>85</v>
      </c>
      <c r="BB29" s="9" t="s">
        <v>85</v>
      </c>
      <c r="BC29" s="9" t="s">
        <v>85</v>
      </c>
      <c r="BD29" s="9" t="s">
        <v>85</v>
      </c>
      <c r="BE29" s="9" t="s">
        <v>85</v>
      </c>
      <c r="BF29" s="10" t="s">
        <v>85</v>
      </c>
      <c r="BG29" s="10" t="s">
        <v>85</v>
      </c>
      <c r="BH29" s="9" t="s">
        <v>85</v>
      </c>
      <c r="BI29" s="6"/>
      <c r="BJ29" s="6" t="str">
        <f t="shared" si="1"/>
        <v>12BoN_Fold_Median</v>
      </c>
      <c r="BK29" s="6" t="str">
        <f t="shared" si="2"/>
        <v>12Bo_Fold_Median</v>
      </c>
      <c r="BL29" s="6" t="str">
        <f t="shared" si="3"/>
        <v>8BoN_Fold_Median</v>
      </c>
      <c r="BM29" s="6"/>
      <c r="BN29" s="6">
        <f t="shared" si="4"/>
        <v>12</v>
      </c>
      <c r="BO29" s="6"/>
      <c r="BP29" s="6"/>
      <c r="BQ29" s="6"/>
      <c r="BR29" s="6"/>
      <c r="BT29" s="6"/>
      <c r="BU29" s="6"/>
      <c r="BV29" s="6"/>
      <c r="BW29" s="6"/>
      <c r="BX29" s="6"/>
    </row>
    <row r="30" ht="15.75" customHeight="1">
      <c r="A30" s="1" t="s">
        <v>124</v>
      </c>
      <c r="B30" s="17">
        <v>131.0</v>
      </c>
      <c r="C30" s="17">
        <v>14.0</v>
      </c>
      <c r="D30" s="9" t="s">
        <v>85</v>
      </c>
      <c r="E30" s="9">
        <v>0.519024</v>
      </c>
      <c r="F30" s="9" t="s">
        <v>85</v>
      </c>
      <c r="G30" s="9" t="s">
        <v>85</v>
      </c>
      <c r="H30" s="30">
        <v>0.458048791</v>
      </c>
      <c r="I30" s="9" t="s">
        <v>85</v>
      </c>
      <c r="J30" s="9" t="s">
        <v>85</v>
      </c>
      <c r="K30" s="9" t="s">
        <v>85</v>
      </c>
      <c r="L30" s="9" t="s">
        <v>85</v>
      </c>
      <c r="M30" s="9" t="s">
        <v>85</v>
      </c>
      <c r="N30" s="9" t="s">
        <v>85</v>
      </c>
      <c r="O30" s="9" t="s">
        <v>85</v>
      </c>
      <c r="P30" s="9" t="s">
        <v>85</v>
      </c>
      <c r="Q30" s="9">
        <v>0.625366</v>
      </c>
      <c r="R30" s="9" t="s">
        <v>85</v>
      </c>
      <c r="S30" s="9" t="s">
        <v>85</v>
      </c>
      <c r="T30" s="9">
        <v>0.598537</v>
      </c>
      <c r="U30" s="9" t="s">
        <v>85</v>
      </c>
      <c r="V30" s="9" t="s">
        <v>85</v>
      </c>
      <c r="W30" s="9" t="s">
        <v>85</v>
      </c>
      <c r="X30" s="9" t="s">
        <v>85</v>
      </c>
      <c r="Y30" s="9" t="s">
        <v>85</v>
      </c>
      <c r="Z30" s="9" t="s">
        <v>85</v>
      </c>
      <c r="AA30" s="9" t="s">
        <v>85</v>
      </c>
      <c r="AB30" s="9" t="s">
        <v>85</v>
      </c>
      <c r="AC30" s="30">
        <v>0.610244</v>
      </c>
      <c r="AD30" s="9" t="s">
        <v>85</v>
      </c>
      <c r="AE30" s="9" t="s">
        <v>85</v>
      </c>
      <c r="AF30" s="30">
        <v>0.640976</v>
      </c>
      <c r="AG30" s="9" t="s">
        <v>85</v>
      </c>
      <c r="AH30" s="9" t="s">
        <v>85</v>
      </c>
      <c r="AI30" s="9" t="s">
        <v>85</v>
      </c>
      <c r="AJ30" s="9" t="s">
        <v>85</v>
      </c>
      <c r="AK30" s="9" t="s">
        <v>85</v>
      </c>
      <c r="AL30" s="9" t="s">
        <v>85</v>
      </c>
      <c r="AM30" s="9" t="s">
        <v>85</v>
      </c>
      <c r="AN30" s="9" t="s">
        <v>85</v>
      </c>
      <c r="AO30" s="9">
        <v>0.649268</v>
      </c>
      <c r="AP30" s="9" t="s">
        <v>85</v>
      </c>
      <c r="AQ30" s="9" t="s">
        <v>85</v>
      </c>
      <c r="AR30" s="30">
        <v>0.636585</v>
      </c>
      <c r="AS30" s="9" t="s">
        <v>85</v>
      </c>
      <c r="AT30" s="9" t="s">
        <v>85</v>
      </c>
      <c r="AU30" s="9" t="s">
        <v>85</v>
      </c>
      <c r="AV30" s="9" t="s">
        <v>85</v>
      </c>
      <c r="AW30" s="9" t="s">
        <v>85</v>
      </c>
      <c r="AX30" s="9" t="s">
        <v>85</v>
      </c>
      <c r="AY30" s="9" t="s">
        <v>85</v>
      </c>
      <c r="AZ30" s="9" t="s">
        <v>85</v>
      </c>
      <c r="BA30" s="9" t="s">
        <v>85</v>
      </c>
      <c r="BB30" s="9" t="s">
        <v>85</v>
      </c>
      <c r="BC30" s="9" t="s">
        <v>85</v>
      </c>
      <c r="BD30" s="9" t="s">
        <v>85</v>
      </c>
      <c r="BE30" s="9" t="s">
        <v>85</v>
      </c>
      <c r="BF30" s="10" t="s">
        <v>85</v>
      </c>
      <c r="BG30" s="10" t="s">
        <v>85</v>
      </c>
      <c r="BH30" s="9" t="s">
        <v>85</v>
      </c>
      <c r="BI30" s="6"/>
      <c r="BJ30" s="6" t="str">
        <f t="shared" si="1"/>
        <v>12Bo_Fold_Median</v>
      </c>
      <c r="BK30" s="6" t="str">
        <f t="shared" si="2"/>
        <v>10BoN_Fold_Median</v>
      </c>
      <c r="BL30" s="6" t="str">
        <f t="shared" si="3"/>
        <v>12BoN_Fold_Median</v>
      </c>
      <c r="BM30" s="6"/>
      <c r="BN30" s="6">
        <f t="shared" si="4"/>
        <v>12</v>
      </c>
      <c r="BO30" s="6"/>
      <c r="BP30" s="6"/>
      <c r="BQ30" s="24"/>
      <c r="BR30" s="24"/>
      <c r="BS30" s="24"/>
      <c r="BT30" s="24"/>
      <c r="BU30" s="6"/>
      <c r="BV30" s="6"/>
      <c r="BW30" s="6"/>
      <c r="BX30" s="6"/>
    </row>
    <row r="31" ht="15.75" customHeight="1">
      <c r="A31" s="1" t="s">
        <v>125</v>
      </c>
      <c r="B31" s="17">
        <v>270.0</v>
      </c>
      <c r="C31" s="17">
        <v>50.0</v>
      </c>
      <c r="D31" s="9" t="s">
        <v>85</v>
      </c>
      <c r="E31" s="9">
        <v>0.413187</v>
      </c>
      <c r="F31" s="9" t="s">
        <v>85</v>
      </c>
      <c r="G31" s="9" t="s">
        <v>85</v>
      </c>
      <c r="H31" s="30">
        <v>0.353846163</v>
      </c>
      <c r="I31" s="9" t="s">
        <v>85</v>
      </c>
      <c r="J31" s="9" t="s">
        <v>85</v>
      </c>
      <c r="K31" s="9" t="s">
        <v>85</v>
      </c>
      <c r="L31" s="9" t="s">
        <v>85</v>
      </c>
      <c r="M31" s="9" t="s">
        <v>85</v>
      </c>
      <c r="N31" s="9" t="s">
        <v>85</v>
      </c>
      <c r="O31" s="9" t="s">
        <v>85</v>
      </c>
      <c r="P31" s="9" t="s">
        <v>85</v>
      </c>
      <c r="Q31" s="9">
        <v>0.446154</v>
      </c>
      <c r="R31" s="9" t="s">
        <v>85</v>
      </c>
      <c r="S31" s="9" t="s">
        <v>85</v>
      </c>
      <c r="T31" s="9">
        <v>0.476923</v>
      </c>
      <c r="U31" s="9" t="s">
        <v>85</v>
      </c>
      <c r="V31" s="9" t="s">
        <v>85</v>
      </c>
      <c r="W31" s="9" t="s">
        <v>85</v>
      </c>
      <c r="X31" s="9" t="s">
        <v>85</v>
      </c>
      <c r="Y31" s="9" t="s">
        <v>85</v>
      </c>
      <c r="Z31" s="9" t="s">
        <v>85</v>
      </c>
      <c r="AA31" s="9" t="s">
        <v>85</v>
      </c>
      <c r="AB31" s="9" t="s">
        <v>85</v>
      </c>
      <c r="AC31" s="30">
        <v>0.430769</v>
      </c>
      <c r="AD31" s="9" t="s">
        <v>85</v>
      </c>
      <c r="AE31" s="9" t="s">
        <v>85</v>
      </c>
      <c r="AF31" s="30">
        <v>0.432967</v>
      </c>
      <c r="AG31" s="9" t="s">
        <v>85</v>
      </c>
      <c r="AH31" s="9" t="s">
        <v>85</v>
      </c>
      <c r="AI31" s="9" t="s">
        <v>85</v>
      </c>
      <c r="AJ31" s="9" t="s">
        <v>85</v>
      </c>
      <c r="AK31" s="9" t="s">
        <v>85</v>
      </c>
      <c r="AL31" s="9" t="s">
        <v>85</v>
      </c>
      <c r="AM31" s="9" t="s">
        <v>85</v>
      </c>
      <c r="AN31" s="9" t="s">
        <v>85</v>
      </c>
      <c r="AO31" s="9">
        <v>0.413187</v>
      </c>
      <c r="AP31" s="9" t="s">
        <v>85</v>
      </c>
      <c r="AQ31" s="9" t="s">
        <v>85</v>
      </c>
      <c r="AR31" s="30">
        <v>0.481319</v>
      </c>
      <c r="AS31" s="9" t="s">
        <v>85</v>
      </c>
      <c r="AT31" s="9" t="s">
        <v>85</v>
      </c>
      <c r="AU31" s="9" t="s">
        <v>85</v>
      </c>
      <c r="AV31" s="9" t="s">
        <v>85</v>
      </c>
      <c r="AW31" s="9" t="s">
        <v>85</v>
      </c>
      <c r="AX31" s="9" t="s">
        <v>85</v>
      </c>
      <c r="AY31" s="9" t="s">
        <v>85</v>
      </c>
      <c r="AZ31" s="9" t="s">
        <v>85</v>
      </c>
      <c r="BA31" s="9" t="s">
        <v>85</v>
      </c>
      <c r="BB31" s="9" t="s">
        <v>85</v>
      </c>
      <c r="BC31" s="9" t="s">
        <v>85</v>
      </c>
      <c r="BD31" s="9" t="s">
        <v>85</v>
      </c>
      <c r="BE31" s="9" t="s">
        <v>85</v>
      </c>
      <c r="BF31" s="10" t="s">
        <v>85</v>
      </c>
      <c r="BG31" s="10" t="s">
        <v>85</v>
      </c>
      <c r="BH31" s="9" t="s">
        <v>85</v>
      </c>
      <c r="BI31" s="6"/>
      <c r="BJ31" s="6" t="str">
        <f t="shared" si="1"/>
        <v>12BoN_Fold_Median</v>
      </c>
      <c r="BK31" s="6" t="str">
        <f t="shared" si="2"/>
        <v>8BoN_Fold_Median</v>
      </c>
      <c r="BL31" s="6" t="str">
        <f t="shared" si="3"/>
        <v>8Bo_Fold_Median</v>
      </c>
      <c r="BM31" s="6"/>
      <c r="BN31" s="6">
        <f t="shared" si="4"/>
        <v>12</v>
      </c>
      <c r="BO31" s="6"/>
      <c r="BP31" s="6"/>
      <c r="BQ31" s="24"/>
      <c r="BR31" s="24"/>
      <c r="BS31" s="24"/>
      <c r="BT31" s="24"/>
      <c r="BU31" s="6"/>
      <c r="BV31" s="6"/>
      <c r="BW31" s="6"/>
      <c r="BX31" s="6"/>
    </row>
    <row r="32" ht="15.75" customHeight="1">
      <c r="A32" s="1" t="s">
        <v>126</v>
      </c>
      <c r="B32" s="17">
        <v>463.0</v>
      </c>
      <c r="C32" s="17">
        <v>7.0</v>
      </c>
      <c r="D32" s="9" t="s">
        <v>85</v>
      </c>
      <c r="E32" s="9">
        <v>0.514286</v>
      </c>
      <c r="F32" s="9" t="s">
        <v>85</v>
      </c>
      <c r="G32" s="9" t="s">
        <v>85</v>
      </c>
      <c r="H32" s="30">
        <v>0.497142851</v>
      </c>
      <c r="I32" s="9" t="s">
        <v>85</v>
      </c>
      <c r="J32" s="9" t="s">
        <v>85</v>
      </c>
      <c r="K32" s="9" t="s">
        <v>85</v>
      </c>
      <c r="L32" s="9" t="s">
        <v>85</v>
      </c>
      <c r="M32" s="9" t="s">
        <v>85</v>
      </c>
      <c r="N32" s="9" t="s">
        <v>85</v>
      </c>
      <c r="O32" s="9" t="s">
        <v>85</v>
      </c>
      <c r="P32" s="9" t="s">
        <v>85</v>
      </c>
      <c r="Q32" s="9">
        <v>0.577143</v>
      </c>
      <c r="R32" s="9" t="s">
        <v>85</v>
      </c>
      <c r="S32" s="9" t="s">
        <v>85</v>
      </c>
      <c r="T32" s="9">
        <v>0.628571</v>
      </c>
      <c r="U32" s="9" t="s">
        <v>85</v>
      </c>
      <c r="V32" s="9" t="s">
        <v>85</v>
      </c>
      <c r="W32" s="9" t="s">
        <v>85</v>
      </c>
      <c r="X32" s="9" t="s">
        <v>85</v>
      </c>
      <c r="Y32" s="9" t="s">
        <v>85</v>
      </c>
      <c r="Z32" s="9" t="s">
        <v>85</v>
      </c>
      <c r="AA32" s="9" t="s">
        <v>85</v>
      </c>
      <c r="AB32" s="9" t="s">
        <v>85</v>
      </c>
      <c r="AC32" s="30">
        <v>0.577143</v>
      </c>
      <c r="AD32" s="9" t="s">
        <v>85</v>
      </c>
      <c r="AE32" s="9" t="s">
        <v>85</v>
      </c>
      <c r="AF32" s="30">
        <v>0.6</v>
      </c>
      <c r="AG32" s="9" t="s">
        <v>85</v>
      </c>
      <c r="AH32" s="9" t="s">
        <v>85</v>
      </c>
      <c r="AI32" s="9" t="s">
        <v>85</v>
      </c>
      <c r="AJ32" s="9" t="s">
        <v>85</v>
      </c>
      <c r="AK32" s="9" t="s">
        <v>85</v>
      </c>
      <c r="AL32" s="9" t="s">
        <v>85</v>
      </c>
      <c r="AM32" s="9" t="s">
        <v>85</v>
      </c>
      <c r="AN32" s="9" t="s">
        <v>85</v>
      </c>
      <c r="AO32" s="9">
        <v>0.588571</v>
      </c>
      <c r="AP32" s="9" t="s">
        <v>85</v>
      </c>
      <c r="AQ32" s="9" t="s">
        <v>85</v>
      </c>
      <c r="AR32" s="30">
        <v>0.554286</v>
      </c>
      <c r="AS32" s="9" t="s">
        <v>85</v>
      </c>
      <c r="AT32" s="9" t="s">
        <v>85</v>
      </c>
      <c r="AU32" s="9" t="s">
        <v>85</v>
      </c>
      <c r="AV32" s="9" t="s">
        <v>85</v>
      </c>
      <c r="AW32" s="9" t="s">
        <v>85</v>
      </c>
      <c r="AX32" s="9" t="s">
        <v>85</v>
      </c>
      <c r="AY32" s="9" t="s">
        <v>85</v>
      </c>
      <c r="AZ32" s="9" t="s">
        <v>85</v>
      </c>
      <c r="BA32" s="9" t="s">
        <v>85</v>
      </c>
      <c r="BB32" s="9" t="s">
        <v>85</v>
      </c>
      <c r="BC32" s="9" t="s">
        <v>85</v>
      </c>
      <c r="BD32" s="9" t="s">
        <v>85</v>
      </c>
      <c r="BE32" s="9" t="s">
        <v>85</v>
      </c>
      <c r="BF32" s="10" t="s">
        <v>85</v>
      </c>
      <c r="BG32" s="10" t="s">
        <v>85</v>
      </c>
      <c r="BH32" s="9" t="s">
        <v>85</v>
      </c>
      <c r="BI32" s="6"/>
      <c r="BJ32" s="6" t="str">
        <f t="shared" si="1"/>
        <v>8BoN_Fold_Median</v>
      </c>
      <c r="BK32" s="6" t="str">
        <f t="shared" si="2"/>
        <v>10BoN_Fold_Median</v>
      </c>
      <c r="BL32" s="6" t="str">
        <f t="shared" si="3"/>
        <v>12Bo_Fold_Median</v>
      </c>
      <c r="BM32" s="6"/>
      <c r="BN32" s="6">
        <f t="shared" si="4"/>
        <v>8</v>
      </c>
      <c r="BO32" s="6"/>
      <c r="BP32" s="6"/>
      <c r="BQ32" s="24"/>
      <c r="BR32" s="24"/>
      <c r="BS32" s="24"/>
      <c r="BT32" s="24"/>
      <c r="BU32" s="6"/>
      <c r="BV32" s="6"/>
      <c r="BW32" s="6"/>
      <c r="BX32" s="6"/>
    </row>
    <row r="33" ht="15.75" customHeight="1">
      <c r="A33" s="1" t="s">
        <v>127</v>
      </c>
      <c r="B33" s="17">
        <v>500.0</v>
      </c>
      <c r="C33" s="17">
        <v>2.0</v>
      </c>
      <c r="D33" s="9" t="s">
        <v>85</v>
      </c>
      <c r="E33" s="9">
        <v>0.484091</v>
      </c>
      <c r="F33" s="9" t="s">
        <v>85</v>
      </c>
      <c r="G33" s="9" t="s">
        <v>85</v>
      </c>
      <c r="H33" s="30">
        <v>0.484090894</v>
      </c>
      <c r="I33" s="9" t="s">
        <v>85</v>
      </c>
      <c r="J33" s="9" t="s">
        <v>85</v>
      </c>
      <c r="K33" s="9" t="s">
        <v>85</v>
      </c>
      <c r="L33" s="9" t="s">
        <v>85</v>
      </c>
      <c r="M33" s="9" t="s">
        <v>85</v>
      </c>
      <c r="N33" s="9" t="s">
        <v>85</v>
      </c>
      <c r="O33" s="9" t="s">
        <v>85</v>
      </c>
      <c r="P33" s="9" t="s">
        <v>85</v>
      </c>
      <c r="Q33" s="9">
        <v>0.484091</v>
      </c>
      <c r="R33" s="9" t="s">
        <v>85</v>
      </c>
      <c r="S33" s="9" t="s">
        <v>85</v>
      </c>
      <c r="T33" s="9">
        <v>0.484091</v>
      </c>
      <c r="U33" s="9" t="s">
        <v>85</v>
      </c>
      <c r="V33" s="9" t="s">
        <v>85</v>
      </c>
      <c r="W33" s="9" t="s">
        <v>85</v>
      </c>
      <c r="X33" s="9" t="s">
        <v>85</v>
      </c>
      <c r="Y33" s="9" t="s">
        <v>85</v>
      </c>
      <c r="Z33" s="9" t="s">
        <v>85</v>
      </c>
      <c r="AA33" s="9" t="s">
        <v>85</v>
      </c>
      <c r="AB33" s="9" t="s">
        <v>85</v>
      </c>
      <c r="AC33" s="30">
        <v>0.484091</v>
      </c>
      <c r="AD33" s="9" t="s">
        <v>85</v>
      </c>
      <c r="AE33" s="9" t="s">
        <v>85</v>
      </c>
      <c r="AF33" s="30">
        <v>0.484091</v>
      </c>
      <c r="AG33" s="9" t="s">
        <v>85</v>
      </c>
      <c r="AH33" s="9" t="s">
        <v>85</v>
      </c>
      <c r="AI33" s="9" t="s">
        <v>85</v>
      </c>
      <c r="AJ33" s="9" t="s">
        <v>85</v>
      </c>
      <c r="AK33" s="9" t="s">
        <v>85</v>
      </c>
      <c r="AL33" s="9" t="s">
        <v>85</v>
      </c>
      <c r="AM33" s="9" t="s">
        <v>85</v>
      </c>
      <c r="AN33" s="9" t="s">
        <v>85</v>
      </c>
      <c r="AO33" s="9">
        <v>0.484091</v>
      </c>
      <c r="AP33" s="9" t="s">
        <v>85</v>
      </c>
      <c r="AQ33" s="9" t="s">
        <v>85</v>
      </c>
      <c r="AR33" s="30">
        <v>0.484091</v>
      </c>
      <c r="AS33" s="9" t="s">
        <v>85</v>
      </c>
      <c r="AT33" s="9" t="s">
        <v>85</v>
      </c>
      <c r="AU33" s="9" t="s">
        <v>85</v>
      </c>
      <c r="AV33" s="9" t="s">
        <v>85</v>
      </c>
      <c r="AW33" s="9" t="s">
        <v>85</v>
      </c>
      <c r="AX33" s="9" t="s">
        <v>85</v>
      </c>
      <c r="AY33" s="9" t="s">
        <v>85</v>
      </c>
      <c r="AZ33" s="9" t="s">
        <v>85</v>
      </c>
      <c r="BA33" s="9" t="s">
        <v>85</v>
      </c>
      <c r="BB33" s="9" t="s">
        <v>85</v>
      </c>
      <c r="BC33" s="9" t="s">
        <v>85</v>
      </c>
      <c r="BD33" s="9" t="s">
        <v>85</v>
      </c>
      <c r="BE33" s="9" t="s">
        <v>85</v>
      </c>
      <c r="BF33" s="10" t="s">
        <v>85</v>
      </c>
      <c r="BG33" s="10" t="s">
        <v>85</v>
      </c>
      <c r="BH33" s="9" t="s">
        <v>85</v>
      </c>
      <c r="BI33" s="6"/>
      <c r="BJ33" s="6" t="str">
        <f t="shared" si="1"/>
        <v>5Bo_Fold_Median</v>
      </c>
      <c r="BK33" s="6" t="str">
        <f t="shared" si="2"/>
        <v>5Bo_Fold_Median</v>
      </c>
      <c r="BL33" s="6" t="str">
        <f t="shared" si="3"/>
        <v>5Bo_Fold_Median</v>
      </c>
      <c r="BM33" s="6"/>
      <c r="BN33" s="6">
        <f t="shared" si="4"/>
        <v>5</v>
      </c>
      <c r="BO33" s="6"/>
      <c r="BP33" s="6"/>
      <c r="BQ33" s="24"/>
      <c r="BR33" s="24"/>
      <c r="BS33" s="24"/>
      <c r="BT33" s="24"/>
      <c r="BU33" s="6"/>
      <c r="BV33" s="6"/>
      <c r="BW33" s="6"/>
      <c r="BX33" s="6"/>
    </row>
    <row r="34" ht="15.75" customHeight="1">
      <c r="A34" s="14" t="s">
        <v>128</v>
      </c>
      <c r="B34" s="17">
        <v>500.0</v>
      </c>
      <c r="C34" s="17">
        <v>2.0</v>
      </c>
      <c r="D34" s="9" t="s">
        <v>85</v>
      </c>
      <c r="E34" s="9">
        <v>0.504938</v>
      </c>
      <c r="F34" s="9" t="s">
        <v>85</v>
      </c>
      <c r="G34" s="9" t="s">
        <v>85</v>
      </c>
      <c r="H34" s="30">
        <v>0.504938245</v>
      </c>
      <c r="I34" s="9" t="s">
        <v>85</v>
      </c>
      <c r="J34" s="9" t="s">
        <v>85</v>
      </c>
      <c r="K34" s="9" t="s">
        <v>85</v>
      </c>
      <c r="L34" s="9" t="s">
        <v>85</v>
      </c>
      <c r="M34" s="9" t="s">
        <v>85</v>
      </c>
      <c r="N34" s="9" t="s">
        <v>85</v>
      </c>
      <c r="O34" s="9" t="s">
        <v>85</v>
      </c>
      <c r="P34" s="9" t="s">
        <v>85</v>
      </c>
      <c r="Q34" s="9">
        <v>0.504938</v>
      </c>
      <c r="R34" s="9" t="s">
        <v>85</v>
      </c>
      <c r="S34" s="9" t="s">
        <v>85</v>
      </c>
      <c r="T34" s="9">
        <v>0.504938</v>
      </c>
      <c r="U34" s="9" t="s">
        <v>85</v>
      </c>
      <c r="V34" s="9" t="s">
        <v>85</v>
      </c>
      <c r="W34" s="9" t="s">
        <v>85</v>
      </c>
      <c r="X34" s="9" t="s">
        <v>85</v>
      </c>
      <c r="Y34" s="9" t="s">
        <v>85</v>
      </c>
      <c r="Z34" s="9" t="s">
        <v>85</v>
      </c>
      <c r="AA34" s="9" t="s">
        <v>85</v>
      </c>
      <c r="AB34" s="9" t="s">
        <v>85</v>
      </c>
      <c r="AC34" s="30">
        <v>0.504938</v>
      </c>
      <c r="AD34" s="9" t="s">
        <v>85</v>
      </c>
      <c r="AE34" s="9" t="s">
        <v>85</v>
      </c>
      <c r="AF34" s="30">
        <v>0.504938</v>
      </c>
      <c r="AG34" s="9" t="s">
        <v>85</v>
      </c>
      <c r="AH34" s="9" t="s">
        <v>85</v>
      </c>
      <c r="AI34" s="9" t="s">
        <v>85</v>
      </c>
      <c r="AJ34" s="9" t="s">
        <v>85</v>
      </c>
      <c r="AK34" s="9" t="s">
        <v>85</v>
      </c>
      <c r="AL34" s="9" t="s">
        <v>85</v>
      </c>
      <c r="AM34" s="9" t="s">
        <v>85</v>
      </c>
      <c r="AN34" s="9" t="s">
        <v>85</v>
      </c>
      <c r="AO34" s="9">
        <v>0.504938</v>
      </c>
      <c r="AP34" s="9" t="s">
        <v>85</v>
      </c>
      <c r="AQ34" s="9" t="s">
        <v>85</v>
      </c>
      <c r="AR34" s="30">
        <v>0.504938</v>
      </c>
      <c r="AS34" s="9" t="s">
        <v>85</v>
      </c>
      <c r="AT34" s="9" t="s">
        <v>85</v>
      </c>
      <c r="AU34" s="9" t="s">
        <v>85</v>
      </c>
      <c r="AV34" s="9" t="s">
        <v>85</v>
      </c>
      <c r="AW34" s="9" t="s">
        <v>85</v>
      </c>
      <c r="AX34" s="9" t="s">
        <v>85</v>
      </c>
      <c r="AY34" s="9" t="s">
        <v>85</v>
      </c>
      <c r="AZ34" s="9" t="s">
        <v>85</v>
      </c>
      <c r="BA34" s="9" t="s">
        <v>85</v>
      </c>
      <c r="BB34" s="9" t="s">
        <v>85</v>
      </c>
      <c r="BC34" s="9" t="s">
        <v>85</v>
      </c>
      <c r="BD34" s="9" t="s">
        <v>85</v>
      </c>
      <c r="BE34" s="9" t="s">
        <v>85</v>
      </c>
      <c r="BF34" s="10" t="s">
        <v>85</v>
      </c>
      <c r="BG34" s="10" t="s">
        <v>85</v>
      </c>
      <c r="BH34" s="9" t="s">
        <v>85</v>
      </c>
      <c r="BI34" s="6"/>
      <c r="BJ34" s="6" t="str">
        <f t="shared" si="1"/>
        <v>5BoN_Fold_Median</v>
      </c>
      <c r="BK34" s="6" t="str">
        <f t="shared" si="2"/>
        <v>5Bo_Fold_Median</v>
      </c>
      <c r="BL34" s="6" t="str">
        <f t="shared" si="3"/>
        <v>5Bo_Fold_Median</v>
      </c>
      <c r="BM34" s="6"/>
      <c r="BN34" s="6">
        <f t="shared" si="4"/>
        <v>5</v>
      </c>
      <c r="BO34" s="6"/>
      <c r="BP34" s="6"/>
      <c r="BQ34" s="24"/>
      <c r="BR34" s="24"/>
      <c r="BS34" s="24"/>
      <c r="BT34" s="24"/>
      <c r="BU34" s="6"/>
      <c r="BV34" s="6"/>
      <c r="BW34" s="6"/>
      <c r="BX34" s="6"/>
    </row>
    <row r="35" ht="15.75" customHeight="1">
      <c r="A35" s="1" t="s">
        <v>129</v>
      </c>
      <c r="B35" s="17">
        <v>301.0</v>
      </c>
      <c r="C35" s="17">
        <v>2.0</v>
      </c>
      <c r="D35" s="9" t="s">
        <v>85</v>
      </c>
      <c r="E35" s="9">
        <v>0.967018</v>
      </c>
      <c r="F35" s="9" t="s">
        <v>85</v>
      </c>
      <c r="G35" s="9" t="s">
        <v>85</v>
      </c>
      <c r="H35" s="30">
        <v>0.968070149</v>
      </c>
      <c r="I35" s="9" t="s">
        <v>85</v>
      </c>
      <c r="J35" s="9" t="s">
        <v>85</v>
      </c>
      <c r="K35" s="9" t="s">
        <v>85</v>
      </c>
      <c r="L35" s="9" t="s">
        <v>85</v>
      </c>
      <c r="M35" s="9" t="s">
        <v>85</v>
      </c>
      <c r="N35" s="9" t="s">
        <v>85</v>
      </c>
      <c r="O35" s="9" t="s">
        <v>85</v>
      </c>
      <c r="P35" s="9" t="s">
        <v>85</v>
      </c>
      <c r="Q35" s="9">
        <v>0.968421</v>
      </c>
      <c r="R35" s="9" t="s">
        <v>85</v>
      </c>
      <c r="S35" s="9" t="s">
        <v>85</v>
      </c>
      <c r="T35" s="9">
        <v>0.971228</v>
      </c>
      <c r="U35" s="9" t="s">
        <v>85</v>
      </c>
      <c r="V35" s="9" t="s">
        <v>85</v>
      </c>
      <c r="W35" s="9" t="s">
        <v>85</v>
      </c>
      <c r="X35" s="9" t="s">
        <v>85</v>
      </c>
      <c r="Y35" s="9" t="s">
        <v>85</v>
      </c>
      <c r="Z35" s="9" t="s">
        <v>85</v>
      </c>
      <c r="AA35" s="9" t="s">
        <v>85</v>
      </c>
      <c r="AB35" s="9" t="s">
        <v>85</v>
      </c>
      <c r="AC35" s="30">
        <v>0.973333</v>
      </c>
      <c r="AD35" s="9" t="s">
        <v>85</v>
      </c>
      <c r="AE35" s="9" t="s">
        <v>85</v>
      </c>
      <c r="AF35" s="30">
        <v>0.970877</v>
      </c>
      <c r="AG35" s="9" t="s">
        <v>85</v>
      </c>
      <c r="AH35" s="9" t="s">
        <v>85</v>
      </c>
      <c r="AI35" s="9" t="s">
        <v>85</v>
      </c>
      <c r="AJ35" s="9" t="s">
        <v>85</v>
      </c>
      <c r="AK35" s="9" t="s">
        <v>85</v>
      </c>
      <c r="AL35" s="9" t="s">
        <v>85</v>
      </c>
      <c r="AM35" s="9" t="s">
        <v>85</v>
      </c>
      <c r="AN35" s="9" t="s">
        <v>85</v>
      </c>
      <c r="AO35" s="9">
        <v>0.970175</v>
      </c>
      <c r="AP35" s="9" t="s">
        <v>85</v>
      </c>
      <c r="AQ35" s="9" t="s">
        <v>85</v>
      </c>
      <c r="AR35" s="30">
        <v>0.970175</v>
      </c>
      <c r="AS35" s="9" t="s">
        <v>85</v>
      </c>
      <c r="AT35" s="9" t="s">
        <v>85</v>
      </c>
      <c r="AU35" s="9" t="s">
        <v>85</v>
      </c>
      <c r="AV35" s="9" t="s">
        <v>85</v>
      </c>
      <c r="AW35" s="9" t="s">
        <v>85</v>
      </c>
      <c r="AX35" s="9" t="s">
        <v>85</v>
      </c>
      <c r="AY35" s="9" t="s">
        <v>85</v>
      </c>
      <c r="AZ35" s="9" t="s">
        <v>85</v>
      </c>
      <c r="BA35" s="9" t="s">
        <v>85</v>
      </c>
      <c r="BB35" s="9" t="s">
        <v>85</v>
      </c>
      <c r="BC35" s="9" t="s">
        <v>85</v>
      </c>
      <c r="BD35" s="9" t="s">
        <v>85</v>
      </c>
      <c r="BE35" s="9" t="s">
        <v>85</v>
      </c>
      <c r="BF35" s="10" t="s">
        <v>85</v>
      </c>
      <c r="BG35" s="10" t="s">
        <v>85</v>
      </c>
      <c r="BH35" s="9" t="s">
        <v>85</v>
      </c>
      <c r="BI35" s="6"/>
      <c r="BJ35" s="6" t="str">
        <f t="shared" si="1"/>
        <v>10Bo_Fold_Median</v>
      </c>
      <c r="BK35" s="6" t="str">
        <f t="shared" si="2"/>
        <v>8BoN_Fold_Median</v>
      </c>
      <c r="BL35" s="6" t="str">
        <f t="shared" si="3"/>
        <v>10BoN_Fold_Median</v>
      </c>
      <c r="BM35" s="6"/>
      <c r="BN35" s="6">
        <f t="shared" si="4"/>
        <v>10</v>
      </c>
      <c r="BO35" s="6"/>
      <c r="BP35" s="6"/>
      <c r="BQ35" s="24"/>
      <c r="BR35" s="24"/>
      <c r="BS35" s="24"/>
      <c r="BT35" s="24"/>
      <c r="BU35" s="6"/>
      <c r="BV35" s="6"/>
      <c r="BW35" s="6"/>
      <c r="BX35" s="6"/>
    </row>
    <row r="36" ht="15.75" customHeight="1">
      <c r="A36" s="1" t="s">
        <v>130</v>
      </c>
      <c r="B36" s="17">
        <v>301.0</v>
      </c>
      <c r="C36" s="17">
        <v>2.0</v>
      </c>
      <c r="D36" s="9" t="s">
        <v>85</v>
      </c>
      <c r="E36" s="9">
        <v>0.962807</v>
      </c>
      <c r="F36" s="9" t="s">
        <v>85</v>
      </c>
      <c r="G36" s="9" t="s">
        <v>85</v>
      </c>
      <c r="H36" s="30">
        <v>0.958947361</v>
      </c>
      <c r="I36" s="9" t="s">
        <v>85</v>
      </c>
      <c r="J36" s="9" t="s">
        <v>85</v>
      </c>
      <c r="K36" s="9" t="s">
        <v>85</v>
      </c>
      <c r="L36" s="9" t="s">
        <v>85</v>
      </c>
      <c r="M36" s="9" t="s">
        <v>85</v>
      </c>
      <c r="N36" s="9" t="s">
        <v>85</v>
      </c>
      <c r="O36" s="9" t="s">
        <v>85</v>
      </c>
      <c r="P36" s="9" t="s">
        <v>85</v>
      </c>
      <c r="Q36" s="9">
        <v>0.950175</v>
      </c>
      <c r="R36" s="9" t="s">
        <v>85</v>
      </c>
      <c r="S36" s="9" t="s">
        <v>85</v>
      </c>
      <c r="T36" s="9">
        <v>0.949825</v>
      </c>
      <c r="U36" s="9" t="s">
        <v>85</v>
      </c>
      <c r="V36" s="9" t="s">
        <v>85</v>
      </c>
      <c r="W36" s="9" t="s">
        <v>85</v>
      </c>
      <c r="X36" s="9" t="s">
        <v>85</v>
      </c>
      <c r="Y36" s="9" t="s">
        <v>85</v>
      </c>
      <c r="Z36" s="9" t="s">
        <v>85</v>
      </c>
      <c r="AA36" s="9" t="s">
        <v>85</v>
      </c>
      <c r="AB36" s="9" t="s">
        <v>85</v>
      </c>
      <c r="AC36" s="31" t="s">
        <v>85</v>
      </c>
      <c r="AD36" s="9" t="s">
        <v>85</v>
      </c>
      <c r="AE36" s="9" t="s">
        <v>85</v>
      </c>
      <c r="AF36" s="30">
        <v>0.966316</v>
      </c>
      <c r="AG36" s="9" t="s">
        <v>85</v>
      </c>
      <c r="AH36" s="9" t="s">
        <v>85</v>
      </c>
      <c r="AI36" s="9" t="s">
        <v>85</v>
      </c>
      <c r="AJ36" s="9" t="s">
        <v>85</v>
      </c>
      <c r="AK36" s="9" t="s">
        <v>85</v>
      </c>
      <c r="AL36" s="9" t="s">
        <v>85</v>
      </c>
      <c r="AM36" s="9" t="s">
        <v>85</v>
      </c>
      <c r="AN36" s="9" t="s">
        <v>85</v>
      </c>
      <c r="AO36" s="9">
        <v>0.954386</v>
      </c>
      <c r="AP36" s="9" t="s">
        <v>85</v>
      </c>
      <c r="AQ36" s="9" t="s">
        <v>85</v>
      </c>
      <c r="AR36" s="30">
        <v>0.952632</v>
      </c>
      <c r="AS36" s="9" t="s">
        <v>85</v>
      </c>
      <c r="AT36" s="9" t="s">
        <v>85</v>
      </c>
      <c r="AU36" s="9" t="s">
        <v>85</v>
      </c>
      <c r="AV36" s="9" t="s">
        <v>85</v>
      </c>
      <c r="AW36" s="9" t="s">
        <v>85</v>
      </c>
      <c r="AX36" s="9" t="s">
        <v>85</v>
      </c>
      <c r="AY36" s="9" t="s">
        <v>85</v>
      </c>
      <c r="AZ36" s="9" t="s">
        <v>85</v>
      </c>
      <c r="BA36" s="9" t="s">
        <v>85</v>
      </c>
      <c r="BB36" s="9" t="s">
        <v>85</v>
      </c>
      <c r="BC36" s="9" t="s">
        <v>85</v>
      </c>
      <c r="BD36" s="9" t="s">
        <v>85</v>
      </c>
      <c r="BE36" s="9" t="s">
        <v>85</v>
      </c>
      <c r="BF36" s="10" t="s">
        <v>85</v>
      </c>
      <c r="BG36" s="10" t="s">
        <v>85</v>
      </c>
      <c r="BH36" s="9" t="s">
        <v>85</v>
      </c>
      <c r="BI36" s="6"/>
      <c r="BJ36" s="6" t="str">
        <f t="shared" si="1"/>
        <v>10BoN_Fold_Median</v>
      </c>
      <c r="BK36" s="6" t="str">
        <f t="shared" si="2"/>
        <v>5Bo_Fold_Median</v>
      </c>
      <c r="BL36" s="6" t="str">
        <f t="shared" si="3"/>
        <v>5BoN_Fold_Median</v>
      </c>
      <c r="BM36" s="6"/>
      <c r="BN36" s="6">
        <f t="shared" si="4"/>
        <v>10</v>
      </c>
      <c r="BO36" s="6"/>
      <c r="BP36" s="6"/>
      <c r="BQ36" s="24"/>
      <c r="BR36" s="24"/>
      <c r="BS36" s="24"/>
      <c r="BT36" s="24"/>
      <c r="BU36" s="6"/>
      <c r="BV36" s="6"/>
      <c r="BW36" s="6"/>
      <c r="BX36" s="6"/>
    </row>
    <row r="37" ht="15.75" customHeight="1">
      <c r="A37" s="1" t="s">
        <v>131</v>
      </c>
      <c r="B37" s="17">
        <v>150.0</v>
      </c>
      <c r="C37" s="17">
        <v>2.0</v>
      </c>
      <c r="D37" s="9" t="s">
        <v>85</v>
      </c>
      <c r="E37" s="9">
        <v>0.906667</v>
      </c>
      <c r="F37" s="9" t="s">
        <v>85</v>
      </c>
      <c r="G37" s="9" t="s">
        <v>85</v>
      </c>
      <c r="H37" s="30">
        <v>0.913333356</v>
      </c>
      <c r="I37" s="9" t="s">
        <v>85</v>
      </c>
      <c r="J37" s="9" t="s">
        <v>85</v>
      </c>
      <c r="K37" s="9" t="s">
        <v>85</v>
      </c>
      <c r="L37" s="9" t="s">
        <v>85</v>
      </c>
      <c r="M37" s="9" t="s">
        <v>85</v>
      </c>
      <c r="N37" s="9" t="s">
        <v>85</v>
      </c>
      <c r="O37" s="9" t="s">
        <v>85</v>
      </c>
      <c r="P37" s="9" t="s">
        <v>85</v>
      </c>
      <c r="Q37" s="9">
        <v>0.946667</v>
      </c>
      <c r="R37" s="9" t="s">
        <v>85</v>
      </c>
      <c r="S37" s="9" t="s">
        <v>85</v>
      </c>
      <c r="T37" s="9">
        <v>0.94</v>
      </c>
      <c r="U37" s="9" t="s">
        <v>85</v>
      </c>
      <c r="V37" s="9" t="s">
        <v>85</v>
      </c>
      <c r="W37" s="9" t="s">
        <v>85</v>
      </c>
      <c r="X37" s="9" t="s">
        <v>85</v>
      </c>
      <c r="Y37" s="9" t="s">
        <v>85</v>
      </c>
      <c r="Z37" s="9" t="s">
        <v>85</v>
      </c>
      <c r="AA37" s="9" t="s">
        <v>85</v>
      </c>
      <c r="AB37" s="9" t="s">
        <v>85</v>
      </c>
      <c r="AC37" s="30">
        <v>0.933333</v>
      </c>
      <c r="AD37" s="9" t="s">
        <v>85</v>
      </c>
      <c r="AE37" s="9" t="s">
        <v>85</v>
      </c>
      <c r="AF37" s="30">
        <v>0.92</v>
      </c>
      <c r="AG37" s="9" t="s">
        <v>85</v>
      </c>
      <c r="AH37" s="9" t="s">
        <v>85</v>
      </c>
      <c r="AI37" s="9" t="s">
        <v>85</v>
      </c>
      <c r="AJ37" s="9" t="s">
        <v>85</v>
      </c>
      <c r="AK37" s="9" t="s">
        <v>85</v>
      </c>
      <c r="AL37" s="9" t="s">
        <v>85</v>
      </c>
      <c r="AM37" s="9" t="s">
        <v>85</v>
      </c>
      <c r="AN37" s="9" t="s">
        <v>85</v>
      </c>
      <c r="AO37" s="9">
        <v>0.953333</v>
      </c>
      <c r="AP37" s="9" t="s">
        <v>85</v>
      </c>
      <c r="AQ37" s="9" t="s">
        <v>85</v>
      </c>
      <c r="AR37" s="30">
        <v>0.94</v>
      </c>
      <c r="AS37" s="9" t="s">
        <v>85</v>
      </c>
      <c r="AT37" s="9" t="s">
        <v>85</v>
      </c>
      <c r="AU37" s="9" t="s">
        <v>85</v>
      </c>
      <c r="AV37" s="9" t="s">
        <v>85</v>
      </c>
      <c r="AW37" s="9" t="s">
        <v>85</v>
      </c>
      <c r="AX37" s="9" t="s">
        <v>85</v>
      </c>
      <c r="AY37" s="9" t="s">
        <v>85</v>
      </c>
      <c r="AZ37" s="9" t="s">
        <v>85</v>
      </c>
      <c r="BA37" s="9" t="s">
        <v>85</v>
      </c>
      <c r="BB37" s="9" t="s">
        <v>85</v>
      </c>
      <c r="BC37" s="9" t="s">
        <v>85</v>
      </c>
      <c r="BD37" s="9" t="s">
        <v>85</v>
      </c>
      <c r="BE37" s="9" t="s">
        <v>85</v>
      </c>
      <c r="BF37" s="10" t="s">
        <v>85</v>
      </c>
      <c r="BG37" s="10" t="s">
        <v>85</v>
      </c>
      <c r="BH37" s="9" t="s">
        <v>85</v>
      </c>
      <c r="BI37" s="6"/>
      <c r="BJ37" s="6" t="str">
        <f t="shared" si="1"/>
        <v>12Bo_Fold_Median</v>
      </c>
      <c r="BK37" s="6" t="str">
        <f t="shared" si="2"/>
        <v>8Bo_Fold_Median</v>
      </c>
      <c r="BL37" s="6" t="str">
        <f t="shared" si="3"/>
        <v>8BoN_Fold_Median</v>
      </c>
      <c r="BM37" s="6"/>
      <c r="BN37" s="6">
        <f t="shared" si="4"/>
        <v>12</v>
      </c>
      <c r="BO37" s="6"/>
      <c r="BP37" s="6"/>
      <c r="BQ37" s="24"/>
      <c r="BR37" s="24"/>
      <c r="BS37" s="24"/>
      <c r="BT37" s="24"/>
      <c r="BU37" s="6"/>
      <c r="BV37" s="6"/>
      <c r="BW37" s="6"/>
      <c r="BX37" s="6"/>
    </row>
    <row r="38" ht="15.75" customHeight="1">
      <c r="A38" s="1" t="s">
        <v>132</v>
      </c>
      <c r="B38" s="17">
        <v>150.0</v>
      </c>
      <c r="C38" s="17">
        <v>2.0</v>
      </c>
      <c r="D38" s="9" t="s">
        <v>85</v>
      </c>
      <c r="E38" s="9">
        <v>0.955696</v>
      </c>
      <c r="F38" s="9" t="s">
        <v>85</v>
      </c>
      <c r="G38" s="9" t="s">
        <v>85</v>
      </c>
      <c r="H38" s="30">
        <v>0.946202517</v>
      </c>
      <c r="I38" s="9" t="s">
        <v>85</v>
      </c>
      <c r="J38" s="9" t="s">
        <v>85</v>
      </c>
      <c r="K38" s="9" t="s">
        <v>85</v>
      </c>
      <c r="L38" s="9" t="s">
        <v>85</v>
      </c>
      <c r="M38" s="9" t="s">
        <v>85</v>
      </c>
      <c r="N38" s="9" t="s">
        <v>85</v>
      </c>
      <c r="O38" s="9" t="s">
        <v>85</v>
      </c>
      <c r="P38" s="9" t="s">
        <v>85</v>
      </c>
      <c r="Q38" s="9">
        <v>0.946203</v>
      </c>
      <c r="R38" s="9" t="s">
        <v>85</v>
      </c>
      <c r="S38" s="9" t="s">
        <v>85</v>
      </c>
      <c r="T38" s="9">
        <v>0.955696</v>
      </c>
      <c r="U38" s="9" t="s">
        <v>85</v>
      </c>
      <c r="V38" s="9" t="s">
        <v>85</v>
      </c>
      <c r="W38" s="9" t="s">
        <v>85</v>
      </c>
      <c r="X38" s="9" t="s">
        <v>85</v>
      </c>
      <c r="Y38" s="9" t="s">
        <v>85</v>
      </c>
      <c r="Z38" s="9" t="s">
        <v>85</v>
      </c>
      <c r="AA38" s="9" t="s">
        <v>85</v>
      </c>
      <c r="AB38" s="9" t="s">
        <v>85</v>
      </c>
      <c r="AC38" s="30">
        <v>0.936709</v>
      </c>
      <c r="AD38" s="9" t="s">
        <v>85</v>
      </c>
      <c r="AE38" s="9" t="s">
        <v>85</v>
      </c>
      <c r="AF38" s="30">
        <v>0.939873</v>
      </c>
      <c r="AG38" s="9" t="s">
        <v>85</v>
      </c>
      <c r="AH38" s="9" t="s">
        <v>85</v>
      </c>
      <c r="AI38" s="9" t="s">
        <v>85</v>
      </c>
      <c r="AJ38" s="9" t="s">
        <v>85</v>
      </c>
      <c r="AK38" s="9" t="s">
        <v>85</v>
      </c>
      <c r="AL38" s="9" t="s">
        <v>85</v>
      </c>
      <c r="AM38" s="9" t="s">
        <v>85</v>
      </c>
      <c r="AN38" s="9" t="s">
        <v>85</v>
      </c>
      <c r="AO38" s="9">
        <v>0.93038</v>
      </c>
      <c r="AP38" s="9" t="s">
        <v>85</v>
      </c>
      <c r="AQ38" s="9" t="s">
        <v>85</v>
      </c>
      <c r="AR38" s="30">
        <v>0.93038</v>
      </c>
      <c r="AS38" s="9" t="s">
        <v>85</v>
      </c>
      <c r="AT38" s="9" t="s">
        <v>85</v>
      </c>
      <c r="AU38" s="9" t="s">
        <v>85</v>
      </c>
      <c r="AV38" s="9" t="s">
        <v>85</v>
      </c>
      <c r="AW38" s="9" t="s">
        <v>85</v>
      </c>
      <c r="AX38" s="9" t="s">
        <v>85</v>
      </c>
      <c r="AY38" s="9" t="s">
        <v>85</v>
      </c>
      <c r="AZ38" s="9" t="s">
        <v>85</v>
      </c>
      <c r="BA38" s="9" t="s">
        <v>85</v>
      </c>
      <c r="BB38" s="9" t="s">
        <v>85</v>
      </c>
      <c r="BC38" s="9" t="s">
        <v>85</v>
      </c>
      <c r="BD38" s="9" t="s">
        <v>85</v>
      </c>
      <c r="BE38" s="9" t="s">
        <v>85</v>
      </c>
      <c r="BF38" s="10" t="s">
        <v>85</v>
      </c>
      <c r="BG38" s="10" t="s">
        <v>85</v>
      </c>
      <c r="BH38" s="9" t="s">
        <v>85</v>
      </c>
      <c r="BI38" s="6"/>
      <c r="BJ38" s="6" t="str">
        <f t="shared" si="1"/>
        <v>5Bo_Fold_Median</v>
      </c>
      <c r="BK38" s="6" t="str">
        <f t="shared" si="2"/>
        <v>5Bo_Fold_Median</v>
      </c>
      <c r="BL38" s="6" t="str">
        <f t="shared" si="3"/>
        <v>8Bo_Fold_Median</v>
      </c>
      <c r="BM38" s="6"/>
      <c r="BN38" s="6">
        <f t="shared" si="4"/>
        <v>5</v>
      </c>
      <c r="BO38" s="6"/>
      <c r="BP38" s="6"/>
      <c r="BQ38" s="6"/>
      <c r="BR38" s="6"/>
      <c r="BS38" s="6"/>
      <c r="BT38" s="6"/>
      <c r="BU38" s="6"/>
      <c r="BV38" s="6"/>
      <c r="BW38" s="6"/>
      <c r="BX38" s="6"/>
    </row>
    <row r="39" ht="15.75" customHeight="1">
      <c r="A39" s="1" t="s">
        <v>133</v>
      </c>
      <c r="B39" s="17">
        <v>150.0</v>
      </c>
      <c r="C39" s="17">
        <v>2.0</v>
      </c>
      <c r="D39" s="9" t="s">
        <v>85</v>
      </c>
      <c r="E39" s="9">
        <v>0.96519</v>
      </c>
      <c r="F39" s="9" t="s">
        <v>85</v>
      </c>
      <c r="G39" s="9" t="s">
        <v>85</v>
      </c>
      <c r="H39" s="30">
        <v>0.958860755</v>
      </c>
      <c r="I39" s="9" t="s">
        <v>85</v>
      </c>
      <c r="J39" s="9" t="s">
        <v>85</v>
      </c>
      <c r="K39" s="9" t="s">
        <v>85</v>
      </c>
      <c r="L39" s="9" t="s">
        <v>85</v>
      </c>
      <c r="M39" s="9" t="s">
        <v>85</v>
      </c>
      <c r="N39" s="9" t="s">
        <v>85</v>
      </c>
      <c r="O39" s="9" t="s">
        <v>85</v>
      </c>
      <c r="P39" s="9" t="s">
        <v>85</v>
      </c>
      <c r="Q39" s="9">
        <v>0.977848</v>
      </c>
      <c r="R39" s="9" t="s">
        <v>85</v>
      </c>
      <c r="S39" s="9" t="s">
        <v>85</v>
      </c>
      <c r="T39" s="9">
        <v>0.974684</v>
      </c>
      <c r="U39" s="9" t="s">
        <v>85</v>
      </c>
      <c r="V39" s="9" t="s">
        <v>85</v>
      </c>
      <c r="W39" s="9" t="s">
        <v>85</v>
      </c>
      <c r="X39" s="9" t="s">
        <v>85</v>
      </c>
      <c r="Y39" s="9" t="s">
        <v>85</v>
      </c>
      <c r="Z39" s="9" t="s">
        <v>85</v>
      </c>
      <c r="AA39" s="9" t="s">
        <v>85</v>
      </c>
      <c r="AB39" s="9" t="s">
        <v>85</v>
      </c>
      <c r="AC39" s="30">
        <v>0.987342</v>
      </c>
      <c r="AD39" s="9" t="s">
        <v>85</v>
      </c>
      <c r="AE39" s="9" t="s">
        <v>85</v>
      </c>
      <c r="AF39" s="30">
        <v>0.981013</v>
      </c>
      <c r="AG39" s="9" t="s">
        <v>85</v>
      </c>
      <c r="AH39" s="9" t="s">
        <v>85</v>
      </c>
      <c r="AI39" s="9" t="s">
        <v>85</v>
      </c>
      <c r="AJ39" s="9" t="s">
        <v>85</v>
      </c>
      <c r="AK39" s="9" t="s">
        <v>85</v>
      </c>
      <c r="AL39" s="9" t="s">
        <v>85</v>
      </c>
      <c r="AM39" s="9" t="s">
        <v>85</v>
      </c>
      <c r="AN39" s="9" t="s">
        <v>85</v>
      </c>
      <c r="AO39" s="9">
        <v>0.96519</v>
      </c>
      <c r="AP39" s="9" t="s">
        <v>85</v>
      </c>
      <c r="AQ39" s="9" t="s">
        <v>85</v>
      </c>
      <c r="AR39" s="30">
        <v>0.968354</v>
      </c>
      <c r="AS39" s="9" t="s">
        <v>85</v>
      </c>
      <c r="AT39" s="9" t="s">
        <v>85</v>
      </c>
      <c r="AU39" s="9" t="s">
        <v>85</v>
      </c>
      <c r="AV39" s="9" t="s">
        <v>85</v>
      </c>
      <c r="AW39" s="9" t="s">
        <v>85</v>
      </c>
      <c r="AX39" s="9" t="s">
        <v>85</v>
      </c>
      <c r="AY39" s="9" t="s">
        <v>85</v>
      </c>
      <c r="AZ39" s="9" t="s">
        <v>85</v>
      </c>
      <c r="BA39" s="9" t="s">
        <v>85</v>
      </c>
      <c r="BB39" s="9" t="s">
        <v>85</v>
      </c>
      <c r="BC39" s="9" t="s">
        <v>85</v>
      </c>
      <c r="BD39" s="9" t="s">
        <v>85</v>
      </c>
      <c r="BE39" s="9" t="s">
        <v>85</v>
      </c>
      <c r="BF39" s="10" t="s">
        <v>85</v>
      </c>
      <c r="BG39" s="10" t="s">
        <v>85</v>
      </c>
      <c r="BH39" s="9" t="s">
        <v>85</v>
      </c>
      <c r="BI39" s="6"/>
      <c r="BJ39" s="6" t="str">
        <f t="shared" si="1"/>
        <v>10Bo_Fold_Median</v>
      </c>
      <c r="BK39" s="6" t="str">
        <f t="shared" si="2"/>
        <v>10BoN_Fold_Median</v>
      </c>
      <c r="BL39" s="6" t="str">
        <f t="shared" si="3"/>
        <v>8Bo_Fold_Median</v>
      </c>
      <c r="BM39" s="6"/>
      <c r="BN39" s="6">
        <f t="shared" si="4"/>
        <v>10</v>
      </c>
      <c r="BO39" s="6"/>
      <c r="BP39" s="6"/>
      <c r="BQ39" s="6"/>
      <c r="BR39" s="6"/>
      <c r="BS39" s="6"/>
      <c r="BT39" s="6"/>
      <c r="BU39" s="6"/>
      <c r="BV39" s="6"/>
      <c r="BW39" s="6"/>
      <c r="BX39" s="6"/>
    </row>
    <row r="40" ht="15.75" customHeight="1">
      <c r="A40" s="1" t="s">
        <v>134</v>
      </c>
      <c r="B40" s="17">
        <v>150.0</v>
      </c>
      <c r="C40" s="17">
        <v>2.0</v>
      </c>
      <c r="D40" s="9" t="s">
        <v>85</v>
      </c>
      <c r="E40" s="9">
        <v>0.968254</v>
      </c>
      <c r="F40" s="9" t="s">
        <v>85</v>
      </c>
      <c r="G40" s="9" t="s">
        <v>85</v>
      </c>
      <c r="H40" s="30">
        <v>0.965079367</v>
      </c>
      <c r="I40" s="9" t="s">
        <v>85</v>
      </c>
      <c r="J40" s="9" t="s">
        <v>85</v>
      </c>
      <c r="K40" s="9" t="s">
        <v>85</v>
      </c>
      <c r="L40" s="9" t="s">
        <v>85</v>
      </c>
      <c r="M40" s="9" t="s">
        <v>85</v>
      </c>
      <c r="N40" s="9" t="s">
        <v>85</v>
      </c>
      <c r="O40" s="9" t="s">
        <v>85</v>
      </c>
      <c r="P40" s="9" t="s">
        <v>85</v>
      </c>
      <c r="Q40" s="9">
        <v>0.936508</v>
      </c>
      <c r="R40" s="9" t="s">
        <v>85</v>
      </c>
      <c r="S40" s="9" t="s">
        <v>85</v>
      </c>
      <c r="T40" s="9">
        <v>0.936508</v>
      </c>
      <c r="U40" s="9" t="s">
        <v>85</v>
      </c>
      <c r="V40" s="9" t="s">
        <v>85</v>
      </c>
      <c r="W40" s="9" t="s">
        <v>85</v>
      </c>
      <c r="X40" s="9" t="s">
        <v>85</v>
      </c>
      <c r="Y40" s="9" t="s">
        <v>85</v>
      </c>
      <c r="Z40" s="9" t="s">
        <v>85</v>
      </c>
      <c r="AA40" s="9" t="s">
        <v>85</v>
      </c>
      <c r="AB40" s="9" t="s">
        <v>85</v>
      </c>
      <c r="AC40" s="30">
        <v>0.949206</v>
      </c>
      <c r="AD40" s="9" t="s">
        <v>85</v>
      </c>
      <c r="AE40" s="9" t="s">
        <v>85</v>
      </c>
      <c r="AF40" s="30">
        <v>0.952381</v>
      </c>
      <c r="AG40" s="9" t="s">
        <v>85</v>
      </c>
      <c r="AH40" s="9" t="s">
        <v>85</v>
      </c>
      <c r="AI40" s="9" t="s">
        <v>85</v>
      </c>
      <c r="AJ40" s="9" t="s">
        <v>85</v>
      </c>
      <c r="AK40" s="9" t="s">
        <v>85</v>
      </c>
      <c r="AL40" s="9" t="s">
        <v>85</v>
      </c>
      <c r="AM40" s="9" t="s">
        <v>85</v>
      </c>
      <c r="AN40" s="9" t="s">
        <v>85</v>
      </c>
      <c r="AO40" s="9">
        <v>0.95873</v>
      </c>
      <c r="AP40" s="9" t="s">
        <v>85</v>
      </c>
      <c r="AQ40" s="9" t="s">
        <v>85</v>
      </c>
      <c r="AR40" s="30">
        <v>0.946032</v>
      </c>
      <c r="AS40" s="9" t="s">
        <v>85</v>
      </c>
      <c r="AT40" s="9" t="s">
        <v>85</v>
      </c>
      <c r="AU40" s="9" t="s">
        <v>85</v>
      </c>
      <c r="AV40" s="9" t="s">
        <v>85</v>
      </c>
      <c r="AW40" s="9" t="s">
        <v>85</v>
      </c>
      <c r="AX40" s="9" t="s">
        <v>85</v>
      </c>
      <c r="AY40" s="9" t="s">
        <v>85</v>
      </c>
      <c r="AZ40" s="9" t="s">
        <v>85</v>
      </c>
      <c r="BA40" s="9" t="s">
        <v>85</v>
      </c>
      <c r="BB40" s="9" t="s">
        <v>85</v>
      </c>
      <c r="BC40" s="9" t="s">
        <v>85</v>
      </c>
      <c r="BD40" s="9" t="s">
        <v>85</v>
      </c>
      <c r="BE40" s="9" t="s">
        <v>85</v>
      </c>
      <c r="BF40" s="10" t="s">
        <v>85</v>
      </c>
      <c r="BG40" s="10" t="s">
        <v>85</v>
      </c>
      <c r="BH40" s="9" t="s">
        <v>85</v>
      </c>
      <c r="BI40" s="6"/>
      <c r="BJ40" s="6" t="str">
        <f t="shared" si="1"/>
        <v>5Bo_Fold_Median</v>
      </c>
      <c r="BK40" s="6" t="str">
        <f t="shared" si="2"/>
        <v>5BoN_Fold_Median</v>
      </c>
      <c r="BL40" s="6" t="str">
        <f t="shared" si="3"/>
        <v>12Bo_Fold_Median</v>
      </c>
      <c r="BM40" s="6"/>
      <c r="BN40" s="6">
        <f t="shared" si="4"/>
        <v>5</v>
      </c>
      <c r="BO40" s="6"/>
      <c r="BP40" s="6"/>
      <c r="BQ40" s="6"/>
      <c r="BR40" s="6"/>
      <c r="BS40" s="6"/>
      <c r="BT40" s="6"/>
      <c r="BU40" s="6"/>
      <c r="BV40" s="6"/>
      <c r="BW40" s="6"/>
      <c r="BX40" s="6"/>
    </row>
    <row r="41" ht="15.75" customHeight="1">
      <c r="A41" s="1" t="s">
        <v>135</v>
      </c>
      <c r="B41" s="17">
        <v>431.0</v>
      </c>
      <c r="C41" s="17">
        <v>2.0</v>
      </c>
      <c r="D41" s="9" t="s">
        <v>85</v>
      </c>
      <c r="E41" s="9">
        <v>0.542857</v>
      </c>
      <c r="F41" s="9" t="s">
        <v>85</v>
      </c>
      <c r="G41" s="9" t="s">
        <v>85</v>
      </c>
      <c r="H41" s="30">
        <v>0.45714286</v>
      </c>
      <c r="I41" s="9" t="s">
        <v>85</v>
      </c>
      <c r="J41" s="9" t="s">
        <v>85</v>
      </c>
      <c r="K41" s="9" t="s">
        <v>85</v>
      </c>
      <c r="L41" s="9" t="s">
        <v>85</v>
      </c>
      <c r="M41" s="9" t="s">
        <v>85</v>
      </c>
      <c r="N41" s="9" t="s">
        <v>85</v>
      </c>
      <c r="O41" s="9" t="s">
        <v>85</v>
      </c>
      <c r="P41" s="9" t="s">
        <v>85</v>
      </c>
      <c r="Q41" s="9">
        <v>0.561905</v>
      </c>
      <c r="R41" s="9" t="s">
        <v>85</v>
      </c>
      <c r="S41" s="9" t="s">
        <v>85</v>
      </c>
      <c r="T41" s="9">
        <v>0.533333</v>
      </c>
      <c r="U41" s="9" t="s">
        <v>85</v>
      </c>
      <c r="V41" s="9" t="s">
        <v>85</v>
      </c>
      <c r="W41" s="9" t="s">
        <v>85</v>
      </c>
      <c r="X41" s="9" t="s">
        <v>85</v>
      </c>
      <c r="Y41" s="9" t="s">
        <v>85</v>
      </c>
      <c r="Z41" s="9" t="s">
        <v>85</v>
      </c>
      <c r="AA41" s="9" t="s">
        <v>85</v>
      </c>
      <c r="AB41" s="9" t="s">
        <v>85</v>
      </c>
      <c r="AC41" s="30">
        <v>0.571429</v>
      </c>
      <c r="AD41" s="9" t="s">
        <v>85</v>
      </c>
      <c r="AE41" s="9" t="s">
        <v>85</v>
      </c>
      <c r="AF41" s="30">
        <v>0.571429</v>
      </c>
      <c r="AG41" s="9" t="s">
        <v>85</v>
      </c>
      <c r="AH41" s="9" t="s">
        <v>85</v>
      </c>
      <c r="AI41" s="9" t="s">
        <v>85</v>
      </c>
      <c r="AJ41" s="9" t="s">
        <v>85</v>
      </c>
      <c r="AK41" s="9" t="s">
        <v>85</v>
      </c>
      <c r="AL41" s="9" t="s">
        <v>85</v>
      </c>
      <c r="AM41" s="9" t="s">
        <v>85</v>
      </c>
      <c r="AN41" s="9" t="s">
        <v>85</v>
      </c>
      <c r="AO41" s="9">
        <v>0.552381</v>
      </c>
      <c r="AP41" s="9" t="s">
        <v>85</v>
      </c>
      <c r="AQ41" s="9" t="s">
        <v>85</v>
      </c>
      <c r="AR41" s="30">
        <v>0.561905</v>
      </c>
      <c r="AS41" s="9" t="s">
        <v>85</v>
      </c>
      <c r="AT41" s="9" t="s">
        <v>85</v>
      </c>
      <c r="AU41" s="9" t="s">
        <v>85</v>
      </c>
      <c r="AV41" s="9" t="s">
        <v>85</v>
      </c>
      <c r="AW41" s="9" t="s">
        <v>85</v>
      </c>
      <c r="AX41" s="9" t="s">
        <v>85</v>
      </c>
      <c r="AY41" s="9" t="s">
        <v>85</v>
      </c>
      <c r="AZ41" s="9" t="s">
        <v>85</v>
      </c>
      <c r="BA41" s="9" t="s">
        <v>85</v>
      </c>
      <c r="BB41" s="9" t="s">
        <v>85</v>
      </c>
      <c r="BC41" s="9" t="s">
        <v>85</v>
      </c>
      <c r="BD41" s="9" t="s">
        <v>85</v>
      </c>
      <c r="BE41" s="9" t="s">
        <v>85</v>
      </c>
      <c r="BF41" s="10" t="s">
        <v>85</v>
      </c>
      <c r="BG41" s="10" t="s">
        <v>85</v>
      </c>
      <c r="BH41" s="9" t="s">
        <v>85</v>
      </c>
      <c r="BI41" s="6"/>
      <c r="BJ41" s="6" t="str">
        <f t="shared" si="1"/>
        <v>10Bo_Fold_Median</v>
      </c>
      <c r="BK41" s="6" t="str">
        <f t="shared" si="2"/>
        <v>10Bo_Fold_Median</v>
      </c>
      <c r="BL41" s="6" t="str">
        <f t="shared" si="3"/>
        <v>8Bo_Fold_Median</v>
      </c>
      <c r="BM41" s="6"/>
      <c r="BN41" s="6">
        <f t="shared" si="4"/>
        <v>10</v>
      </c>
      <c r="BO41" s="6"/>
      <c r="BP41" s="6"/>
      <c r="BQ41" s="6"/>
      <c r="BR41" s="6"/>
      <c r="BS41" s="6"/>
      <c r="BT41" s="6"/>
      <c r="BU41" s="6"/>
      <c r="BV41" s="6"/>
      <c r="BW41" s="6"/>
      <c r="BX41" s="6"/>
    </row>
    <row r="42" ht="15.75" customHeight="1">
      <c r="A42" s="1" t="s">
        <v>136</v>
      </c>
      <c r="B42" s="17">
        <v>1092.0</v>
      </c>
      <c r="C42" s="17">
        <v>5.0</v>
      </c>
      <c r="D42" s="9" t="s">
        <v>85</v>
      </c>
      <c r="E42" s="9">
        <v>0.38961</v>
      </c>
      <c r="F42" s="9" t="s">
        <v>85</v>
      </c>
      <c r="G42" s="9" t="s">
        <v>85</v>
      </c>
      <c r="H42" s="30">
        <v>0.344155848</v>
      </c>
      <c r="I42" s="9" t="s">
        <v>85</v>
      </c>
      <c r="J42" s="9" t="s">
        <v>85</v>
      </c>
      <c r="K42" s="9" t="s">
        <v>85</v>
      </c>
      <c r="L42" s="9" t="s">
        <v>85</v>
      </c>
      <c r="M42" s="9" t="s">
        <v>85</v>
      </c>
      <c r="N42" s="9" t="s">
        <v>85</v>
      </c>
      <c r="O42" s="9" t="s">
        <v>85</v>
      </c>
      <c r="P42" s="9" t="s">
        <v>85</v>
      </c>
      <c r="Q42" s="9">
        <v>0.399351</v>
      </c>
      <c r="R42" s="9" t="s">
        <v>85</v>
      </c>
      <c r="S42" s="9" t="s">
        <v>85</v>
      </c>
      <c r="T42" s="9">
        <v>0.409091</v>
      </c>
      <c r="U42" s="9" t="s">
        <v>85</v>
      </c>
      <c r="V42" s="9" t="s">
        <v>85</v>
      </c>
      <c r="W42" s="9" t="s">
        <v>85</v>
      </c>
      <c r="X42" s="9" t="s">
        <v>85</v>
      </c>
      <c r="Y42" s="9" t="s">
        <v>85</v>
      </c>
      <c r="Z42" s="9" t="s">
        <v>85</v>
      </c>
      <c r="AA42" s="9" t="s">
        <v>85</v>
      </c>
      <c r="AB42" s="9" t="s">
        <v>85</v>
      </c>
      <c r="AC42" s="30">
        <v>0.366883</v>
      </c>
      <c r="AD42" s="9" t="s">
        <v>85</v>
      </c>
      <c r="AE42" s="9" t="s">
        <v>85</v>
      </c>
      <c r="AF42" s="30">
        <v>0.418831</v>
      </c>
      <c r="AG42" s="9" t="s">
        <v>85</v>
      </c>
      <c r="AH42" s="9" t="s">
        <v>85</v>
      </c>
      <c r="AI42" s="9" t="s">
        <v>85</v>
      </c>
      <c r="AJ42" s="9" t="s">
        <v>85</v>
      </c>
      <c r="AK42" s="9" t="s">
        <v>85</v>
      </c>
      <c r="AL42" s="9" t="s">
        <v>85</v>
      </c>
      <c r="AM42" s="9" t="s">
        <v>85</v>
      </c>
      <c r="AN42" s="9" t="s">
        <v>85</v>
      </c>
      <c r="AO42" s="9">
        <v>0.431818</v>
      </c>
      <c r="AP42" s="9" t="s">
        <v>85</v>
      </c>
      <c r="AQ42" s="9" t="s">
        <v>85</v>
      </c>
      <c r="AR42" s="30">
        <v>0.422078</v>
      </c>
      <c r="AS42" s="9" t="s">
        <v>85</v>
      </c>
      <c r="AT42" s="9" t="s">
        <v>85</v>
      </c>
      <c r="AU42" s="9" t="s">
        <v>85</v>
      </c>
      <c r="AV42" s="9" t="s">
        <v>85</v>
      </c>
      <c r="AW42" s="9" t="s">
        <v>85</v>
      </c>
      <c r="AX42" s="9" t="s">
        <v>85</v>
      </c>
      <c r="AY42" s="9" t="s">
        <v>85</v>
      </c>
      <c r="AZ42" s="9" t="s">
        <v>85</v>
      </c>
      <c r="BA42" s="9" t="s">
        <v>85</v>
      </c>
      <c r="BB42" s="9" t="s">
        <v>85</v>
      </c>
      <c r="BC42" s="9" t="s">
        <v>85</v>
      </c>
      <c r="BD42" s="9" t="s">
        <v>85</v>
      </c>
      <c r="BE42" s="9" t="s">
        <v>85</v>
      </c>
      <c r="BF42" s="10" t="s">
        <v>85</v>
      </c>
      <c r="BG42" s="10" t="s">
        <v>85</v>
      </c>
      <c r="BH42" s="9" t="s">
        <v>85</v>
      </c>
      <c r="BI42" s="6"/>
      <c r="BJ42" s="6" t="str">
        <f t="shared" si="1"/>
        <v>12Bo_Fold_Median</v>
      </c>
      <c r="BK42" s="6" t="str">
        <f t="shared" si="2"/>
        <v>12BoN_Fold_Median</v>
      </c>
      <c r="BL42" s="6" t="str">
        <f t="shared" si="3"/>
        <v>10BoN_Fold_Median</v>
      </c>
      <c r="BM42" s="6"/>
      <c r="BN42" s="6">
        <f t="shared" si="4"/>
        <v>12</v>
      </c>
      <c r="BO42" s="6"/>
      <c r="BP42" s="6"/>
      <c r="BQ42" s="6"/>
      <c r="BR42" s="6"/>
      <c r="BS42" s="6"/>
      <c r="BT42" s="6"/>
      <c r="BU42" s="6"/>
      <c r="BV42" s="6"/>
      <c r="BW42" s="6"/>
      <c r="BX42" s="6"/>
    </row>
    <row r="43" ht="15.75" customHeight="1">
      <c r="A43" s="1" t="s">
        <v>137</v>
      </c>
      <c r="B43" s="17">
        <v>512.0</v>
      </c>
      <c r="C43" s="17">
        <v>2.0</v>
      </c>
      <c r="D43" s="9" t="s">
        <v>85</v>
      </c>
      <c r="E43" s="9">
        <v>0.5625</v>
      </c>
      <c r="F43" s="9" t="s">
        <v>85</v>
      </c>
      <c r="G43" s="9" t="s">
        <v>85</v>
      </c>
      <c r="H43" s="30">
        <v>0.59375</v>
      </c>
      <c r="I43" s="9" t="s">
        <v>85</v>
      </c>
      <c r="J43" s="9" t="s">
        <v>85</v>
      </c>
      <c r="K43" s="9" t="s">
        <v>85</v>
      </c>
      <c r="L43" s="9" t="s">
        <v>85</v>
      </c>
      <c r="M43" s="9" t="s">
        <v>85</v>
      </c>
      <c r="N43" s="9" t="s">
        <v>85</v>
      </c>
      <c r="O43" s="9" t="s">
        <v>85</v>
      </c>
      <c r="P43" s="9" t="s">
        <v>85</v>
      </c>
      <c r="Q43" s="9">
        <v>0.546875</v>
      </c>
      <c r="R43" s="9" t="s">
        <v>85</v>
      </c>
      <c r="S43" s="9" t="s">
        <v>85</v>
      </c>
      <c r="T43" s="9">
        <v>0.53125</v>
      </c>
      <c r="U43" s="9" t="s">
        <v>85</v>
      </c>
      <c r="V43" s="9" t="s">
        <v>85</v>
      </c>
      <c r="W43" s="9" t="s">
        <v>85</v>
      </c>
      <c r="X43" s="9" t="s">
        <v>85</v>
      </c>
      <c r="Y43" s="9" t="s">
        <v>85</v>
      </c>
      <c r="Z43" s="9" t="s">
        <v>85</v>
      </c>
      <c r="AA43" s="9" t="s">
        <v>85</v>
      </c>
      <c r="AB43" s="9" t="s">
        <v>85</v>
      </c>
      <c r="AC43" s="30">
        <v>0.578125</v>
      </c>
      <c r="AD43" s="9" t="s">
        <v>85</v>
      </c>
      <c r="AE43" s="9" t="s">
        <v>85</v>
      </c>
      <c r="AF43" s="30">
        <v>0.59375</v>
      </c>
      <c r="AG43" s="9" t="s">
        <v>85</v>
      </c>
      <c r="AH43" s="9" t="s">
        <v>85</v>
      </c>
      <c r="AI43" s="9" t="s">
        <v>85</v>
      </c>
      <c r="AJ43" s="9" t="s">
        <v>85</v>
      </c>
      <c r="AK43" s="9" t="s">
        <v>85</v>
      </c>
      <c r="AL43" s="9" t="s">
        <v>85</v>
      </c>
      <c r="AM43" s="9" t="s">
        <v>85</v>
      </c>
      <c r="AN43" s="9" t="s">
        <v>85</v>
      </c>
      <c r="AO43" s="9">
        <v>0.59375</v>
      </c>
      <c r="AP43" s="9" t="s">
        <v>85</v>
      </c>
      <c r="AQ43" s="9" t="s">
        <v>85</v>
      </c>
      <c r="AR43" s="30">
        <v>0.546875</v>
      </c>
      <c r="AS43" s="9" t="s">
        <v>85</v>
      </c>
      <c r="AT43" s="9" t="s">
        <v>85</v>
      </c>
      <c r="AU43" s="9" t="s">
        <v>85</v>
      </c>
      <c r="AV43" s="9" t="s">
        <v>85</v>
      </c>
      <c r="AW43" s="9" t="s">
        <v>85</v>
      </c>
      <c r="AX43" s="9" t="s">
        <v>85</v>
      </c>
      <c r="AY43" s="9" t="s">
        <v>85</v>
      </c>
      <c r="AZ43" s="9" t="s">
        <v>85</v>
      </c>
      <c r="BA43" s="9" t="s">
        <v>85</v>
      </c>
      <c r="BB43" s="9" t="s">
        <v>85</v>
      </c>
      <c r="BC43" s="9" t="s">
        <v>85</v>
      </c>
      <c r="BD43" s="9" t="s">
        <v>85</v>
      </c>
      <c r="BE43" s="9" t="s">
        <v>85</v>
      </c>
      <c r="BF43" s="10" t="s">
        <v>85</v>
      </c>
      <c r="BG43" s="10" t="s">
        <v>85</v>
      </c>
      <c r="BH43" s="9" t="s">
        <v>85</v>
      </c>
      <c r="BI43" s="6"/>
      <c r="BJ43" s="6" t="str">
        <f t="shared" si="1"/>
        <v>5BoN_Fold_Median</v>
      </c>
      <c r="BK43" s="6" t="str">
        <f t="shared" si="2"/>
        <v>5BoN_Fold_Median</v>
      </c>
      <c r="BL43" s="6" t="str">
        <f t="shared" si="3"/>
        <v>5BoN_Fold_Median</v>
      </c>
      <c r="BM43" s="6"/>
      <c r="BN43" s="6">
        <f t="shared" si="4"/>
        <v>5</v>
      </c>
      <c r="BO43" s="6"/>
      <c r="BP43" s="6"/>
      <c r="BQ43" s="6"/>
      <c r="BR43" s="6"/>
      <c r="BS43" s="6"/>
      <c r="BT43" s="6"/>
      <c r="BU43" s="6"/>
      <c r="BV43" s="6"/>
      <c r="BW43" s="6"/>
      <c r="BX43" s="6"/>
    </row>
    <row r="44" ht="15.75" customHeight="1">
      <c r="A44" s="1" t="s">
        <v>138</v>
      </c>
      <c r="B44" s="17">
        <v>3000.0</v>
      </c>
      <c r="C44" s="17">
        <v>2.0</v>
      </c>
      <c r="D44" s="9" t="s">
        <v>85</v>
      </c>
      <c r="E44" s="9">
        <v>0.798319</v>
      </c>
      <c r="F44" s="9" t="s">
        <v>85</v>
      </c>
      <c r="G44" s="9" t="s">
        <v>85</v>
      </c>
      <c r="H44" s="30">
        <v>0.773109257</v>
      </c>
      <c r="I44" s="9" t="s">
        <v>85</v>
      </c>
      <c r="J44" s="9" t="s">
        <v>85</v>
      </c>
      <c r="K44" s="9" t="s">
        <v>85</v>
      </c>
      <c r="L44" s="9" t="s">
        <v>85</v>
      </c>
      <c r="M44" s="9" t="s">
        <v>85</v>
      </c>
      <c r="N44" s="9" t="s">
        <v>85</v>
      </c>
      <c r="O44" s="9" t="s">
        <v>85</v>
      </c>
      <c r="P44" s="9" t="s">
        <v>85</v>
      </c>
      <c r="Q44" s="9">
        <v>0.806723</v>
      </c>
      <c r="R44" s="9" t="s">
        <v>85</v>
      </c>
      <c r="S44" s="9" t="s">
        <v>85</v>
      </c>
      <c r="T44" s="9">
        <v>0.831933</v>
      </c>
      <c r="U44" s="9" t="s">
        <v>85</v>
      </c>
      <c r="V44" s="9" t="s">
        <v>85</v>
      </c>
      <c r="W44" s="9" t="s">
        <v>85</v>
      </c>
      <c r="X44" s="9" t="s">
        <v>85</v>
      </c>
      <c r="Y44" s="9" t="s">
        <v>85</v>
      </c>
      <c r="Z44" s="9" t="s">
        <v>85</v>
      </c>
      <c r="AA44" s="9" t="s">
        <v>85</v>
      </c>
      <c r="AB44" s="9" t="s">
        <v>85</v>
      </c>
      <c r="AC44" s="30">
        <v>0.831933</v>
      </c>
      <c r="AD44" s="9" t="s">
        <v>85</v>
      </c>
      <c r="AE44" s="9" t="s">
        <v>85</v>
      </c>
      <c r="AF44" s="30">
        <v>0.840336</v>
      </c>
      <c r="AG44" s="9" t="s">
        <v>85</v>
      </c>
      <c r="AH44" s="9" t="s">
        <v>85</v>
      </c>
      <c r="AI44" s="9" t="s">
        <v>85</v>
      </c>
      <c r="AJ44" s="9" t="s">
        <v>85</v>
      </c>
      <c r="AK44" s="9" t="s">
        <v>85</v>
      </c>
      <c r="AL44" s="9" t="s">
        <v>85</v>
      </c>
      <c r="AM44" s="9" t="s">
        <v>85</v>
      </c>
      <c r="AN44" s="9" t="s">
        <v>85</v>
      </c>
      <c r="AO44" s="9">
        <v>0.865546</v>
      </c>
      <c r="AP44" s="9" t="s">
        <v>85</v>
      </c>
      <c r="AQ44" s="9" t="s">
        <v>85</v>
      </c>
      <c r="AR44" s="30">
        <v>0.857143</v>
      </c>
      <c r="AS44" s="9" t="s">
        <v>85</v>
      </c>
      <c r="AT44" s="9" t="s">
        <v>85</v>
      </c>
      <c r="AU44" s="9" t="s">
        <v>85</v>
      </c>
      <c r="AV44" s="9" t="s">
        <v>85</v>
      </c>
      <c r="AW44" s="9" t="s">
        <v>85</v>
      </c>
      <c r="AX44" s="9" t="s">
        <v>85</v>
      </c>
      <c r="AY44" s="9" t="s">
        <v>85</v>
      </c>
      <c r="AZ44" s="9" t="s">
        <v>85</v>
      </c>
      <c r="BA44" s="9" t="s">
        <v>85</v>
      </c>
      <c r="BB44" s="9" t="s">
        <v>85</v>
      </c>
      <c r="BC44" s="9" t="s">
        <v>85</v>
      </c>
      <c r="BD44" s="9" t="s">
        <v>85</v>
      </c>
      <c r="BE44" s="9" t="s">
        <v>85</v>
      </c>
      <c r="BF44" s="10" t="s">
        <v>85</v>
      </c>
      <c r="BG44" s="10" t="s">
        <v>85</v>
      </c>
      <c r="BH44" s="9" t="s">
        <v>85</v>
      </c>
      <c r="BI44" s="6"/>
      <c r="BJ44" s="6" t="str">
        <f t="shared" si="1"/>
        <v>12Bo_Fold_Median</v>
      </c>
      <c r="BK44" s="6" t="str">
        <f t="shared" si="2"/>
        <v>12BoN_Fold_Median</v>
      </c>
      <c r="BL44" s="6" t="str">
        <f t="shared" si="3"/>
        <v>10BoN_Fold_Median</v>
      </c>
      <c r="BM44" s="6"/>
      <c r="BN44" s="6">
        <f t="shared" si="4"/>
        <v>12</v>
      </c>
      <c r="BO44" s="6"/>
      <c r="BP44" s="6"/>
      <c r="BQ44" s="6"/>
      <c r="BR44" s="6"/>
      <c r="BS44" s="6"/>
      <c r="BT44" s="6"/>
      <c r="BU44" s="6"/>
      <c r="BV44" s="6"/>
      <c r="BW44" s="6"/>
      <c r="BX44" s="6"/>
    </row>
    <row r="45" ht="15.75" customHeight="1">
      <c r="A45" s="1" t="s">
        <v>139</v>
      </c>
      <c r="B45" s="17">
        <v>1882.0</v>
      </c>
      <c r="C45" s="17">
        <v>7.0</v>
      </c>
      <c r="D45" s="9" t="s">
        <v>85</v>
      </c>
      <c r="E45" s="9">
        <v>0.303636</v>
      </c>
      <c r="F45" s="9" t="s">
        <v>85</v>
      </c>
      <c r="G45" s="9" t="s">
        <v>85</v>
      </c>
      <c r="H45" s="30">
        <v>0.298181832</v>
      </c>
      <c r="I45" s="9" t="s">
        <v>85</v>
      </c>
      <c r="J45" s="9" t="s">
        <v>85</v>
      </c>
      <c r="K45" s="9" t="s">
        <v>85</v>
      </c>
      <c r="L45" s="9" t="s">
        <v>85</v>
      </c>
      <c r="M45" s="9" t="s">
        <v>85</v>
      </c>
      <c r="N45" s="9" t="s">
        <v>85</v>
      </c>
      <c r="O45" s="9" t="s">
        <v>85</v>
      </c>
      <c r="P45" s="9" t="s">
        <v>85</v>
      </c>
      <c r="Q45" s="9">
        <v>0.289091</v>
      </c>
      <c r="R45" s="9" t="s">
        <v>85</v>
      </c>
      <c r="S45" s="9" t="s">
        <v>85</v>
      </c>
      <c r="T45" s="9">
        <v>0.289091</v>
      </c>
      <c r="U45" s="9" t="s">
        <v>85</v>
      </c>
      <c r="V45" s="9" t="s">
        <v>85</v>
      </c>
      <c r="W45" s="9" t="s">
        <v>85</v>
      </c>
      <c r="X45" s="9" t="s">
        <v>85</v>
      </c>
      <c r="Y45" s="9" t="s">
        <v>85</v>
      </c>
      <c r="Z45" s="9" t="s">
        <v>85</v>
      </c>
      <c r="AA45" s="9" t="s">
        <v>85</v>
      </c>
      <c r="AB45" s="9" t="s">
        <v>85</v>
      </c>
      <c r="AC45" s="30">
        <v>0.283636</v>
      </c>
      <c r="AD45" s="9" t="s">
        <v>85</v>
      </c>
      <c r="AE45" s="9" t="s">
        <v>85</v>
      </c>
      <c r="AF45" s="30">
        <v>0.269091</v>
      </c>
      <c r="AG45" s="9" t="s">
        <v>85</v>
      </c>
      <c r="AH45" s="9" t="s">
        <v>85</v>
      </c>
      <c r="AI45" s="9" t="s">
        <v>85</v>
      </c>
      <c r="AJ45" s="9" t="s">
        <v>85</v>
      </c>
      <c r="AK45" s="9" t="s">
        <v>85</v>
      </c>
      <c r="AL45" s="9" t="s">
        <v>85</v>
      </c>
      <c r="AM45" s="9" t="s">
        <v>85</v>
      </c>
      <c r="AN45" s="9" t="s">
        <v>85</v>
      </c>
      <c r="AO45" s="9">
        <v>0.267273</v>
      </c>
      <c r="AP45" s="9" t="s">
        <v>85</v>
      </c>
      <c r="AQ45" s="9" t="s">
        <v>85</v>
      </c>
      <c r="AR45" s="30">
        <v>0.292727</v>
      </c>
      <c r="AS45" s="9" t="s">
        <v>85</v>
      </c>
      <c r="AT45" s="9" t="s">
        <v>85</v>
      </c>
      <c r="AU45" s="9" t="s">
        <v>85</v>
      </c>
      <c r="AV45" s="9" t="s">
        <v>85</v>
      </c>
      <c r="AW45" s="9" t="s">
        <v>85</v>
      </c>
      <c r="AX45" s="9" t="s">
        <v>85</v>
      </c>
      <c r="AY45" s="9" t="s">
        <v>85</v>
      </c>
      <c r="AZ45" s="9" t="s">
        <v>85</v>
      </c>
      <c r="BA45" s="9" t="s">
        <v>85</v>
      </c>
      <c r="BB45" s="9" t="s">
        <v>85</v>
      </c>
      <c r="BC45" s="9" t="s">
        <v>85</v>
      </c>
      <c r="BD45" s="9" t="s">
        <v>85</v>
      </c>
      <c r="BE45" s="9" t="s">
        <v>85</v>
      </c>
      <c r="BF45" s="10" t="s">
        <v>85</v>
      </c>
      <c r="BG45" s="10" t="s">
        <v>85</v>
      </c>
      <c r="BH45" s="9" t="s">
        <v>85</v>
      </c>
      <c r="BI45" s="6"/>
      <c r="BJ45" s="6" t="str">
        <f t="shared" si="1"/>
        <v>5Bo_Fold_Median</v>
      </c>
      <c r="BK45" s="6" t="str">
        <f t="shared" si="2"/>
        <v>5BoN_Fold_Median</v>
      </c>
      <c r="BL45" s="6" t="str">
        <f t="shared" si="3"/>
        <v>12BoN_Fold_Median</v>
      </c>
      <c r="BM45" s="6"/>
      <c r="BN45" s="6">
        <f t="shared" si="4"/>
        <v>5</v>
      </c>
      <c r="BO45" s="6"/>
      <c r="BP45" s="6"/>
      <c r="BQ45" s="6"/>
      <c r="BR45" s="6"/>
      <c r="BS45" s="6"/>
      <c r="BT45" s="6"/>
      <c r="BU45" s="6"/>
      <c r="BV45" s="6"/>
      <c r="BW45" s="6"/>
      <c r="BX45" s="6"/>
    </row>
    <row r="46" ht="15.75" customHeight="1">
      <c r="A46" s="1" t="s">
        <v>140</v>
      </c>
      <c r="B46" s="17">
        <v>601.0</v>
      </c>
      <c r="C46" s="17">
        <v>3.0</v>
      </c>
      <c r="D46" s="9" t="s">
        <v>85</v>
      </c>
      <c r="E46" s="9">
        <v>0.803213</v>
      </c>
      <c r="F46" s="9" t="s">
        <v>85</v>
      </c>
      <c r="G46" s="9" t="s">
        <v>85</v>
      </c>
      <c r="H46" s="30">
        <v>0.795180738</v>
      </c>
      <c r="I46" s="9" t="s">
        <v>85</v>
      </c>
      <c r="J46" s="9" t="s">
        <v>85</v>
      </c>
      <c r="K46" s="9" t="s">
        <v>85</v>
      </c>
      <c r="L46" s="9" t="s">
        <v>85</v>
      </c>
      <c r="M46" s="9" t="s">
        <v>85</v>
      </c>
      <c r="N46" s="9" t="s">
        <v>85</v>
      </c>
      <c r="O46" s="9" t="s">
        <v>85</v>
      </c>
      <c r="P46" s="9" t="s">
        <v>85</v>
      </c>
      <c r="Q46" s="9">
        <v>0.803213</v>
      </c>
      <c r="R46" s="9" t="s">
        <v>85</v>
      </c>
      <c r="S46" s="9" t="s">
        <v>85</v>
      </c>
      <c r="T46" s="9">
        <v>0.803213</v>
      </c>
      <c r="U46" s="9" t="s">
        <v>85</v>
      </c>
      <c r="V46" s="9" t="s">
        <v>85</v>
      </c>
      <c r="W46" s="9" t="s">
        <v>85</v>
      </c>
      <c r="X46" s="9" t="s">
        <v>85</v>
      </c>
      <c r="Y46" s="9" t="s">
        <v>85</v>
      </c>
      <c r="Z46" s="9" t="s">
        <v>85</v>
      </c>
      <c r="AA46" s="9" t="s">
        <v>85</v>
      </c>
      <c r="AB46" s="9" t="s">
        <v>85</v>
      </c>
      <c r="AC46" s="30">
        <v>0.799197</v>
      </c>
      <c r="AD46" s="9" t="s">
        <v>85</v>
      </c>
      <c r="AE46" s="9" t="s">
        <v>85</v>
      </c>
      <c r="AF46" s="30">
        <v>0.811245</v>
      </c>
      <c r="AG46" s="9" t="s">
        <v>85</v>
      </c>
      <c r="AH46" s="9" t="s">
        <v>85</v>
      </c>
      <c r="AI46" s="9" t="s">
        <v>85</v>
      </c>
      <c r="AJ46" s="9" t="s">
        <v>85</v>
      </c>
      <c r="AK46" s="9" t="s">
        <v>85</v>
      </c>
      <c r="AL46" s="9" t="s">
        <v>85</v>
      </c>
      <c r="AM46" s="9" t="s">
        <v>85</v>
      </c>
      <c r="AN46" s="9" t="s">
        <v>85</v>
      </c>
      <c r="AO46" s="9">
        <v>0.807229</v>
      </c>
      <c r="AP46" s="9" t="s">
        <v>85</v>
      </c>
      <c r="AQ46" s="9" t="s">
        <v>85</v>
      </c>
      <c r="AR46" s="30">
        <v>0.807229</v>
      </c>
      <c r="AS46" s="9" t="s">
        <v>85</v>
      </c>
      <c r="AT46" s="9" t="s">
        <v>85</v>
      </c>
      <c r="AU46" s="9" t="s">
        <v>85</v>
      </c>
      <c r="AV46" s="9" t="s">
        <v>85</v>
      </c>
      <c r="AW46" s="9" t="s">
        <v>85</v>
      </c>
      <c r="AX46" s="9" t="s">
        <v>85</v>
      </c>
      <c r="AY46" s="9" t="s">
        <v>85</v>
      </c>
      <c r="AZ46" s="9" t="s">
        <v>85</v>
      </c>
      <c r="BA46" s="9" t="s">
        <v>85</v>
      </c>
      <c r="BB46" s="9" t="s">
        <v>85</v>
      </c>
      <c r="BC46" s="9" t="s">
        <v>85</v>
      </c>
      <c r="BD46" s="9" t="s">
        <v>85</v>
      </c>
      <c r="BE46" s="9" t="s">
        <v>85</v>
      </c>
      <c r="BF46" s="10" t="s">
        <v>85</v>
      </c>
      <c r="BG46" s="10" t="s">
        <v>85</v>
      </c>
      <c r="BH46" s="9" t="s">
        <v>85</v>
      </c>
      <c r="BI46" s="6"/>
      <c r="BJ46" s="6" t="str">
        <f t="shared" si="1"/>
        <v>10BoN_Fold_Median</v>
      </c>
      <c r="BK46" s="6" t="str">
        <f t="shared" si="2"/>
        <v>12Bo_Fold_Median</v>
      </c>
      <c r="BL46" s="6" t="str">
        <f t="shared" si="3"/>
        <v>12Bo_Fold_Median</v>
      </c>
      <c r="BM46" s="6"/>
      <c r="BN46" s="6">
        <f t="shared" si="4"/>
        <v>10</v>
      </c>
      <c r="BO46" s="6"/>
      <c r="BP46" s="6"/>
      <c r="BQ46" s="6"/>
      <c r="BR46" s="6"/>
      <c r="BS46" s="6"/>
      <c r="BT46" s="6"/>
      <c r="BU46" s="6"/>
      <c r="BV46" s="6"/>
      <c r="BW46" s="6"/>
      <c r="BX46" s="6"/>
    </row>
    <row r="47" ht="15.75" customHeight="1">
      <c r="A47" s="1" t="s">
        <v>141</v>
      </c>
      <c r="B47" s="17">
        <v>601.0</v>
      </c>
      <c r="C47" s="17">
        <v>3.0</v>
      </c>
      <c r="D47" s="9" t="s">
        <v>85</v>
      </c>
      <c r="E47" s="9">
        <v>0.73494</v>
      </c>
      <c r="F47" s="9" t="s">
        <v>85</v>
      </c>
      <c r="G47" s="9" t="s">
        <v>85</v>
      </c>
      <c r="H47" s="30">
        <v>0.710843384</v>
      </c>
      <c r="I47" s="9" t="s">
        <v>85</v>
      </c>
      <c r="J47" s="9" t="s">
        <v>85</v>
      </c>
      <c r="K47" s="9" t="s">
        <v>85</v>
      </c>
      <c r="L47" s="9" t="s">
        <v>85</v>
      </c>
      <c r="M47" s="9" t="s">
        <v>85</v>
      </c>
      <c r="N47" s="9" t="s">
        <v>85</v>
      </c>
      <c r="O47" s="9" t="s">
        <v>85</v>
      </c>
      <c r="P47" s="9" t="s">
        <v>85</v>
      </c>
      <c r="Q47" s="9">
        <v>0.75502</v>
      </c>
      <c r="R47" s="9" t="s">
        <v>85</v>
      </c>
      <c r="S47" s="9" t="s">
        <v>85</v>
      </c>
      <c r="T47" s="9">
        <v>0.767068</v>
      </c>
      <c r="U47" s="9" t="s">
        <v>85</v>
      </c>
      <c r="V47" s="9" t="s">
        <v>85</v>
      </c>
      <c r="W47" s="9" t="s">
        <v>85</v>
      </c>
      <c r="X47" s="9" t="s">
        <v>85</v>
      </c>
      <c r="Y47" s="9" t="s">
        <v>85</v>
      </c>
      <c r="Z47" s="9" t="s">
        <v>85</v>
      </c>
      <c r="AA47" s="9" t="s">
        <v>85</v>
      </c>
      <c r="AB47" s="9" t="s">
        <v>85</v>
      </c>
      <c r="AC47" s="30">
        <v>0.759036</v>
      </c>
      <c r="AD47" s="9" t="s">
        <v>85</v>
      </c>
      <c r="AE47" s="9" t="s">
        <v>85</v>
      </c>
      <c r="AF47" s="30">
        <v>0.767068</v>
      </c>
      <c r="AG47" s="9" t="s">
        <v>85</v>
      </c>
      <c r="AH47" s="9" t="s">
        <v>85</v>
      </c>
      <c r="AI47" s="9" t="s">
        <v>85</v>
      </c>
      <c r="AJ47" s="9" t="s">
        <v>85</v>
      </c>
      <c r="AK47" s="9" t="s">
        <v>85</v>
      </c>
      <c r="AL47" s="9" t="s">
        <v>85</v>
      </c>
      <c r="AM47" s="9" t="s">
        <v>85</v>
      </c>
      <c r="AN47" s="9" t="s">
        <v>85</v>
      </c>
      <c r="AO47" s="9">
        <v>0.7751</v>
      </c>
      <c r="AP47" s="9" t="s">
        <v>85</v>
      </c>
      <c r="AQ47" s="9" t="s">
        <v>85</v>
      </c>
      <c r="AR47" s="30">
        <v>0.759036</v>
      </c>
      <c r="AS47" s="9" t="s">
        <v>85</v>
      </c>
      <c r="AT47" s="9" t="s">
        <v>85</v>
      </c>
      <c r="AU47" s="9" t="s">
        <v>85</v>
      </c>
      <c r="AV47" s="9" t="s">
        <v>85</v>
      </c>
      <c r="AW47" s="9" t="s">
        <v>85</v>
      </c>
      <c r="AX47" s="9" t="s">
        <v>85</v>
      </c>
      <c r="AY47" s="9" t="s">
        <v>85</v>
      </c>
      <c r="AZ47" s="9" t="s">
        <v>85</v>
      </c>
      <c r="BA47" s="9" t="s">
        <v>85</v>
      </c>
      <c r="BB47" s="9" t="s">
        <v>85</v>
      </c>
      <c r="BC47" s="9" t="s">
        <v>85</v>
      </c>
      <c r="BD47" s="9" t="s">
        <v>85</v>
      </c>
      <c r="BE47" s="9" t="s">
        <v>85</v>
      </c>
      <c r="BF47" s="10" t="s">
        <v>85</v>
      </c>
      <c r="BG47" s="10" t="s">
        <v>85</v>
      </c>
      <c r="BH47" s="9" t="s">
        <v>85</v>
      </c>
      <c r="BI47" s="6"/>
      <c r="BJ47" s="6" t="str">
        <f t="shared" si="1"/>
        <v>12Bo_Fold_Median</v>
      </c>
      <c r="BK47" s="6" t="str">
        <f t="shared" si="2"/>
        <v>8BoN_Fold_Median</v>
      </c>
      <c r="BL47" s="6" t="str">
        <f t="shared" si="3"/>
        <v>8BoN_Fold_Median</v>
      </c>
      <c r="BM47" s="6"/>
      <c r="BN47" s="6">
        <f t="shared" si="4"/>
        <v>12</v>
      </c>
      <c r="BO47" s="6"/>
      <c r="BP47" s="6"/>
      <c r="BQ47" s="6"/>
      <c r="BR47" s="6"/>
      <c r="BS47" s="6"/>
      <c r="BT47" s="6"/>
      <c r="BU47" s="6"/>
      <c r="BV47" s="6"/>
      <c r="BW47" s="6"/>
      <c r="BX47" s="6"/>
    </row>
    <row r="48" ht="15.75" customHeight="1">
      <c r="A48" s="1" t="s">
        <v>142</v>
      </c>
      <c r="B48" s="17">
        <v>24.0</v>
      </c>
      <c r="C48" s="17">
        <v>2.0</v>
      </c>
      <c r="D48" s="9" t="s">
        <v>85</v>
      </c>
      <c r="E48" s="9">
        <v>0.921283</v>
      </c>
      <c r="F48" s="9" t="s">
        <v>85</v>
      </c>
      <c r="G48" s="9" t="s">
        <v>85</v>
      </c>
      <c r="H48" s="30">
        <v>0.922254622</v>
      </c>
      <c r="I48" s="9" t="s">
        <v>85</v>
      </c>
      <c r="J48" s="9" t="s">
        <v>85</v>
      </c>
      <c r="K48" s="9" t="s">
        <v>85</v>
      </c>
      <c r="L48" s="9" t="s">
        <v>85</v>
      </c>
      <c r="M48" s="9" t="s">
        <v>85</v>
      </c>
      <c r="N48" s="9" t="s">
        <v>85</v>
      </c>
      <c r="O48" s="9" t="s">
        <v>85</v>
      </c>
      <c r="P48" s="9" t="s">
        <v>85</v>
      </c>
      <c r="Q48" s="9">
        <v>0.909621</v>
      </c>
      <c r="R48" s="9" t="s">
        <v>85</v>
      </c>
      <c r="S48" s="9" t="s">
        <v>85</v>
      </c>
      <c r="T48" s="9">
        <v>0.912536</v>
      </c>
      <c r="U48" s="9" t="s">
        <v>85</v>
      </c>
      <c r="V48" s="9" t="s">
        <v>85</v>
      </c>
      <c r="W48" s="9" t="s">
        <v>85</v>
      </c>
      <c r="X48" s="9" t="s">
        <v>85</v>
      </c>
      <c r="Y48" s="9" t="s">
        <v>85</v>
      </c>
      <c r="Z48" s="9" t="s">
        <v>85</v>
      </c>
      <c r="AA48" s="9" t="s">
        <v>85</v>
      </c>
      <c r="AB48" s="9" t="s">
        <v>85</v>
      </c>
      <c r="AC48" s="30">
        <v>0.922255</v>
      </c>
      <c r="AD48" s="9" t="s">
        <v>85</v>
      </c>
      <c r="AE48" s="9" t="s">
        <v>85</v>
      </c>
      <c r="AF48" s="30">
        <v>0.924198</v>
      </c>
      <c r="AG48" s="9" t="s">
        <v>85</v>
      </c>
      <c r="AH48" s="9" t="s">
        <v>85</v>
      </c>
      <c r="AI48" s="9" t="s">
        <v>85</v>
      </c>
      <c r="AJ48" s="9" t="s">
        <v>85</v>
      </c>
      <c r="AK48" s="9" t="s">
        <v>85</v>
      </c>
      <c r="AL48" s="9" t="s">
        <v>85</v>
      </c>
      <c r="AM48" s="9" t="s">
        <v>85</v>
      </c>
      <c r="AN48" s="9" t="s">
        <v>85</v>
      </c>
      <c r="AO48" s="9">
        <v>0.921283</v>
      </c>
      <c r="AP48" s="9" t="s">
        <v>85</v>
      </c>
      <c r="AQ48" s="9" t="s">
        <v>85</v>
      </c>
      <c r="AR48" s="30">
        <v>0.922255</v>
      </c>
      <c r="AS48" s="9" t="s">
        <v>85</v>
      </c>
      <c r="AT48" s="9" t="s">
        <v>85</v>
      </c>
      <c r="AU48" s="9" t="s">
        <v>85</v>
      </c>
      <c r="AV48" s="9" t="s">
        <v>85</v>
      </c>
      <c r="AW48" s="9" t="s">
        <v>85</v>
      </c>
      <c r="AX48" s="9" t="s">
        <v>85</v>
      </c>
      <c r="AY48" s="9" t="s">
        <v>85</v>
      </c>
      <c r="AZ48" s="9" t="s">
        <v>85</v>
      </c>
      <c r="BA48" s="9" t="s">
        <v>85</v>
      </c>
      <c r="BB48" s="9" t="s">
        <v>85</v>
      </c>
      <c r="BC48" s="9" t="s">
        <v>85</v>
      </c>
      <c r="BD48" s="9" t="s">
        <v>85</v>
      </c>
      <c r="BE48" s="9" t="s">
        <v>85</v>
      </c>
      <c r="BF48" s="10" t="s">
        <v>85</v>
      </c>
      <c r="BG48" s="10" t="s">
        <v>85</v>
      </c>
      <c r="BH48" s="9" t="s">
        <v>85</v>
      </c>
      <c r="BI48" s="6"/>
      <c r="BJ48" s="6" t="str">
        <f t="shared" si="1"/>
        <v>10BoN_Fold_Median</v>
      </c>
      <c r="BK48" s="6" t="str">
        <f t="shared" si="2"/>
        <v>10Bo_Fold_Median</v>
      </c>
      <c r="BL48" s="6" t="str">
        <f t="shared" si="3"/>
        <v>10Bo_Fold_Median</v>
      </c>
      <c r="BM48" s="6"/>
      <c r="BN48" s="6">
        <f t="shared" si="4"/>
        <v>10</v>
      </c>
      <c r="BO48" s="6"/>
      <c r="BP48" s="6"/>
      <c r="BQ48" s="6"/>
      <c r="BR48" s="6"/>
      <c r="BS48" s="6"/>
      <c r="BT48" s="6"/>
      <c r="BU48" s="6"/>
      <c r="BV48" s="6"/>
      <c r="BW48" s="6"/>
      <c r="BX48" s="6"/>
    </row>
    <row r="49" ht="15.75" customHeight="1">
      <c r="A49" s="1" t="s">
        <v>143</v>
      </c>
      <c r="B49" s="17">
        <v>720.0</v>
      </c>
      <c r="C49" s="17">
        <v>3.0</v>
      </c>
      <c r="D49" s="9" t="s">
        <v>85</v>
      </c>
      <c r="E49" s="9">
        <v>0.674667</v>
      </c>
      <c r="F49" s="9" t="s">
        <v>85</v>
      </c>
      <c r="G49" s="9" t="s">
        <v>85</v>
      </c>
      <c r="H49" s="30">
        <v>0.472000003</v>
      </c>
      <c r="I49" s="9" t="s">
        <v>85</v>
      </c>
      <c r="J49" s="9" t="s">
        <v>85</v>
      </c>
      <c r="K49" s="9" t="s">
        <v>85</v>
      </c>
      <c r="L49" s="9" t="s">
        <v>85</v>
      </c>
      <c r="M49" s="9" t="s">
        <v>85</v>
      </c>
      <c r="N49" s="9" t="s">
        <v>85</v>
      </c>
      <c r="O49" s="9" t="s">
        <v>85</v>
      </c>
      <c r="P49" s="9" t="s">
        <v>85</v>
      </c>
      <c r="Q49" s="9">
        <v>0.672</v>
      </c>
      <c r="R49" s="9" t="s">
        <v>85</v>
      </c>
      <c r="S49" s="9" t="s">
        <v>85</v>
      </c>
      <c r="T49" s="9">
        <v>0.664</v>
      </c>
      <c r="U49" s="9" t="s">
        <v>85</v>
      </c>
      <c r="V49" s="9" t="s">
        <v>85</v>
      </c>
      <c r="W49" s="9" t="s">
        <v>85</v>
      </c>
      <c r="X49" s="9" t="s">
        <v>85</v>
      </c>
      <c r="Y49" s="9" t="s">
        <v>85</v>
      </c>
      <c r="Z49" s="9" t="s">
        <v>85</v>
      </c>
      <c r="AA49" s="9" t="s">
        <v>85</v>
      </c>
      <c r="AB49" s="9" t="s">
        <v>85</v>
      </c>
      <c r="AC49" s="30">
        <v>0.642667</v>
      </c>
      <c r="AD49" s="9" t="s">
        <v>85</v>
      </c>
      <c r="AE49" s="9" t="s">
        <v>85</v>
      </c>
      <c r="AF49" s="30">
        <v>0.653333</v>
      </c>
      <c r="AG49" s="9" t="s">
        <v>85</v>
      </c>
      <c r="AH49" s="9" t="s">
        <v>85</v>
      </c>
      <c r="AI49" s="9" t="s">
        <v>85</v>
      </c>
      <c r="AJ49" s="9" t="s">
        <v>85</v>
      </c>
      <c r="AK49" s="9" t="s">
        <v>85</v>
      </c>
      <c r="AL49" s="9" t="s">
        <v>85</v>
      </c>
      <c r="AM49" s="9" t="s">
        <v>85</v>
      </c>
      <c r="AN49" s="9" t="s">
        <v>85</v>
      </c>
      <c r="AO49" s="9">
        <v>0.648</v>
      </c>
      <c r="AP49" s="9" t="s">
        <v>85</v>
      </c>
      <c r="AQ49" s="9" t="s">
        <v>85</v>
      </c>
      <c r="AR49" s="30">
        <v>0.677333</v>
      </c>
      <c r="AS49" s="9" t="s">
        <v>85</v>
      </c>
      <c r="AT49" s="9" t="s">
        <v>85</v>
      </c>
      <c r="AU49" s="9" t="s">
        <v>85</v>
      </c>
      <c r="AV49" s="9" t="s">
        <v>85</v>
      </c>
      <c r="AW49" s="9" t="s">
        <v>85</v>
      </c>
      <c r="AX49" s="9" t="s">
        <v>85</v>
      </c>
      <c r="AY49" s="9" t="s">
        <v>85</v>
      </c>
      <c r="AZ49" s="9" t="s">
        <v>85</v>
      </c>
      <c r="BA49" s="9" t="s">
        <v>85</v>
      </c>
      <c r="BB49" s="9" t="s">
        <v>85</v>
      </c>
      <c r="BC49" s="9" t="s">
        <v>85</v>
      </c>
      <c r="BD49" s="9" t="s">
        <v>85</v>
      </c>
      <c r="BE49" s="9" t="s">
        <v>85</v>
      </c>
      <c r="BF49" s="10" t="s">
        <v>85</v>
      </c>
      <c r="BG49" s="10" t="s">
        <v>85</v>
      </c>
      <c r="BH49" s="9" t="s">
        <v>85</v>
      </c>
      <c r="BI49" s="6"/>
      <c r="BJ49" s="6" t="str">
        <f t="shared" si="1"/>
        <v>12BoN_Fold_Median</v>
      </c>
      <c r="BK49" s="6" t="str">
        <f t="shared" si="2"/>
        <v>5Bo_Fold_Median</v>
      </c>
      <c r="BL49" s="6" t="str">
        <f t="shared" si="3"/>
        <v>8Bo_Fold_Median</v>
      </c>
      <c r="BM49" s="6"/>
      <c r="BN49" s="6">
        <f t="shared" si="4"/>
        <v>12</v>
      </c>
      <c r="BO49" s="6"/>
      <c r="BP49" s="6"/>
      <c r="BQ49" s="6"/>
      <c r="BR49" s="6"/>
      <c r="BS49" s="6"/>
      <c r="BT49" s="6"/>
      <c r="BU49" s="6"/>
      <c r="BV49" s="6"/>
      <c r="BW49" s="6"/>
      <c r="BX49" s="6"/>
    </row>
    <row r="50" ht="15.75" customHeight="1">
      <c r="A50" s="1" t="s">
        <v>144</v>
      </c>
      <c r="B50" s="17">
        <v>637.0</v>
      </c>
      <c r="C50" s="17">
        <v>2.0</v>
      </c>
      <c r="D50" s="9" t="s">
        <v>85</v>
      </c>
      <c r="E50" s="9">
        <v>0.540984</v>
      </c>
      <c r="F50" s="9" t="s">
        <v>85</v>
      </c>
      <c r="G50" s="9" t="s">
        <v>85</v>
      </c>
      <c r="H50" s="30">
        <v>0.540983617</v>
      </c>
      <c r="I50" s="9" t="s">
        <v>85</v>
      </c>
      <c r="J50" s="9" t="s">
        <v>85</v>
      </c>
      <c r="K50" s="9" t="s">
        <v>85</v>
      </c>
      <c r="L50" s="9" t="s">
        <v>85</v>
      </c>
      <c r="M50" s="9" t="s">
        <v>85</v>
      </c>
      <c r="N50" s="9" t="s">
        <v>85</v>
      </c>
      <c r="O50" s="9" t="s">
        <v>85</v>
      </c>
      <c r="P50" s="9" t="s">
        <v>85</v>
      </c>
      <c r="Q50" s="9">
        <v>0.540984</v>
      </c>
      <c r="R50" s="9" t="s">
        <v>85</v>
      </c>
      <c r="S50" s="9" t="s">
        <v>85</v>
      </c>
      <c r="T50" s="9">
        <v>0.540984</v>
      </c>
      <c r="U50" s="9" t="s">
        <v>85</v>
      </c>
      <c r="V50" s="9" t="s">
        <v>85</v>
      </c>
      <c r="W50" s="9" t="s">
        <v>85</v>
      </c>
      <c r="X50" s="9" t="s">
        <v>85</v>
      </c>
      <c r="Y50" s="9" t="s">
        <v>85</v>
      </c>
      <c r="Z50" s="9" t="s">
        <v>85</v>
      </c>
      <c r="AA50" s="9" t="s">
        <v>85</v>
      </c>
      <c r="AB50" s="9" t="s">
        <v>85</v>
      </c>
      <c r="AC50" s="30">
        <v>0.540984</v>
      </c>
      <c r="AD50" s="9" t="s">
        <v>85</v>
      </c>
      <c r="AE50" s="9" t="s">
        <v>85</v>
      </c>
      <c r="AF50" s="30">
        <v>0.540984</v>
      </c>
      <c r="AG50" s="9" t="s">
        <v>85</v>
      </c>
      <c r="AH50" s="9" t="s">
        <v>85</v>
      </c>
      <c r="AI50" s="9" t="s">
        <v>85</v>
      </c>
      <c r="AJ50" s="9" t="s">
        <v>85</v>
      </c>
      <c r="AK50" s="9" t="s">
        <v>85</v>
      </c>
      <c r="AL50" s="9" t="s">
        <v>85</v>
      </c>
      <c r="AM50" s="9" t="s">
        <v>85</v>
      </c>
      <c r="AN50" s="9" t="s">
        <v>85</v>
      </c>
      <c r="AO50" s="9">
        <v>0.540984</v>
      </c>
      <c r="AP50" s="9" t="s">
        <v>85</v>
      </c>
      <c r="AQ50" s="9" t="s">
        <v>85</v>
      </c>
      <c r="AR50" s="30">
        <v>0.540984</v>
      </c>
      <c r="AS50" s="9" t="s">
        <v>85</v>
      </c>
      <c r="AT50" s="9" t="s">
        <v>85</v>
      </c>
      <c r="AU50" s="9" t="s">
        <v>85</v>
      </c>
      <c r="AV50" s="9" t="s">
        <v>85</v>
      </c>
      <c r="AW50" s="9" t="s">
        <v>85</v>
      </c>
      <c r="AX50" s="9" t="s">
        <v>85</v>
      </c>
      <c r="AY50" s="9" t="s">
        <v>85</v>
      </c>
      <c r="AZ50" s="9" t="s">
        <v>85</v>
      </c>
      <c r="BA50" s="9" t="s">
        <v>85</v>
      </c>
      <c r="BB50" s="9" t="s">
        <v>85</v>
      </c>
      <c r="BC50" s="9" t="s">
        <v>85</v>
      </c>
      <c r="BD50" s="9" t="s">
        <v>85</v>
      </c>
      <c r="BE50" s="9" t="s">
        <v>85</v>
      </c>
      <c r="BF50" s="10" t="s">
        <v>85</v>
      </c>
      <c r="BG50" s="10" t="s">
        <v>85</v>
      </c>
      <c r="BH50" s="9" t="s">
        <v>85</v>
      </c>
      <c r="BI50" s="6"/>
      <c r="BJ50" s="6" t="str">
        <f t="shared" si="1"/>
        <v>5Bo_Fold_Median</v>
      </c>
      <c r="BK50" s="6" t="str">
        <f t="shared" si="2"/>
        <v>5Bo_Fold_Median</v>
      </c>
      <c r="BL50" s="6" t="str">
        <f t="shared" si="3"/>
        <v>5Bo_Fold_Median</v>
      </c>
      <c r="BM50" s="6"/>
      <c r="BN50" s="6">
        <f t="shared" si="4"/>
        <v>5</v>
      </c>
      <c r="BO50" s="6"/>
      <c r="BP50" s="6"/>
      <c r="BQ50" s="6"/>
      <c r="BR50" s="6"/>
      <c r="BS50" s="6"/>
      <c r="BT50" s="6"/>
      <c r="BU50" s="6"/>
      <c r="BV50" s="6"/>
      <c r="BW50" s="6"/>
      <c r="BX50" s="6"/>
    </row>
    <row r="51" ht="15.75" customHeight="1">
      <c r="A51" s="1" t="s">
        <v>145</v>
      </c>
      <c r="B51" s="17">
        <v>319.0</v>
      </c>
      <c r="C51" s="17">
        <v>7.0</v>
      </c>
      <c r="D51" s="9" t="s">
        <v>85</v>
      </c>
      <c r="E51" s="9">
        <v>0.575342</v>
      </c>
      <c r="F51" s="9" t="s">
        <v>85</v>
      </c>
      <c r="G51" s="9" t="s">
        <v>85</v>
      </c>
      <c r="H51" s="30">
        <v>0.520547926</v>
      </c>
      <c r="I51" s="9" t="s">
        <v>85</v>
      </c>
      <c r="J51" s="9" t="s">
        <v>85</v>
      </c>
      <c r="K51" s="9" t="s">
        <v>85</v>
      </c>
      <c r="L51" s="9" t="s">
        <v>85</v>
      </c>
      <c r="M51" s="9" t="s">
        <v>85</v>
      </c>
      <c r="N51" s="9" t="s">
        <v>85</v>
      </c>
      <c r="O51" s="9" t="s">
        <v>85</v>
      </c>
      <c r="P51" s="9" t="s">
        <v>85</v>
      </c>
      <c r="Q51" s="9">
        <v>0.575342</v>
      </c>
      <c r="R51" s="9" t="s">
        <v>85</v>
      </c>
      <c r="S51" s="9" t="s">
        <v>85</v>
      </c>
      <c r="T51" s="9">
        <v>0.575342</v>
      </c>
      <c r="U51" s="9" t="s">
        <v>85</v>
      </c>
      <c r="V51" s="9" t="s">
        <v>85</v>
      </c>
      <c r="W51" s="9" t="s">
        <v>85</v>
      </c>
      <c r="X51" s="9" t="s">
        <v>85</v>
      </c>
      <c r="Y51" s="9" t="s">
        <v>85</v>
      </c>
      <c r="Z51" s="9" t="s">
        <v>85</v>
      </c>
      <c r="AA51" s="9" t="s">
        <v>85</v>
      </c>
      <c r="AB51" s="9" t="s">
        <v>85</v>
      </c>
      <c r="AC51" s="30">
        <v>0.575342</v>
      </c>
      <c r="AD51" s="9" t="s">
        <v>85</v>
      </c>
      <c r="AE51" s="9" t="s">
        <v>85</v>
      </c>
      <c r="AF51" s="30">
        <v>0.561644</v>
      </c>
      <c r="AG51" s="9" t="s">
        <v>85</v>
      </c>
      <c r="AH51" s="9" t="s">
        <v>85</v>
      </c>
      <c r="AI51" s="9" t="s">
        <v>85</v>
      </c>
      <c r="AJ51" s="9" t="s">
        <v>85</v>
      </c>
      <c r="AK51" s="9" t="s">
        <v>85</v>
      </c>
      <c r="AL51" s="9" t="s">
        <v>85</v>
      </c>
      <c r="AM51" s="9" t="s">
        <v>85</v>
      </c>
      <c r="AN51" s="9" t="s">
        <v>85</v>
      </c>
      <c r="AO51" s="9">
        <v>0.589041</v>
      </c>
      <c r="AP51" s="9" t="s">
        <v>85</v>
      </c>
      <c r="AQ51" s="9" t="s">
        <v>85</v>
      </c>
      <c r="AR51" s="30">
        <v>0.60274</v>
      </c>
      <c r="AS51" s="9" t="s">
        <v>85</v>
      </c>
      <c r="AT51" s="9" t="s">
        <v>85</v>
      </c>
      <c r="AU51" s="9" t="s">
        <v>85</v>
      </c>
      <c r="AV51" s="9" t="s">
        <v>85</v>
      </c>
      <c r="AW51" s="9" t="s">
        <v>85</v>
      </c>
      <c r="AX51" s="9" t="s">
        <v>85</v>
      </c>
      <c r="AY51" s="9" t="s">
        <v>85</v>
      </c>
      <c r="AZ51" s="9" t="s">
        <v>85</v>
      </c>
      <c r="BA51" s="9" t="s">
        <v>85</v>
      </c>
      <c r="BB51" s="9" t="s">
        <v>85</v>
      </c>
      <c r="BC51" s="9" t="s">
        <v>85</v>
      </c>
      <c r="BD51" s="9" t="s">
        <v>85</v>
      </c>
      <c r="BE51" s="9" t="s">
        <v>85</v>
      </c>
      <c r="BF51" s="10" t="s">
        <v>85</v>
      </c>
      <c r="BG51" s="10" t="s">
        <v>85</v>
      </c>
      <c r="BH51" s="9" t="s">
        <v>85</v>
      </c>
      <c r="BI51" s="6"/>
      <c r="BJ51" s="6" t="str">
        <f t="shared" si="1"/>
        <v>12BoN_Fold_Median</v>
      </c>
      <c r="BK51" s="6" t="str">
        <f t="shared" si="2"/>
        <v>12Bo_Fold_Median</v>
      </c>
      <c r="BL51" s="6" t="str">
        <f t="shared" si="3"/>
        <v>5Bo_Fold_Median</v>
      </c>
      <c r="BM51" s="6"/>
      <c r="BN51" s="6">
        <f t="shared" si="4"/>
        <v>12</v>
      </c>
      <c r="BO51" s="6"/>
      <c r="BP51" s="6"/>
      <c r="BQ51" s="6"/>
      <c r="BR51" s="6"/>
      <c r="BS51" s="6"/>
      <c r="BT51" s="6"/>
      <c r="BU51" s="6"/>
      <c r="BV51" s="6"/>
      <c r="BW51" s="6"/>
      <c r="BX51" s="6"/>
    </row>
    <row r="52" ht="15.75" customHeight="1">
      <c r="A52" s="1" t="s">
        <v>146</v>
      </c>
      <c r="B52" s="17">
        <v>1024.0</v>
      </c>
      <c r="C52" s="17">
        <v>8.0</v>
      </c>
      <c r="D52" s="9" t="s">
        <v>85</v>
      </c>
      <c r="E52" s="9">
        <v>0.591471</v>
      </c>
      <c r="F52" s="9" t="s">
        <v>85</v>
      </c>
      <c r="G52" s="9" t="s">
        <v>85</v>
      </c>
      <c r="H52" s="30">
        <v>0.573134303</v>
      </c>
      <c r="I52" s="9" t="s">
        <v>85</v>
      </c>
      <c r="J52" s="9" t="s">
        <v>85</v>
      </c>
      <c r="K52" s="9" t="s">
        <v>85</v>
      </c>
      <c r="L52" s="9" t="s">
        <v>85</v>
      </c>
      <c r="M52" s="9" t="s">
        <v>85</v>
      </c>
      <c r="N52" s="9" t="s">
        <v>85</v>
      </c>
      <c r="O52" s="9" t="s">
        <v>85</v>
      </c>
      <c r="P52" s="9" t="s">
        <v>85</v>
      </c>
      <c r="Q52" s="9">
        <v>0.663966</v>
      </c>
      <c r="R52" s="9" t="s">
        <v>85</v>
      </c>
      <c r="S52" s="9" t="s">
        <v>85</v>
      </c>
      <c r="T52" s="9">
        <v>0.672495</v>
      </c>
      <c r="U52" s="9" t="s">
        <v>85</v>
      </c>
      <c r="V52" s="9" t="s">
        <v>85</v>
      </c>
      <c r="W52" s="9" t="s">
        <v>85</v>
      </c>
      <c r="X52" s="9" t="s">
        <v>85</v>
      </c>
      <c r="Y52" s="9" t="s">
        <v>85</v>
      </c>
      <c r="Z52" s="9" t="s">
        <v>85</v>
      </c>
      <c r="AA52" s="9" t="s">
        <v>85</v>
      </c>
      <c r="AB52" s="9" t="s">
        <v>85</v>
      </c>
      <c r="AC52" s="30">
        <v>0.697655</v>
      </c>
      <c r="AD52" s="9" t="s">
        <v>85</v>
      </c>
      <c r="AE52" s="9" t="s">
        <v>85</v>
      </c>
      <c r="AF52" s="30">
        <v>0.634542</v>
      </c>
      <c r="AG52" s="9" t="s">
        <v>85</v>
      </c>
      <c r="AH52" s="9" t="s">
        <v>85</v>
      </c>
      <c r="AI52" s="9" t="s">
        <v>85</v>
      </c>
      <c r="AJ52" s="9" t="s">
        <v>85</v>
      </c>
      <c r="AK52" s="9" t="s">
        <v>85</v>
      </c>
      <c r="AL52" s="9" t="s">
        <v>85</v>
      </c>
      <c r="AM52" s="9" t="s">
        <v>85</v>
      </c>
      <c r="AN52" s="9" t="s">
        <v>85</v>
      </c>
      <c r="AO52" s="9">
        <v>0.701493</v>
      </c>
      <c r="AP52" s="9" t="s">
        <v>85</v>
      </c>
      <c r="AQ52" s="9" t="s">
        <v>85</v>
      </c>
      <c r="AR52" s="30">
        <v>0.690832</v>
      </c>
      <c r="AS52" s="9" t="s">
        <v>85</v>
      </c>
      <c r="AT52" s="9" t="s">
        <v>85</v>
      </c>
      <c r="AU52" s="9" t="s">
        <v>85</v>
      </c>
      <c r="AV52" s="9" t="s">
        <v>85</v>
      </c>
      <c r="AW52" s="9" t="s">
        <v>85</v>
      </c>
      <c r="AX52" s="9" t="s">
        <v>85</v>
      </c>
      <c r="AY52" s="9" t="s">
        <v>85</v>
      </c>
      <c r="AZ52" s="9" t="s">
        <v>85</v>
      </c>
      <c r="BA52" s="9" t="s">
        <v>85</v>
      </c>
      <c r="BB52" s="9" t="s">
        <v>85</v>
      </c>
      <c r="BC52" s="9" t="s">
        <v>85</v>
      </c>
      <c r="BD52" s="9" t="s">
        <v>85</v>
      </c>
      <c r="BE52" s="9" t="s">
        <v>85</v>
      </c>
      <c r="BF52" s="10" t="s">
        <v>85</v>
      </c>
      <c r="BG52" s="10" t="s">
        <v>85</v>
      </c>
      <c r="BH52" s="9" t="s">
        <v>85</v>
      </c>
      <c r="BI52" s="6"/>
      <c r="BJ52" s="6" t="str">
        <f t="shared" si="1"/>
        <v>12Bo_Fold_Median</v>
      </c>
      <c r="BK52" s="6" t="str">
        <f t="shared" si="2"/>
        <v>10Bo_Fold_Median</v>
      </c>
      <c r="BL52" s="6" t="str">
        <f t="shared" si="3"/>
        <v>12BoN_Fold_Median</v>
      </c>
      <c r="BM52" s="6"/>
      <c r="BN52" s="6">
        <f t="shared" si="4"/>
        <v>12</v>
      </c>
      <c r="BO52" s="6"/>
      <c r="BP52" s="6"/>
      <c r="BQ52" s="6"/>
      <c r="BR52" s="6"/>
      <c r="BS52" s="6"/>
      <c r="BT52" s="6"/>
      <c r="BU52" s="6"/>
      <c r="BV52" s="6"/>
      <c r="BW52" s="6"/>
      <c r="BX52" s="6"/>
    </row>
    <row r="53" ht="15.75" customHeight="1">
      <c r="A53" s="1" t="s">
        <v>147</v>
      </c>
      <c r="B53" s="17">
        <v>448.0</v>
      </c>
      <c r="C53" s="17">
        <v>3.0</v>
      </c>
      <c r="D53" s="9" t="s">
        <v>85</v>
      </c>
      <c r="E53" s="9">
        <v>0.916667</v>
      </c>
      <c r="F53" s="9" t="s">
        <v>85</v>
      </c>
      <c r="G53" s="9" t="s">
        <v>85</v>
      </c>
      <c r="H53" s="30">
        <v>0.916666687</v>
      </c>
      <c r="I53" s="9" t="s">
        <v>85</v>
      </c>
      <c r="J53" s="9" t="s">
        <v>85</v>
      </c>
      <c r="K53" s="9" t="s">
        <v>85</v>
      </c>
      <c r="L53" s="9" t="s">
        <v>85</v>
      </c>
      <c r="M53" s="9" t="s">
        <v>85</v>
      </c>
      <c r="N53" s="9" t="s">
        <v>85</v>
      </c>
      <c r="O53" s="9" t="s">
        <v>85</v>
      </c>
      <c r="P53" s="9" t="s">
        <v>85</v>
      </c>
      <c r="Q53" s="9">
        <v>0.916667</v>
      </c>
      <c r="R53" s="9" t="s">
        <v>85</v>
      </c>
      <c r="S53" s="9" t="s">
        <v>85</v>
      </c>
      <c r="T53" s="9">
        <v>0.883333</v>
      </c>
      <c r="U53" s="9" t="s">
        <v>85</v>
      </c>
      <c r="V53" s="9" t="s">
        <v>85</v>
      </c>
      <c r="W53" s="9" t="s">
        <v>85</v>
      </c>
      <c r="X53" s="9" t="s">
        <v>85</v>
      </c>
      <c r="Y53" s="9" t="s">
        <v>85</v>
      </c>
      <c r="Z53" s="9" t="s">
        <v>85</v>
      </c>
      <c r="AA53" s="9" t="s">
        <v>85</v>
      </c>
      <c r="AB53" s="9" t="s">
        <v>85</v>
      </c>
      <c r="AC53" s="30">
        <v>0.916667</v>
      </c>
      <c r="AD53" s="9" t="s">
        <v>85</v>
      </c>
      <c r="AE53" s="9" t="s">
        <v>85</v>
      </c>
      <c r="AF53" s="30">
        <v>0.933333</v>
      </c>
      <c r="AG53" s="9" t="s">
        <v>85</v>
      </c>
      <c r="AH53" s="9" t="s">
        <v>85</v>
      </c>
      <c r="AI53" s="9" t="s">
        <v>85</v>
      </c>
      <c r="AJ53" s="9" t="s">
        <v>85</v>
      </c>
      <c r="AK53" s="9" t="s">
        <v>85</v>
      </c>
      <c r="AL53" s="9" t="s">
        <v>85</v>
      </c>
      <c r="AM53" s="9" t="s">
        <v>85</v>
      </c>
      <c r="AN53" s="9" t="s">
        <v>85</v>
      </c>
      <c r="AO53" s="9">
        <v>0.883333</v>
      </c>
      <c r="AP53" s="9" t="s">
        <v>85</v>
      </c>
      <c r="AQ53" s="9" t="s">
        <v>85</v>
      </c>
      <c r="AR53" s="30">
        <v>0.9</v>
      </c>
      <c r="AS53" s="9" t="s">
        <v>85</v>
      </c>
      <c r="AT53" s="9" t="s">
        <v>85</v>
      </c>
      <c r="AU53" s="9" t="s">
        <v>85</v>
      </c>
      <c r="AV53" s="9" t="s">
        <v>85</v>
      </c>
      <c r="AW53" s="9" t="s">
        <v>85</v>
      </c>
      <c r="AX53" s="9" t="s">
        <v>85</v>
      </c>
      <c r="AY53" s="9" t="s">
        <v>85</v>
      </c>
      <c r="AZ53" s="9" t="s">
        <v>85</v>
      </c>
      <c r="BA53" s="9" t="s">
        <v>85</v>
      </c>
      <c r="BB53" s="9" t="s">
        <v>85</v>
      </c>
      <c r="BC53" s="9" t="s">
        <v>85</v>
      </c>
      <c r="BD53" s="9" t="s">
        <v>85</v>
      </c>
      <c r="BE53" s="9" t="s">
        <v>85</v>
      </c>
      <c r="BF53" s="10" t="s">
        <v>85</v>
      </c>
      <c r="BG53" s="10" t="s">
        <v>85</v>
      </c>
      <c r="BH53" s="9" t="s">
        <v>85</v>
      </c>
      <c r="BI53" s="6"/>
      <c r="BJ53" s="6" t="str">
        <f t="shared" si="1"/>
        <v>10BoN_Fold_Median</v>
      </c>
      <c r="BK53" s="6" t="str">
        <f t="shared" si="2"/>
        <v>5Bo_Fold_Median</v>
      </c>
      <c r="BL53" s="6" t="str">
        <f t="shared" si="3"/>
        <v>5Bo_Fold_Median</v>
      </c>
      <c r="BM53" s="6"/>
      <c r="BN53" s="6">
        <f t="shared" si="4"/>
        <v>10</v>
      </c>
      <c r="BO53" s="6"/>
      <c r="BP53" s="6"/>
      <c r="BQ53" s="6"/>
      <c r="BR53" s="6"/>
      <c r="BS53" s="6"/>
      <c r="BT53" s="6"/>
      <c r="BU53" s="6"/>
      <c r="BV53" s="6"/>
      <c r="BW53" s="6"/>
      <c r="BX53" s="6"/>
    </row>
    <row r="54" ht="15.75" customHeight="1">
      <c r="A54" s="1" t="s">
        <v>148</v>
      </c>
      <c r="B54" s="17">
        <v>99.0</v>
      </c>
      <c r="C54" s="17">
        <v>10.0</v>
      </c>
      <c r="D54" s="9" t="s">
        <v>85</v>
      </c>
      <c r="E54" s="9">
        <v>0.521053</v>
      </c>
      <c r="F54" s="9" t="s">
        <v>85</v>
      </c>
      <c r="G54" s="9" t="s">
        <v>85</v>
      </c>
      <c r="H54" s="30">
        <v>0.514473677</v>
      </c>
      <c r="I54" s="9" t="s">
        <v>85</v>
      </c>
      <c r="J54" s="9" t="s">
        <v>85</v>
      </c>
      <c r="K54" s="9" t="s">
        <v>85</v>
      </c>
      <c r="L54" s="9" t="s">
        <v>85</v>
      </c>
      <c r="M54" s="9" t="s">
        <v>85</v>
      </c>
      <c r="N54" s="9" t="s">
        <v>85</v>
      </c>
      <c r="O54" s="9" t="s">
        <v>85</v>
      </c>
      <c r="P54" s="9" t="s">
        <v>85</v>
      </c>
      <c r="Q54" s="9">
        <v>0.527632</v>
      </c>
      <c r="R54" s="9" t="s">
        <v>85</v>
      </c>
      <c r="S54" s="9" t="s">
        <v>85</v>
      </c>
      <c r="T54" s="9">
        <v>0.526316</v>
      </c>
      <c r="U54" s="9" t="s">
        <v>85</v>
      </c>
      <c r="V54" s="9" t="s">
        <v>85</v>
      </c>
      <c r="W54" s="9" t="s">
        <v>85</v>
      </c>
      <c r="X54" s="9" t="s">
        <v>85</v>
      </c>
      <c r="Y54" s="9" t="s">
        <v>85</v>
      </c>
      <c r="Z54" s="9" t="s">
        <v>85</v>
      </c>
      <c r="AA54" s="9" t="s">
        <v>85</v>
      </c>
      <c r="AB54" s="9" t="s">
        <v>85</v>
      </c>
      <c r="AC54" s="30">
        <v>0.542105</v>
      </c>
      <c r="AD54" s="9" t="s">
        <v>85</v>
      </c>
      <c r="AE54" s="9" t="s">
        <v>85</v>
      </c>
      <c r="AF54" s="30">
        <v>0.531579</v>
      </c>
      <c r="AG54" s="9" t="s">
        <v>85</v>
      </c>
      <c r="AH54" s="9" t="s">
        <v>85</v>
      </c>
      <c r="AI54" s="9" t="s">
        <v>85</v>
      </c>
      <c r="AJ54" s="9" t="s">
        <v>85</v>
      </c>
      <c r="AK54" s="9" t="s">
        <v>85</v>
      </c>
      <c r="AL54" s="9" t="s">
        <v>85</v>
      </c>
      <c r="AM54" s="9" t="s">
        <v>85</v>
      </c>
      <c r="AN54" s="9" t="s">
        <v>85</v>
      </c>
      <c r="AO54" s="9">
        <v>0.536842</v>
      </c>
      <c r="AP54" s="9" t="s">
        <v>85</v>
      </c>
      <c r="AQ54" s="9" t="s">
        <v>85</v>
      </c>
      <c r="AR54" s="30">
        <v>0.553947</v>
      </c>
      <c r="AS54" s="9" t="s">
        <v>85</v>
      </c>
      <c r="AT54" s="9" t="s">
        <v>85</v>
      </c>
      <c r="AU54" s="9" t="s">
        <v>85</v>
      </c>
      <c r="AV54" s="9" t="s">
        <v>85</v>
      </c>
      <c r="AW54" s="9" t="s">
        <v>85</v>
      </c>
      <c r="AX54" s="9" t="s">
        <v>85</v>
      </c>
      <c r="AY54" s="9" t="s">
        <v>85</v>
      </c>
      <c r="AZ54" s="9" t="s">
        <v>85</v>
      </c>
      <c r="BA54" s="9" t="s">
        <v>85</v>
      </c>
      <c r="BB54" s="9" t="s">
        <v>85</v>
      </c>
      <c r="BC54" s="9" t="s">
        <v>85</v>
      </c>
      <c r="BD54" s="9" t="s">
        <v>85</v>
      </c>
      <c r="BE54" s="9" t="s">
        <v>85</v>
      </c>
      <c r="BF54" s="10" t="s">
        <v>85</v>
      </c>
      <c r="BG54" s="10" t="s">
        <v>85</v>
      </c>
      <c r="BH54" s="9" t="s">
        <v>85</v>
      </c>
      <c r="BI54" s="6"/>
      <c r="BJ54" s="6" t="str">
        <f t="shared" si="1"/>
        <v>12BoN_Fold_Median</v>
      </c>
      <c r="BK54" s="6" t="str">
        <f t="shared" si="2"/>
        <v>10Bo_Fold_Median</v>
      </c>
      <c r="BL54" s="6" t="str">
        <f t="shared" si="3"/>
        <v>12Bo_Fold_Median</v>
      </c>
      <c r="BM54" s="6"/>
      <c r="BN54" s="6">
        <f t="shared" si="4"/>
        <v>12</v>
      </c>
      <c r="BO54" s="6"/>
      <c r="BP54" s="6"/>
      <c r="BQ54" s="6"/>
      <c r="BR54" s="6"/>
      <c r="BS54" s="6"/>
      <c r="BT54" s="6"/>
      <c r="BU54" s="6"/>
      <c r="BV54" s="6"/>
      <c r="BW54" s="6"/>
      <c r="BX54" s="6"/>
    </row>
    <row r="55" ht="15.75" customHeight="1">
      <c r="A55" s="1" t="s">
        <v>149</v>
      </c>
      <c r="B55" s="17">
        <v>80.0</v>
      </c>
      <c r="C55" s="17">
        <v>3.0</v>
      </c>
      <c r="D55" s="9" t="s">
        <v>85</v>
      </c>
      <c r="E55" s="9">
        <v>0.564935</v>
      </c>
      <c r="F55" s="9" t="s">
        <v>85</v>
      </c>
      <c r="G55" s="9" t="s">
        <v>85</v>
      </c>
      <c r="H55" s="30">
        <v>0.558441579</v>
      </c>
      <c r="I55" s="9" t="s">
        <v>85</v>
      </c>
      <c r="J55" s="9" t="s">
        <v>85</v>
      </c>
      <c r="K55" s="9" t="s">
        <v>85</v>
      </c>
      <c r="L55" s="9" t="s">
        <v>85</v>
      </c>
      <c r="M55" s="9" t="s">
        <v>85</v>
      </c>
      <c r="N55" s="9" t="s">
        <v>85</v>
      </c>
      <c r="O55" s="9" t="s">
        <v>85</v>
      </c>
      <c r="P55" s="9" t="s">
        <v>85</v>
      </c>
      <c r="Q55" s="9">
        <v>0.584416</v>
      </c>
      <c r="R55" s="9" t="s">
        <v>85</v>
      </c>
      <c r="S55" s="9" t="s">
        <v>85</v>
      </c>
      <c r="T55" s="9">
        <v>0.584416</v>
      </c>
      <c r="U55" s="9" t="s">
        <v>85</v>
      </c>
      <c r="V55" s="9" t="s">
        <v>85</v>
      </c>
      <c r="W55" s="9" t="s">
        <v>85</v>
      </c>
      <c r="X55" s="9" t="s">
        <v>85</v>
      </c>
      <c r="Y55" s="9" t="s">
        <v>85</v>
      </c>
      <c r="Z55" s="9" t="s">
        <v>85</v>
      </c>
      <c r="AA55" s="9" t="s">
        <v>85</v>
      </c>
      <c r="AB55" s="9" t="s">
        <v>85</v>
      </c>
      <c r="AC55" s="30">
        <v>0.584416</v>
      </c>
      <c r="AD55" s="9" t="s">
        <v>85</v>
      </c>
      <c r="AE55" s="9" t="s">
        <v>85</v>
      </c>
      <c r="AF55" s="30">
        <v>0.584416</v>
      </c>
      <c r="AG55" s="9" t="s">
        <v>85</v>
      </c>
      <c r="AH55" s="9" t="s">
        <v>85</v>
      </c>
      <c r="AI55" s="9" t="s">
        <v>85</v>
      </c>
      <c r="AJ55" s="9" t="s">
        <v>85</v>
      </c>
      <c r="AK55" s="9" t="s">
        <v>85</v>
      </c>
      <c r="AL55" s="9" t="s">
        <v>85</v>
      </c>
      <c r="AM55" s="9" t="s">
        <v>85</v>
      </c>
      <c r="AN55" s="9" t="s">
        <v>85</v>
      </c>
      <c r="AO55" s="9">
        <v>0.584416</v>
      </c>
      <c r="AP55" s="9" t="s">
        <v>85</v>
      </c>
      <c r="AQ55" s="9" t="s">
        <v>85</v>
      </c>
      <c r="AR55" s="30">
        <v>0.577922</v>
      </c>
      <c r="AS55" s="9" t="s">
        <v>85</v>
      </c>
      <c r="AT55" s="9" t="s">
        <v>85</v>
      </c>
      <c r="AU55" s="9" t="s">
        <v>85</v>
      </c>
      <c r="AV55" s="9" t="s">
        <v>85</v>
      </c>
      <c r="AW55" s="9" t="s">
        <v>85</v>
      </c>
      <c r="AX55" s="9" t="s">
        <v>85</v>
      </c>
      <c r="AY55" s="9" t="s">
        <v>85</v>
      </c>
      <c r="AZ55" s="9" t="s">
        <v>85</v>
      </c>
      <c r="BA55" s="9" t="s">
        <v>85</v>
      </c>
      <c r="BB55" s="9" t="s">
        <v>85</v>
      </c>
      <c r="BC55" s="9" t="s">
        <v>85</v>
      </c>
      <c r="BD55" s="9" t="s">
        <v>85</v>
      </c>
      <c r="BE55" s="9" t="s">
        <v>85</v>
      </c>
      <c r="BF55" s="10" t="s">
        <v>85</v>
      </c>
      <c r="BG55" s="10" t="s">
        <v>85</v>
      </c>
      <c r="BH55" s="9" t="s">
        <v>85</v>
      </c>
      <c r="BI55" s="6"/>
      <c r="BJ55" s="6" t="str">
        <f t="shared" si="1"/>
        <v>8Bo_Fold_Median</v>
      </c>
      <c r="BK55" s="6" t="str">
        <f t="shared" si="2"/>
        <v>8Bo_Fold_Median</v>
      </c>
      <c r="BL55" s="6" t="str">
        <f t="shared" si="3"/>
        <v>8Bo_Fold_Median</v>
      </c>
      <c r="BM55" s="6"/>
      <c r="BN55" s="6">
        <f t="shared" si="4"/>
        <v>8</v>
      </c>
      <c r="BO55" s="6"/>
      <c r="BP55" s="6"/>
      <c r="BQ55" s="6"/>
      <c r="BR55" s="6"/>
      <c r="BS55" s="6"/>
      <c r="BT55" s="6"/>
      <c r="BU55" s="6"/>
      <c r="BV55" s="6"/>
      <c r="BW55" s="6"/>
      <c r="BX55" s="6"/>
    </row>
    <row r="56" ht="15.75" customHeight="1">
      <c r="A56" s="1" t="s">
        <v>150</v>
      </c>
      <c r="B56" s="17">
        <v>80.0</v>
      </c>
      <c r="C56" s="17">
        <v>2.0</v>
      </c>
      <c r="D56" s="9" t="s">
        <v>85</v>
      </c>
      <c r="E56" s="9">
        <v>0.714777</v>
      </c>
      <c r="F56" s="9" t="s">
        <v>85</v>
      </c>
      <c r="G56" s="9" t="s">
        <v>85</v>
      </c>
      <c r="H56" s="30">
        <v>0.676975965</v>
      </c>
      <c r="I56" s="9" t="s">
        <v>85</v>
      </c>
      <c r="J56" s="9" t="s">
        <v>85</v>
      </c>
      <c r="K56" s="9" t="s">
        <v>85</v>
      </c>
      <c r="L56" s="9" t="s">
        <v>85</v>
      </c>
      <c r="M56" s="9" t="s">
        <v>85</v>
      </c>
      <c r="N56" s="9" t="s">
        <v>85</v>
      </c>
      <c r="O56" s="9" t="s">
        <v>85</v>
      </c>
      <c r="P56" s="9" t="s">
        <v>85</v>
      </c>
      <c r="Q56" s="9">
        <v>0.701031</v>
      </c>
      <c r="R56" s="9" t="s">
        <v>85</v>
      </c>
      <c r="S56" s="9" t="s">
        <v>85</v>
      </c>
      <c r="T56" s="9">
        <v>0.752577</v>
      </c>
      <c r="U56" s="9" t="s">
        <v>85</v>
      </c>
      <c r="V56" s="9" t="s">
        <v>85</v>
      </c>
      <c r="W56" s="9" t="s">
        <v>85</v>
      </c>
      <c r="X56" s="9" t="s">
        <v>85</v>
      </c>
      <c r="Y56" s="9" t="s">
        <v>85</v>
      </c>
      <c r="Z56" s="9" t="s">
        <v>85</v>
      </c>
      <c r="AA56" s="9" t="s">
        <v>85</v>
      </c>
      <c r="AB56" s="9" t="s">
        <v>85</v>
      </c>
      <c r="AC56" s="30">
        <v>0.749141</v>
      </c>
      <c r="AD56" s="9" t="s">
        <v>85</v>
      </c>
      <c r="AE56" s="9" t="s">
        <v>85</v>
      </c>
      <c r="AF56" s="30">
        <v>0.742268</v>
      </c>
      <c r="AG56" s="9" t="s">
        <v>85</v>
      </c>
      <c r="AH56" s="9" t="s">
        <v>85</v>
      </c>
      <c r="AI56" s="9" t="s">
        <v>85</v>
      </c>
      <c r="AJ56" s="9" t="s">
        <v>85</v>
      </c>
      <c r="AK56" s="9" t="s">
        <v>85</v>
      </c>
      <c r="AL56" s="9" t="s">
        <v>85</v>
      </c>
      <c r="AM56" s="9" t="s">
        <v>85</v>
      </c>
      <c r="AN56" s="9" t="s">
        <v>85</v>
      </c>
      <c r="AO56" s="9">
        <v>0.738832</v>
      </c>
      <c r="AP56" s="9" t="s">
        <v>85</v>
      </c>
      <c r="AQ56" s="9" t="s">
        <v>85</v>
      </c>
      <c r="AR56" s="30">
        <v>0.742268</v>
      </c>
      <c r="AS56" s="9" t="s">
        <v>85</v>
      </c>
      <c r="AT56" s="9" t="s">
        <v>85</v>
      </c>
      <c r="AU56" s="9" t="s">
        <v>85</v>
      </c>
      <c r="AV56" s="9" t="s">
        <v>85</v>
      </c>
      <c r="AW56" s="9" t="s">
        <v>85</v>
      </c>
      <c r="AX56" s="9" t="s">
        <v>85</v>
      </c>
      <c r="AY56" s="9" t="s">
        <v>85</v>
      </c>
      <c r="AZ56" s="9" t="s">
        <v>85</v>
      </c>
      <c r="BA56" s="9" t="s">
        <v>85</v>
      </c>
      <c r="BB56" s="9" t="s">
        <v>85</v>
      </c>
      <c r="BC56" s="9" t="s">
        <v>85</v>
      </c>
      <c r="BD56" s="9" t="s">
        <v>85</v>
      </c>
      <c r="BE56" s="9" t="s">
        <v>85</v>
      </c>
      <c r="BF56" s="10" t="s">
        <v>85</v>
      </c>
      <c r="BG56" s="10" t="s">
        <v>85</v>
      </c>
      <c r="BH56" s="9" t="s">
        <v>85</v>
      </c>
      <c r="BI56" s="6"/>
      <c r="BJ56" s="6" t="str">
        <f t="shared" si="1"/>
        <v>8BoN_Fold_Median</v>
      </c>
      <c r="BK56" s="6" t="str">
        <f t="shared" si="2"/>
        <v>10Bo_Fold_Median</v>
      </c>
      <c r="BL56" s="6" t="str">
        <f t="shared" si="3"/>
        <v>10BoN_Fold_Median</v>
      </c>
      <c r="BM56" s="6"/>
      <c r="BN56" s="6">
        <f t="shared" si="4"/>
        <v>8</v>
      </c>
      <c r="BO56" s="6"/>
      <c r="BP56" s="6"/>
      <c r="BQ56" s="6"/>
      <c r="BR56" s="6"/>
      <c r="BS56" s="6"/>
      <c r="BT56" s="6"/>
      <c r="BU56" s="6"/>
      <c r="BV56" s="6"/>
      <c r="BW56" s="6"/>
      <c r="BX56" s="6"/>
    </row>
    <row r="57" ht="15.75" customHeight="1">
      <c r="A57" s="1" t="s">
        <v>151</v>
      </c>
      <c r="B57" s="17">
        <v>80.0</v>
      </c>
      <c r="C57" s="17">
        <v>6.0</v>
      </c>
      <c r="D57" s="9" t="s">
        <v>85</v>
      </c>
      <c r="E57" s="9">
        <v>0.558442</v>
      </c>
      <c r="F57" s="9" t="s">
        <v>85</v>
      </c>
      <c r="G57" s="9" t="s">
        <v>85</v>
      </c>
      <c r="H57" s="30">
        <v>0.558441579</v>
      </c>
      <c r="I57" s="9" t="s">
        <v>85</v>
      </c>
      <c r="J57" s="9" t="s">
        <v>85</v>
      </c>
      <c r="K57" s="9" t="s">
        <v>85</v>
      </c>
      <c r="L57" s="9" t="s">
        <v>85</v>
      </c>
      <c r="M57" s="9" t="s">
        <v>85</v>
      </c>
      <c r="N57" s="9" t="s">
        <v>85</v>
      </c>
      <c r="O57" s="9" t="s">
        <v>85</v>
      </c>
      <c r="P57" s="9" t="s">
        <v>85</v>
      </c>
      <c r="Q57" s="9">
        <v>0.551948</v>
      </c>
      <c r="R57" s="9" t="s">
        <v>85</v>
      </c>
      <c r="S57" s="9" t="s">
        <v>85</v>
      </c>
      <c r="T57" s="9">
        <v>0.558442</v>
      </c>
      <c r="U57" s="9" t="s">
        <v>85</v>
      </c>
      <c r="V57" s="9" t="s">
        <v>85</v>
      </c>
      <c r="W57" s="9" t="s">
        <v>85</v>
      </c>
      <c r="X57" s="9" t="s">
        <v>85</v>
      </c>
      <c r="Y57" s="9" t="s">
        <v>85</v>
      </c>
      <c r="Z57" s="9" t="s">
        <v>85</v>
      </c>
      <c r="AA57" s="9" t="s">
        <v>85</v>
      </c>
      <c r="AB57" s="9" t="s">
        <v>85</v>
      </c>
      <c r="AC57" s="30">
        <v>0.558442</v>
      </c>
      <c r="AD57" s="9" t="s">
        <v>85</v>
      </c>
      <c r="AE57" s="9" t="s">
        <v>85</v>
      </c>
      <c r="AF57" s="30">
        <v>0.558442</v>
      </c>
      <c r="AG57" s="9" t="s">
        <v>85</v>
      </c>
      <c r="AH57" s="9" t="s">
        <v>85</v>
      </c>
      <c r="AI57" s="9" t="s">
        <v>85</v>
      </c>
      <c r="AJ57" s="9" t="s">
        <v>85</v>
      </c>
      <c r="AK57" s="9" t="s">
        <v>85</v>
      </c>
      <c r="AL57" s="9" t="s">
        <v>85</v>
      </c>
      <c r="AM57" s="9" t="s">
        <v>85</v>
      </c>
      <c r="AN57" s="9" t="s">
        <v>85</v>
      </c>
      <c r="AO57" s="9">
        <v>0.558442</v>
      </c>
      <c r="AP57" s="9" t="s">
        <v>85</v>
      </c>
      <c r="AQ57" s="9" t="s">
        <v>85</v>
      </c>
      <c r="AR57" s="30">
        <v>0.558442</v>
      </c>
      <c r="AS57" s="9" t="s">
        <v>85</v>
      </c>
      <c r="AT57" s="9" t="s">
        <v>85</v>
      </c>
      <c r="AU57" s="9" t="s">
        <v>85</v>
      </c>
      <c r="AV57" s="9" t="s">
        <v>85</v>
      </c>
      <c r="AW57" s="9" t="s">
        <v>85</v>
      </c>
      <c r="AX57" s="9" t="s">
        <v>85</v>
      </c>
      <c r="AY57" s="9" t="s">
        <v>85</v>
      </c>
      <c r="AZ57" s="9" t="s">
        <v>85</v>
      </c>
      <c r="BA57" s="9" t="s">
        <v>85</v>
      </c>
      <c r="BB57" s="9" t="s">
        <v>85</v>
      </c>
      <c r="BC57" s="9" t="s">
        <v>85</v>
      </c>
      <c r="BD57" s="9" t="s">
        <v>85</v>
      </c>
      <c r="BE57" s="9" t="s">
        <v>85</v>
      </c>
      <c r="BF57" s="10" t="s">
        <v>85</v>
      </c>
      <c r="BG57" s="10" t="s">
        <v>85</v>
      </c>
      <c r="BH57" s="9" t="s">
        <v>85</v>
      </c>
      <c r="BI57" s="6"/>
      <c r="BJ57" s="6" t="str">
        <f t="shared" si="1"/>
        <v>5Bo_Fold_Median</v>
      </c>
      <c r="BK57" s="6" t="str">
        <f t="shared" si="2"/>
        <v>5Bo_Fold_Median</v>
      </c>
      <c r="BL57" s="6" t="str">
        <f t="shared" si="3"/>
        <v>5Bo_Fold_Median</v>
      </c>
      <c r="BM57" s="6"/>
      <c r="BN57" s="6">
        <f t="shared" si="4"/>
        <v>5</v>
      </c>
      <c r="BO57" s="6"/>
      <c r="BP57" s="6"/>
      <c r="BQ57" s="6"/>
      <c r="BR57" s="6"/>
      <c r="BS57" s="6"/>
      <c r="BT57" s="6"/>
      <c r="BU57" s="6"/>
      <c r="BV57" s="6"/>
      <c r="BW57" s="6"/>
      <c r="BX57" s="6"/>
    </row>
    <row r="58" ht="15.75" customHeight="1">
      <c r="A58" s="1" t="s">
        <v>152</v>
      </c>
      <c r="B58" s="17">
        <v>1024.0</v>
      </c>
      <c r="C58" s="17">
        <v>5.0</v>
      </c>
      <c r="D58" s="9" t="s">
        <v>85</v>
      </c>
      <c r="E58" s="9">
        <v>0.822268</v>
      </c>
      <c r="F58" s="9" t="s">
        <v>85</v>
      </c>
      <c r="G58" s="9" t="s">
        <v>85</v>
      </c>
      <c r="H58" s="30">
        <v>0.824742258</v>
      </c>
      <c r="I58" s="9" t="s">
        <v>85</v>
      </c>
      <c r="J58" s="9" t="s">
        <v>85</v>
      </c>
      <c r="K58" s="9" t="s">
        <v>85</v>
      </c>
      <c r="L58" s="9" t="s">
        <v>85</v>
      </c>
      <c r="M58" s="9" t="s">
        <v>85</v>
      </c>
      <c r="N58" s="9" t="s">
        <v>85</v>
      </c>
      <c r="O58" s="9" t="s">
        <v>85</v>
      </c>
      <c r="P58" s="9" t="s">
        <v>85</v>
      </c>
      <c r="Q58" s="9">
        <v>0.856082</v>
      </c>
      <c r="R58" s="9" t="s">
        <v>85</v>
      </c>
      <c r="S58" s="9" t="s">
        <v>85</v>
      </c>
      <c r="T58" s="9">
        <v>0.859381</v>
      </c>
      <c r="U58" s="9" t="s">
        <v>85</v>
      </c>
      <c r="V58" s="9" t="s">
        <v>85</v>
      </c>
      <c r="W58" s="9" t="s">
        <v>85</v>
      </c>
      <c r="X58" s="9" t="s">
        <v>85</v>
      </c>
      <c r="Y58" s="9" t="s">
        <v>85</v>
      </c>
      <c r="Z58" s="9" t="s">
        <v>85</v>
      </c>
      <c r="AA58" s="9" t="s">
        <v>85</v>
      </c>
      <c r="AB58" s="9" t="s">
        <v>85</v>
      </c>
      <c r="AC58" s="30">
        <v>0.854433</v>
      </c>
      <c r="AD58" s="9" t="s">
        <v>85</v>
      </c>
      <c r="AE58" s="9" t="s">
        <v>85</v>
      </c>
      <c r="AF58" s="30">
        <v>0.852784</v>
      </c>
      <c r="AG58" s="9" t="s">
        <v>85</v>
      </c>
      <c r="AH58" s="9" t="s">
        <v>85</v>
      </c>
      <c r="AI58" s="9" t="s">
        <v>85</v>
      </c>
      <c r="AJ58" s="9" t="s">
        <v>85</v>
      </c>
      <c r="AK58" s="9" t="s">
        <v>85</v>
      </c>
      <c r="AL58" s="9" t="s">
        <v>85</v>
      </c>
      <c r="AM58" s="9" t="s">
        <v>85</v>
      </c>
      <c r="AN58" s="9" t="s">
        <v>85</v>
      </c>
      <c r="AO58" s="9">
        <v>0.852784</v>
      </c>
      <c r="AP58" s="9" t="s">
        <v>85</v>
      </c>
      <c r="AQ58" s="9" t="s">
        <v>85</v>
      </c>
      <c r="AR58" s="30">
        <v>0.856495</v>
      </c>
      <c r="AS58" s="9" t="s">
        <v>85</v>
      </c>
      <c r="AT58" s="9" t="s">
        <v>85</v>
      </c>
      <c r="AU58" s="9" t="s">
        <v>85</v>
      </c>
      <c r="AV58" s="9" t="s">
        <v>85</v>
      </c>
      <c r="AW58" s="9" t="s">
        <v>85</v>
      </c>
      <c r="AX58" s="9" t="s">
        <v>85</v>
      </c>
      <c r="AY58" s="9" t="s">
        <v>85</v>
      </c>
      <c r="AZ58" s="9" t="s">
        <v>85</v>
      </c>
      <c r="BA58" s="9" t="s">
        <v>85</v>
      </c>
      <c r="BB58" s="9" t="s">
        <v>85</v>
      </c>
      <c r="BC58" s="9" t="s">
        <v>85</v>
      </c>
      <c r="BD58" s="9" t="s">
        <v>85</v>
      </c>
      <c r="BE58" s="9" t="s">
        <v>85</v>
      </c>
      <c r="BF58" s="10" t="s">
        <v>85</v>
      </c>
      <c r="BG58" s="10" t="s">
        <v>85</v>
      </c>
      <c r="BH58" s="9" t="s">
        <v>85</v>
      </c>
      <c r="BI58" s="6"/>
      <c r="BJ58" s="6" t="str">
        <f t="shared" si="1"/>
        <v>8BoN_Fold_Median</v>
      </c>
      <c r="BK58" s="6" t="str">
        <f t="shared" si="2"/>
        <v>12BoN_Fold_Median</v>
      </c>
      <c r="BL58" s="6" t="str">
        <f t="shared" si="3"/>
        <v>8Bo_Fold_Median</v>
      </c>
      <c r="BM58" s="6"/>
      <c r="BN58" s="6">
        <f t="shared" si="4"/>
        <v>8</v>
      </c>
      <c r="BO58" s="6"/>
      <c r="BP58" s="6"/>
      <c r="BQ58" s="6"/>
      <c r="BR58" s="6"/>
      <c r="BS58" s="6"/>
      <c r="BT58" s="6"/>
      <c r="BU58" s="6"/>
      <c r="BV58" s="6"/>
      <c r="BW58" s="6"/>
      <c r="BX58" s="6"/>
    </row>
    <row r="59" ht="15.75" customHeight="1">
      <c r="A59" s="1" t="s">
        <v>153</v>
      </c>
      <c r="B59" s="17">
        <v>1024.0</v>
      </c>
      <c r="C59" s="17">
        <v>5.0</v>
      </c>
      <c r="D59" s="9" t="s">
        <v>85</v>
      </c>
      <c r="E59" s="9">
        <v>0.764948</v>
      </c>
      <c r="F59" s="9" t="s">
        <v>85</v>
      </c>
      <c r="G59" s="9" t="s">
        <v>85</v>
      </c>
      <c r="H59" s="30">
        <v>0.748865962</v>
      </c>
      <c r="I59" s="9" t="s">
        <v>85</v>
      </c>
      <c r="J59" s="9" t="s">
        <v>85</v>
      </c>
      <c r="K59" s="9" t="s">
        <v>85</v>
      </c>
      <c r="L59" s="9" t="s">
        <v>85</v>
      </c>
      <c r="M59" s="9" t="s">
        <v>85</v>
      </c>
      <c r="N59" s="9" t="s">
        <v>85</v>
      </c>
      <c r="O59" s="9" t="s">
        <v>85</v>
      </c>
      <c r="P59" s="9" t="s">
        <v>85</v>
      </c>
      <c r="Q59" s="9">
        <v>0.783918</v>
      </c>
      <c r="R59" s="9" t="s">
        <v>85</v>
      </c>
      <c r="S59" s="9" t="s">
        <v>85</v>
      </c>
      <c r="T59" s="9">
        <v>0.796289</v>
      </c>
      <c r="U59" s="9" t="s">
        <v>85</v>
      </c>
      <c r="V59" s="9" t="s">
        <v>85</v>
      </c>
      <c r="W59" s="9" t="s">
        <v>85</v>
      </c>
      <c r="X59" s="9" t="s">
        <v>85</v>
      </c>
      <c r="Y59" s="9" t="s">
        <v>85</v>
      </c>
      <c r="Z59" s="9" t="s">
        <v>85</v>
      </c>
      <c r="AA59" s="9" t="s">
        <v>85</v>
      </c>
      <c r="AB59" s="9" t="s">
        <v>85</v>
      </c>
      <c r="AC59" s="30">
        <v>0.794639</v>
      </c>
      <c r="AD59" s="9" t="s">
        <v>85</v>
      </c>
      <c r="AE59" s="9" t="s">
        <v>85</v>
      </c>
      <c r="AF59" s="30">
        <v>0.802887</v>
      </c>
      <c r="AG59" s="9" t="s">
        <v>85</v>
      </c>
      <c r="AH59" s="9" t="s">
        <v>85</v>
      </c>
      <c r="AI59" s="9" t="s">
        <v>85</v>
      </c>
      <c r="AJ59" s="9" t="s">
        <v>85</v>
      </c>
      <c r="AK59" s="9" t="s">
        <v>85</v>
      </c>
      <c r="AL59" s="9" t="s">
        <v>85</v>
      </c>
      <c r="AM59" s="9" t="s">
        <v>85</v>
      </c>
      <c r="AN59" s="9" t="s">
        <v>85</v>
      </c>
      <c r="AO59" s="9">
        <v>0.782268</v>
      </c>
      <c r="AP59" s="9" t="s">
        <v>85</v>
      </c>
      <c r="AQ59" s="9" t="s">
        <v>85</v>
      </c>
      <c r="AR59" s="30">
        <v>0.782268</v>
      </c>
      <c r="AS59" s="9" t="s">
        <v>85</v>
      </c>
      <c r="AT59" s="9" t="s">
        <v>85</v>
      </c>
      <c r="AU59" s="9" t="s">
        <v>85</v>
      </c>
      <c r="AV59" s="9" t="s">
        <v>85</v>
      </c>
      <c r="AW59" s="9" t="s">
        <v>85</v>
      </c>
      <c r="AX59" s="9" t="s">
        <v>85</v>
      </c>
      <c r="AY59" s="9" t="s">
        <v>85</v>
      </c>
      <c r="AZ59" s="9" t="s">
        <v>85</v>
      </c>
      <c r="BA59" s="9" t="s">
        <v>85</v>
      </c>
      <c r="BB59" s="9" t="s">
        <v>85</v>
      </c>
      <c r="BC59" s="9" t="s">
        <v>85</v>
      </c>
      <c r="BD59" s="9" t="s">
        <v>85</v>
      </c>
      <c r="BE59" s="9" t="s">
        <v>85</v>
      </c>
      <c r="BF59" s="10" t="s">
        <v>85</v>
      </c>
      <c r="BG59" s="10" t="s">
        <v>85</v>
      </c>
      <c r="BH59" s="9" t="s">
        <v>85</v>
      </c>
      <c r="BI59" s="6"/>
      <c r="BJ59" s="6" t="str">
        <f t="shared" si="1"/>
        <v>10BoN_Fold_Median</v>
      </c>
      <c r="BK59" s="6" t="str">
        <f t="shared" si="2"/>
        <v>8BoN_Fold_Median</v>
      </c>
      <c r="BL59" s="6" t="str">
        <f t="shared" si="3"/>
        <v>10Bo_Fold_Median</v>
      </c>
      <c r="BM59" s="6"/>
      <c r="BN59" s="6">
        <f t="shared" si="4"/>
        <v>10</v>
      </c>
      <c r="BO59" s="6"/>
      <c r="BP59" s="6"/>
      <c r="BQ59" s="6"/>
      <c r="BR59" s="6"/>
      <c r="BS59" s="6"/>
      <c r="BT59" s="6"/>
      <c r="BU59" s="6"/>
      <c r="BV59" s="6"/>
      <c r="BW59" s="6"/>
      <c r="BX59" s="6"/>
    </row>
    <row r="60" ht="15.75" customHeight="1">
      <c r="A60" s="1" t="s">
        <v>154</v>
      </c>
      <c r="B60" s="17">
        <v>84.0</v>
      </c>
      <c r="C60" s="17">
        <v>2.0</v>
      </c>
      <c r="D60" s="9" t="s">
        <v>85</v>
      </c>
      <c r="E60" s="9">
        <v>0.722045</v>
      </c>
      <c r="F60" s="9" t="s">
        <v>85</v>
      </c>
      <c r="G60" s="9" t="s">
        <v>85</v>
      </c>
      <c r="H60" s="30">
        <v>0.809105456</v>
      </c>
      <c r="I60" s="9" t="s">
        <v>85</v>
      </c>
      <c r="J60" s="9" t="s">
        <v>85</v>
      </c>
      <c r="K60" s="9" t="s">
        <v>85</v>
      </c>
      <c r="L60" s="9" t="s">
        <v>85</v>
      </c>
      <c r="M60" s="9" t="s">
        <v>85</v>
      </c>
      <c r="N60" s="9" t="s">
        <v>85</v>
      </c>
      <c r="O60" s="9" t="s">
        <v>85</v>
      </c>
      <c r="P60" s="9" t="s">
        <v>85</v>
      </c>
      <c r="Q60" s="9">
        <v>0.748403</v>
      </c>
      <c r="R60" s="9" t="s">
        <v>85</v>
      </c>
      <c r="S60" s="9" t="s">
        <v>85</v>
      </c>
      <c r="T60" s="9">
        <v>0.780351</v>
      </c>
      <c r="U60" s="9" t="s">
        <v>85</v>
      </c>
      <c r="V60" s="9" t="s">
        <v>85</v>
      </c>
      <c r="W60" s="9" t="s">
        <v>85</v>
      </c>
      <c r="X60" s="9" t="s">
        <v>85</v>
      </c>
      <c r="Y60" s="9" t="s">
        <v>85</v>
      </c>
      <c r="Z60" s="9" t="s">
        <v>85</v>
      </c>
      <c r="AA60" s="9" t="s">
        <v>85</v>
      </c>
      <c r="AB60" s="9" t="s">
        <v>85</v>
      </c>
      <c r="AC60" s="30">
        <v>0.735623</v>
      </c>
      <c r="AD60" s="9" t="s">
        <v>85</v>
      </c>
      <c r="AE60" s="9" t="s">
        <v>85</v>
      </c>
      <c r="AF60" s="30">
        <v>0.783546</v>
      </c>
      <c r="AG60" s="9" t="s">
        <v>85</v>
      </c>
      <c r="AH60" s="9" t="s">
        <v>85</v>
      </c>
      <c r="AI60" s="9" t="s">
        <v>85</v>
      </c>
      <c r="AJ60" s="9" t="s">
        <v>85</v>
      </c>
      <c r="AK60" s="9" t="s">
        <v>85</v>
      </c>
      <c r="AL60" s="9" t="s">
        <v>85</v>
      </c>
      <c r="AM60" s="9" t="s">
        <v>85</v>
      </c>
      <c r="AN60" s="9" t="s">
        <v>85</v>
      </c>
      <c r="AO60" s="9">
        <v>0.753195</v>
      </c>
      <c r="AP60" s="9" t="s">
        <v>85</v>
      </c>
      <c r="AQ60" s="9" t="s">
        <v>85</v>
      </c>
      <c r="AR60" s="30">
        <v>0.739617</v>
      </c>
      <c r="AS60" s="9" t="s">
        <v>85</v>
      </c>
      <c r="AT60" s="9" t="s">
        <v>85</v>
      </c>
      <c r="AU60" s="9" t="s">
        <v>85</v>
      </c>
      <c r="AV60" s="9" t="s">
        <v>85</v>
      </c>
      <c r="AW60" s="9" t="s">
        <v>85</v>
      </c>
      <c r="AX60" s="9" t="s">
        <v>85</v>
      </c>
      <c r="AY60" s="9" t="s">
        <v>85</v>
      </c>
      <c r="AZ60" s="9" t="s">
        <v>85</v>
      </c>
      <c r="BA60" s="9" t="s">
        <v>85</v>
      </c>
      <c r="BB60" s="9" t="s">
        <v>85</v>
      </c>
      <c r="BC60" s="9" t="s">
        <v>85</v>
      </c>
      <c r="BD60" s="9" t="s">
        <v>85</v>
      </c>
      <c r="BE60" s="9" t="s">
        <v>85</v>
      </c>
      <c r="BF60" s="10" t="s">
        <v>85</v>
      </c>
      <c r="BG60" s="10" t="s">
        <v>85</v>
      </c>
      <c r="BH60" s="9" t="s">
        <v>85</v>
      </c>
      <c r="BI60" s="6"/>
      <c r="BJ60" s="6" t="str">
        <f t="shared" si="1"/>
        <v>5BoN_Fold_Median</v>
      </c>
      <c r="BK60" s="6" t="str">
        <f t="shared" si="2"/>
        <v>10BoN_Fold_Median</v>
      </c>
      <c r="BL60" s="6" t="str">
        <f t="shared" si="3"/>
        <v>8BoN_Fold_Median</v>
      </c>
      <c r="BM60" s="6"/>
      <c r="BN60" s="6">
        <f t="shared" si="4"/>
        <v>5</v>
      </c>
      <c r="BO60" s="6"/>
      <c r="BP60" s="6"/>
      <c r="BQ60" s="6"/>
      <c r="BR60" s="6"/>
      <c r="BS60" s="6"/>
      <c r="BT60" s="6"/>
      <c r="BU60" s="6"/>
      <c r="BV60" s="6"/>
      <c r="BW60" s="6"/>
      <c r="BX60" s="6"/>
    </row>
    <row r="61" ht="15.75" customHeight="1">
      <c r="A61" s="1" t="s">
        <v>155</v>
      </c>
      <c r="B61" s="17">
        <v>570.0</v>
      </c>
      <c r="C61" s="17">
        <v>4.0</v>
      </c>
      <c r="D61" s="9" t="s">
        <v>85</v>
      </c>
      <c r="E61" s="9">
        <v>0.533333</v>
      </c>
      <c r="F61" s="9" t="s">
        <v>85</v>
      </c>
      <c r="G61" s="9" t="s">
        <v>85</v>
      </c>
      <c r="H61" s="30">
        <v>0.400000006</v>
      </c>
      <c r="I61" s="9" t="s">
        <v>85</v>
      </c>
      <c r="J61" s="9" t="s">
        <v>85</v>
      </c>
      <c r="K61" s="9" t="s">
        <v>85</v>
      </c>
      <c r="L61" s="9" t="s">
        <v>85</v>
      </c>
      <c r="M61" s="9" t="s">
        <v>85</v>
      </c>
      <c r="N61" s="9" t="s">
        <v>85</v>
      </c>
      <c r="O61" s="9" t="s">
        <v>85</v>
      </c>
      <c r="P61" s="9" t="s">
        <v>85</v>
      </c>
      <c r="Q61" s="9">
        <v>0.466667</v>
      </c>
      <c r="R61" s="9" t="s">
        <v>85</v>
      </c>
      <c r="S61" s="9" t="s">
        <v>85</v>
      </c>
      <c r="T61" s="9">
        <v>0.4</v>
      </c>
      <c r="U61" s="9" t="s">
        <v>85</v>
      </c>
      <c r="V61" s="9" t="s">
        <v>85</v>
      </c>
      <c r="W61" s="9" t="s">
        <v>85</v>
      </c>
      <c r="X61" s="9" t="s">
        <v>85</v>
      </c>
      <c r="Y61" s="9" t="s">
        <v>85</v>
      </c>
      <c r="Z61" s="9" t="s">
        <v>85</v>
      </c>
      <c r="AA61" s="9" t="s">
        <v>85</v>
      </c>
      <c r="AB61" s="9" t="s">
        <v>85</v>
      </c>
      <c r="AC61" s="30">
        <v>0.4</v>
      </c>
      <c r="AD61" s="9" t="s">
        <v>85</v>
      </c>
      <c r="AE61" s="9" t="s">
        <v>85</v>
      </c>
      <c r="AF61" s="30">
        <v>0.4</v>
      </c>
      <c r="AG61" s="9" t="s">
        <v>85</v>
      </c>
      <c r="AH61" s="9" t="s">
        <v>85</v>
      </c>
      <c r="AI61" s="9" t="s">
        <v>85</v>
      </c>
      <c r="AJ61" s="9" t="s">
        <v>85</v>
      </c>
      <c r="AK61" s="9" t="s">
        <v>85</v>
      </c>
      <c r="AL61" s="9" t="s">
        <v>85</v>
      </c>
      <c r="AM61" s="9" t="s">
        <v>85</v>
      </c>
      <c r="AN61" s="9" t="s">
        <v>85</v>
      </c>
      <c r="AO61" s="9">
        <v>0.4</v>
      </c>
      <c r="AP61" s="9" t="s">
        <v>85</v>
      </c>
      <c r="AQ61" s="9" t="s">
        <v>85</v>
      </c>
      <c r="AR61" s="30">
        <v>0.4</v>
      </c>
      <c r="AS61" s="9" t="s">
        <v>85</v>
      </c>
      <c r="AT61" s="9" t="s">
        <v>85</v>
      </c>
      <c r="AU61" s="9" t="s">
        <v>85</v>
      </c>
      <c r="AV61" s="9" t="s">
        <v>85</v>
      </c>
      <c r="AW61" s="9" t="s">
        <v>85</v>
      </c>
      <c r="AX61" s="9" t="s">
        <v>85</v>
      </c>
      <c r="AY61" s="9" t="s">
        <v>85</v>
      </c>
      <c r="AZ61" s="9" t="s">
        <v>85</v>
      </c>
      <c r="BA61" s="9" t="s">
        <v>85</v>
      </c>
      <c r="BB61" s="9" t="s">
        <v>85</v>
      </c>
      <c r="BC61" s="9" t="s">
        <v>85</v>
      </c>
      <c r="BD61" s="9" t="s">
        <v>85</v>
      </c>
      <c r="BE61" s="9" t="s">
        <v>85</v>
      </c>
      <c r="BF61" s="10" t="s">
        <v>85</v>
      </c>
      <c r="BG61" s="10" t="s">
        <v>85</v>
      </c>
      <c r="BH61" s="9" t="s">
        <v>85</v>
      </c>
      <c r="BI61" s="6"/>
      <c r="BJ61" s="6" t="str">
        <f t="shared" si="1"/>
        <v>5Bo_Fold_Median</v>
      </c>
      <c r="BK61" s="6" t="str">
        <f t="shared" si="2"/>
        <v>8Bo_Fold_Median</v>
      </c>
      <c r="BL61" s="6" t="str">
        <f t="shared" si="3"/>
        <v>5BoN_Fold_Median</v>
      </c>
      <c r="BM61" s="6"/>
      <c r="BN61" s="6">
        <f t="shared" si="4"/>
        <v>5</v>
      </c>
      <c r="BO61" s="6"/>
      <c r="BP61" s="6"/>
      <c r="BQ61" s="6"/>
      <c r="BR61" s="6"/>
      <c r="BS61" s="6"/>
      <c r="BT61" s="6"/>
      <c r="BU61" s="6"/>
      <c r="BV61" s="6"/>
      <c r="BW61" s="6"/>
      <c r="BX61" s="6"/>
    </row>
    <row r="62" ht="15.75" customHeight="1">
      <c r="A62" s="1" t="s">
        <v>156</v>
      </c>
      <c r="B62" s="17">
        <v>427.0</v>
      </c>
      <c r="C62" s="17">
        <v>6.0</v>
      </c>
      <c r="D62" s="9" t="s">
        <v>85</v>
      </c>
      <c r="E62" s="9">
        <v>0.413223</v>
      </c>
      <c r="F62" s="9" t="s">
        <v>85</v>
      </c>
      <c r="G62" s="9" t="s">
        <v>85</v>
      </c>
      <c r="H62" s="30">
        <v>0.446280986</v>
      </c>
      <c r="I62" s="9" t="s">
        <v>85</v>
      </c>
      <c r="J62" s="9" t="s">
        <v>85</v>
      </c>
      <c r="K62" s="9" t="s">
        <v>85</v>
      </c>
      <c r="L62" s="9" t="s">
        <v>85</v>
      </c>
      <c r="M62" s="9" t="s">
        <v>85</v>
      </c>
      <c r="N62" s="9" t="s">
        <v>85</v>
      </c>
      <c r="O62" s="9" t="s">
        <v>85</v>
      </c>
      <c r="P62" s="9" t="s">
        <v>85</v>
      </c>
      <c r="Q62" s="9">
        <v>0.38843</v>
      </c>
      <c r="R62" s="9" t="s">
        <v>85</v>
      </c>
      <c r="S62" s="9" t="s">
        <v>85</v>
      </c>
      <c r="T62" s="9">
        <v>0.413223</v>
      </c>
      <c r="U62" s="9" t="s">
        <v>85</v>
      </c>
      <c r="V62" s="9" t="s">
        <v>85</v>
      </c>
      <c r="W62" s="9" t="s">
        <v>85</v>
      </c>
      <c r="X62" s="9" t="s">
        <v>85</v>
      </c>
      <c r="Y62" s="9" t="s">
        <v>85</v>
      </c>
      <c r="Z62" s="9" t="s">
        <v>85</v>
      </c>
      <c r="AA62" s="9" t="s">
        <v>85</v>
      </c>
      <c r="AB62" s="9" t="s">
        <v>85</v>
      </c>
      <c r="AC62" s="30">
        <v>0.46281</v>
      </c>
      <c r="AD62" s="9" t="s">
        <v>85</v>
      </c>
      <c r="AE62" s="9" t="s">
        <v>85</v>
      </c>
      <c r="AF62" s="30">
        <v>0.458678</v>
      </c>
      <c r="AG62" s="9" t="s">
        <v>85</v>
      </c>
      <c r="AH62" s="9" t="s">
        <v>85</v>
      </c>
      <c r="AI62" s="9" t="s">
        <v>85</v>
      </c>
      <c r="AJ62" s="9" t="s">
        <v>85</v>
      </c>
      <c r="AK62" s="9" t="s">
        <v>85</v>
      </c>
      <c r="AL62" s="9" t="s">
        <v>85</v>
      </c>
      <c r="AM62" s="9" t="s">
        <v>85</v>
      </c>
      <c r="AN62" s="9" t="s">
        <v>85</v>
      </c>
      <c r="AO62" s="9">
        <v>0.454545</v>
      </c>
      <c r="AP62" s="9" t="s">
        <v>85</v>
      </c>
      <c r="AQ62" s="9" t="s">
        <v>85</v>
      </c>
      <c r="AR62" s="30">
        <v>0.466942</v>
      </c>
      <c r="AS62" s="9" t="s">
        <v>85</v>
      </c>
      <c r="AT62" s="9" t="s">
        <v>85</v>
      </c>
      <c r="AU62" s="9" t="s">
        <v>85</v>
      </c>
      <c r="AV62" s="9" t="s">
        <v>85</v>
      </c>
      <c r="AW62" s="9" t="s">
        <v>85</v>
      </c>
      <c r="AX62" s="9" t="s">
        <v>85</v>
      </c>
      <c r="AY62" s="9" t="s">
        <v>85</v>
      </c>
      <c r="AZ62" s="9" t="s">
        <v>85</v>
      </c>
      <c r="BA62" s="9" t="s">
        <v>85</v>
      </c>
      <c r="BB62" s="9" t="s">
        <v>85</v>
      </c>
      <c r="BC62" s="9" t="s">
        <v>85</v>
      </c>
      <c r="BD62" s="9" t="s">
        <v>85</v>
      </c>
      <c r="BE62" s="9" t="s">
        <v>85</v>
      </c>
      <c r="BF62" s="10" t="s">
        <v>85</v>
      </c>
      <c r="BG62" s="10" t="s">
        <v>85</v>
      </c>
      <c r="BH62" s="9" t="s">
        <v>85</v>
      </c>
      <c r="BI62" s="6"/>
      <c r="BJ62" s="6" t="str">
        <f t="shared" si="1"/>
        <v>12BoN_Fold_Median</v>
      </c>
      <c r="BK62" s="6" t="str">
        <f t="shared" si="2"/>
        <v>10Bo_Fold_Median</v>
      </c>
      <c r="BL62" s="6" t="str">
        <f t="shared" si="3"/>
        <v>10BoN_Fold_Median</v>
      </c>
      <c r="BM62" s="6"/>
      <c r="BN62" s="6">
        <f t="shared" si="4"/>
        <v>12</v>
      </c>
      <c r="BO62" s="6"/>
      <c r="BP62" s="6"/>
      <c r="BQ62" s="6"/>
      <c r="BR62" s="6"/>
      <c r="BS62" s="6"/>
      <c r="BT62" s="6"/>
      <c r="BU62" s="6"/>
      <c r="BV62" s="6"/>
      <c r="BW62" s="6"/>
      <c r="BX62" s="6"/>
    </row>
    <row r="63" ht="15.75" customHeight="1">
      <c r="A63" s="1" t="s">
        <v>157</v>
      </c>
      <c r="B63" s="17">
        <v>80.0</v>
      </c>
      <c r="C63" s="17">
        <v>2.0</v>
      </c>
      <c r="D63" s="9" t="s">
        <v>85</v>
      </c>
      <c r="E63" s="9">
        <v>0.613054</v>
      </c>
      <c r="F63" s="9" t="s">
        <v>85</v>
      </c>
      <c r="G63" s="9" t="s">
        <v>85</v>
      </c>
      <c r="H63" s="30">
        <v>0.692307711</v>
      </c>
      <c r="I63" s="9" t="s">
        <v>85</v>
      </c>
      <c r="J63" s="9" t="s">
        <v>85</v>
      </c>
      <c r="K63" s="9" t="s">
        <v>85</v>
      </c>
      <c r="L63" s="9" t="s">
        <v>85</v>
      </c>
      <c r="M63" s="9" t="s">
        <v>85</v>
      </c>
      <c r="N63" s="9" t="s">
        <v>85</v>
      </c>
      <c r="O63" s="9" t="s">
        <v>85</v>
      </c>
      <c r="P63" s="9" t="s">
        <v>85</v>
      </c>
      <c r="Q63" s="9">
        <v>0.715618</v>
      </c>
      <c r="R63" s="9" t="s">
        <v>85</v>
      </c>
      <c r="S63" s="9" t="s">
        <v>85</v>
      </c>
      <c r="T63" s="9">
        <v>0.713287</v>
      </c>
      <c r="U63" s="9" t="s">
        <v>85</v>
      </c>
      <c r="V63" s="9" t="s">
        <v>85</v>
      </c>
      <c r="W63" s="9" t="s">
        <v>85</v>
      </c>
      <c r="X63" s="9" t="s">
        <v>85</v>
      </c>
      <c r="Y63" s="9" t="s">
        <v>85</v>
      </c>
      <c r="Z63" s="9" t="s">
        <v>85</v>
      </c>
      <c r="AA63" s="9" t="s">
        <v>85</v>
      </c>
      <c r="AB63" s="9" t="s">
        <v>85</v>
      </c>
      <c r="AC63" s="30">
        <v>0.722611</v>
      </c>
      <c r="AD63" s="9" t="s">
        <v>85</v>
      </c>
      <c r="AE63" s="9" t="s">
        <v>85</v>
      </c>
      <c r="AF63" s="30">
        <v>0.740093</v>
      </c>
      <c r="AG63" s="9" t="s">
        <v>85</v>
      </c>
      <c r="AH63" s="9" t="s">
        <v>85</v>
      </c>
      <c r="AI63" s="9" t="s">
        <v>85</v>
      </c>
      <c r="AJ63" s="9" t="s">
        <v>85</v>
      </c>
      <c r="AK63" s="9" t="s">
        <v>85</v>
      </c>
      <c r="AL63" s="9" t="s">
        <v>85</v>
      </c>
      <c r="AM63" s="9" t="s">
        <v>85</v>
      </c>
      <c r="AN63" s="9" t="s">
        <v>85</v>
      </c>
      <c r="AO63" s="9">
        <v>0.75641</v>
      </c>
      <c r="AP63" s="9" t="s">
        <v>85</v>
      </c>
      <c r="AQ63" s="9" t="s">
        <v>85</v>
      </c>
      <c r="AR63" s="30">
        <v>0.757576</v>
      </c>
      <c r="AS63" s="9" t="s">
        <v>85</v>
      </c>
      <c r="AT63" s="9" t="s">
        <v>85</v>
      </c>
      <c r="AU63" s="9" t="s">
        <v>85</v>
      </c>
      <c r="AV63" s="9" t="s">
        <v>85</v>
      </c>
      <c r="AW63" s="9" t="s">
        <v>85</v>
      </c>
      <c r="AX63" s="9" t="s">
        <v>85</v>
      </c>
      <c r="AY63" s="9" t="s">
        <v>85</v>
      </c>
      <c r="AZ63" s="9" t="s">
        <v>85</v>
      </c>
      <c r="BA63" s="9" t="s">
        <v>85</v>
      </c>
      <c r="BB63" s="9" t="s">
        <v>85</v>
      </c>
      <c r="BC63" s="9" t="s">
        <v>85</v>
      </c>
      <c r="BD63" s="9" t="s">
        <v>85</v>
      </c>
      <c r="BE63" s="9" t="s">
        <v>85</v>
      </c>
      <c r="BF63" s="10" t="s">
        <v>85</v>
      </c>
      <c r="BG63" s="10" t="s">
        <v>85</v>
      </c>
      <c r="BH63" s="9" t="s">
        <v>85</v>
      </c>
      <c r="BI63" s="6"/>
      <c r="BJ63" s="6" t="str">
        <f t="shared" si="1"/>
        <v>12BoN_Fold_Median</v>
      </c>
      <c r="BK63" s="6" t="str">
        <f t="shared" si="2"/>
        <v>12Bo_Fold_Median</v>
      </c>
      <c r="BL63" s="6" t="str">
        <f t="shared" si="3"/>
        <v>10BoN_Fold_Median</v>
      </c>
      <c r="BM63" s="6"/>
      <c r="BN63" s="6">
        <f t="shared" si="4"/>
        <v>12</v>
      </c>
      <c r="BO63" s="6"/>
      <c r="BP63" s="6"/>
      <c r="BQ63" s="6"/>
      <c r="BR63" s="6"/>
      <c r="BS63" s="6"/>
      <c r="BT63" s="6"/>
      <c r="BU63" s="6"/>
      <c r="BV63" s="6"/>
      <c r="BW63" s="6"/>
      <c r="BX63" s="6"/>
    </row>
    <row r="64" ht="15.75" customHeight="1">
      <c r="A64" s="1" t="s">
        <v>158</v>
      </c>
      <c r="B64" s="17">
        <v>1024.0</v>
      </c>
      <c r="C64" s="17">
        <v>39.0</v>
      </c>
      <c r="D64" s="9" t="s">
        <v>85</v>
      </c>
      <c r="E64" s="9">
        <v>0.141878</v>
      </c>
      <c r="F64" s="9" t="s">
        <v>85</v>
      </c>
      <c r="G64" s="9" t="s">
        <v>85</v>
      </c>
      <c r="H64" s="30">
        <v>0.145569623</v>
      </c>
      <c r="I64" s="9" t="s">
        <v>85</v>
      </c>
      <c r="J64" s="9" t="s">
        <v>85</v>
      </c>
      <c r="K64" s="9" t="s">
        <v>85</v>
      </c>
      <c r="L64" s="9" t="s">
        <v>85</v>
      </c>
      <c r="M64" s="9" t="s">
        <v>85</v>
      </c>
      <c r="N64" s="9" t="s">
        <v>85</v>
      </c>
      <c r="O64" s="9" t="s">
        <v>85</v>
      </c>
      <c r="P64" s="9" t="s">
        <v>85</v>
      </c>
      <c r="Q64" s="9">
        <v>0.151899</v>
      </c>
      <c r="R64" s="9" t="s">
        <v>85</v>
      </c>
      <c r="S64" s="9" t="s">
        <v>85</v>
      </c>
      <c r="T64" s="9">
        <v>0.149789</v>
      </c>
      <c r="U64" s="9" t="s">
        <v>85</v>
      </c>
      <c r="V64" s="9" t="s">
        <v>85</v>
      </c>
      <c r="W64" s="9" t="s">
        <v>85</v>
      </c>
      <c r="X64" s="9" t="s">
        <v>85</v>
      </c>
      <c r="Y64" s="9" t="s">
        <v>85</v>
      </c>
      <c r="Z64" s="9" t="s">
        <v>85</v>
      </c>
      <c r="AA64" s="9" t="s">
        <v>85</v>
      </c>
      <c r="AB64" s="9" t="s">
        <v>85</v>
      </c>
      <c r="AC64" s="30">
        <v>0.149789</v>
      </c>
      <c r="AD64" s="9" t="s">
        <v>85</v>
      </c>
      <c r="AE64" s="9" t="s">
        <v>85</v>
      </c>
      <c r="AF64" s="30">
        <v>0.152426</v>
      </c>
      <c r="AG64" s="9" t="s">
        <v>85</v>
      </c>
      <c r="AH64" s="9" t="s">
        <v>85</v>
      </c>
      <c r="AI64" s="9" t="s">
        <v>85</v>
      </c>
      <c r="AJ64" s="9" t="s">
        <v>85</v>
      </c>
      <c r="AK64" s="9" t="s">
        <v>85</v>
      </c>
      <c r="AL64" s="9" t="s">
        <v>85</v>
      </c>
      <c r="AM64" s="9" t="s">
        <v>85</v>
      </c>
      <c r="AN64" s="9" t="s">
        <v>85</v>
      </c>
      <c r="AO64" s="9">
        <v>0.167194</v>
      </c>
      <c r="AP64" s="9" t="s">
        <v>85</v>
      </c>
      <c r="AQ64" s="9" t="s">
        <v>85</v>
      </c>
      <c r="AR64" s="30">
        <v>0.156646</v>
      </c>
      <c r="AS64" s="9" t="s">
        <v>85</v>
      </c>
      <c r="AT64" s="9" t="s">
        <v>85</v>
      </c>
      <c r="AU64" s="9" t="s">
        <v>85</v>
      </c>
      <c r="AV64" s="9" t="s">
        <v>85</v>
      </c>
      <c r="AW64" s="9" t="s">
        <v>85</v>
      </c>
      <c r="AX64" s="9" t="s">
        <v>85</v>
      </c>
      <c r="AY64" s="9" t="s">
        <v>85</v>
      </c>
      <c r="AZ64" s="9" t="s">
        <v>85</v>
      </c>
      <c r="BA64" s="9" t="s">
        <v>85</v>
      </c>
      <c r="BB64" s="9" t="s">
        <v>85</v>
      </c>
      <c r="BC64" s="9" t="s">
        <v>85</v>
      </c>
      <c r="BD64" s="9" t="s">
        <v>85</v>
      </c>
      <c r="BE64" s="9" t="s">
        <v>85</v>
      </c>
      <c r="BF64" s="10" t="s">
        <v>85</v>
      </c>
      <c r="BG64" s="10" t="s">
        <v>85</v>
      </c>
      <c r="BH64" s="9" t="s">
        <v>85</v>
      </c>
      <c r="BI64" s="6"/>
      <c r="BJ64" s="6" t="str">
        <f t="shared" si="1"/>
        <v>12Bo_Fold_Median</v>
      </c>
      <c r="BK64" s="6" t="str">
        <f t="shared" si="2"/>
        <v>12BoN_Fold_Median</v>
      </c>
      <c r="BL64" s="6" t="str">
        <f t="shared" si="3"/>
        <v>10BoN_Fold_Median</v>
      </c>
      <c r="BM64" s="6"/>
      <c r="BN64" s="6">
        <f t="shared" si="4"/>
        <v>12</v>
      </c>
      <c r="BO64" s="6"/>
      <c r="BP64" s="6"/>
      <c r="BQ64" s="6"/>
      <c r="BR64" s="6"/>
      <c r="BS64" s="6"/>
      <c r="BT64" s="6"/>
      <c r="BU64" s="6"/>
      <c r="BV64" s="6"/>
      <c r="BW64" s="6"/>
      <c r="BX64" s="6"/>
    </row>
    <row r="65" ht="15.75" customHeight="1">
      <c r="A65" s="1" t="s">
        <v>159</v>
      </c>
      <c r="B65" s="17">
        <v>2000.0</v>
      </c>
      <c r="C65" s="17">
        <v>52.0</v>
      </c>
      <c r="D65" s="9" t="s">
        <v>85</v>
      </c>
      <c r="E65" s="9">
        <v>0.028846</v>
      </c>
      <c r="F65" s="9" t="s">
        <v>85</v>
      </c>
      <c r="G65" s="9" t="s">
        <v>85</v>
      </c>
      <c r="H65" s="30">
        <v>0.033653848</v>
      </c>
      <c r="I65" s="9" t="s">
        <v>85</v>
      </c>
      <c r="J65" s="9" t="s">
        <v>85</v>
      </c>
      <c r="K65" s="9" t="s">
        <v>85</v>
      </c>
      <c r="L65" s="9" t="s">
        <v>85</v>
      </c>
      <c r="M65" s="9" t="s">
        <v>85</v>
      </c>
      <c r="N65" s="9" t="s">
        <v>85</v>
      </c>
      <c r="O65" s="9" t="s">
        <v>85</v>
      </c>
      <c r="P65" s="9" t="s">
        <v>85</v>
      </c>
      <c r="Q65" s="9">
        <v>0.019231</v>
      </c>
      <c r="R65" s="9" t="s">
        <v>85</v>
      </c>
      <c r="S65" s="9" t="s">
        <v>85</v>
      </c>
      <c r="T65" s="9">
        <v>0.024038</v>
      </c>
      <c r="U65" s="9" t="s">
        <v>85</v>
      </c>
      <c r="V65" s="9" t="s">
        <v>85</v>
      </c>
      <c r="W65" s="9" t="s">
        <v>85</v>
      </c>
      <c r="X65" s="9" t="s">
        <v>85</v>
      </c>
      <c r="Y65" s="9" t="s">
        <v>85</v>
      </c>
      <c r="Z65" s="9" t="s">
        <v>85</v>
      </c>
      <c r="AA65" s="9" t="s">
        <v>85</v>
      </c>
      <c r="AB65" s="9" t="s">
        <v>85</v>
      </c>
      <c r="AC65" s="30">
        <v>0.033654</v>
      </c>
      <c r="AD65" s="9" t="s">
        <v>85</v>
      </c>
      <c r="AE65" s="9" t="s">
        <v>85</v>
      </c>
      <c r="AF65" s="30">
        <v>0.028846</v>
      </c>
      <c r="AG65" s="9" t="s">
        <v>85</v>
      </c>
      <c r="AH65" s="9" t="s">
        <v>85</v>
      </c>
      <c r="AI65" s="9" t="s">
        <v>85</v>
      </c>
      <c r="AJ65" s="9" t="s">
        <v>85</v>
      </c>
      <c r="AK65" s="9" t="s">
        <v>85</v>
      </c>
      <c r="AL65" s="9" t="s">
        <v>85</v>
      </c>
      <c r="AM65" s="9" t="s">
        <v>85</v>
      </c>
      <c r="AN65" s="9" t="s">
        <v>85</v>
      </c>
      <c r="AO65" s="9">
        <v>0.024038</v>
      </c>
      <c r="AP65" s="9" t="s">
        <v>85</v>
      </c>
      <c r="AQ65" s="9" t="s">
        <v>85</v>
      </c>
      <c r="AR65" s="30">
        <v>0.024038</v>
      </c>
      <c r="AS65" s="9" t="s">
        <v>85</v>
      </c>
      <c r="AT65" s="9" t="s">
        <v>85</v>
      </c>
      <c r="AU65" s="9" t="s">
        <v>85</v>
      </c>
      <c r="AV65" s="9" t="s">
        <v>85</v>
      </c>
      <c r="AW65" s="9" t="s">
        <v>85</v>
      </c>
      <c r="AX65" s="9" t="s">
        <v>85</v>
      </c>
      <c r="AY65" s="9" t="s">
        <v>85</v>
      </c>
      <c r="AZ65" s="9" t="s">
        <v>85</v>
      </c>
      <c r="BA65" s="9" t="s">
        <v>85</v>
      </c>
      <c r="BB65" s="9" t="s">
        <v>85</v>
      </c>
      <c r="BC65" s="9" t="s">
        <v>85</v>
      </c>
      <c r="BD65" s="9" t="s">
        <v>85</v>
      </c>
      <c r="BE65" s="9" t="s">
        <v>85</v>
      </c>
      <c r="BF65" s="10" t="s">
        <v>85</v>
      </c>
      <c r="BG65" s="10" t="s">
        <v>85</v>
      </c>
      <c r="BH65" s="9" t="s">
        <v>85</v>
      </c>
      <c r="BI65" s="6"/>
      <c r="BJ65" s="6" t="str">
        <f t="shared" si="1"/>
        <v>10Bo_Fold_Median</v>
      </c>
      <c r="BK65" s="6" t="str">
        <f t="shared" si="2"/>
        <v>5BoN_Fold_Median</v>
      </c>
      <c r="BL65" s="6" t="str">
        <f t="shared" si="3"/>
        <v>5Bo_Fold_Median</v>
      </c>
      <c r="BM65" s="6"/>
      <c r="BN65" s="6">
        <f t="shared" si="4"/>
        <v>10</v>
      </c>
      <c r="BO65" s="6"/>
      <c r="BP65" s="6"/>
      <c r="BQ65" s="6"/>
      <c r="BR65" s="6"/>
      <c r="BS65" s="6"/>
      <c r="BT65" s="6"/>
      <c r="BU65" s="6"/>
      <c r="BV65" s="6"/>
      <c r="BW65" s="6"/>
      <c r="BX65" s="6"/>
    </row>
    <row r="66" ht="15.75" customHeight="1">
      <c r="A66" s="1" t="s">
        <v>160</v>
      </c>
      <c r="B66" s="17">
        <v>2000.0</v>
      </c>
      <c r="C66" s="17">
        <v>52.0</v>
      </c>
      <c r="D66" s="9" t="s">
        <v>85</v>
      </c>
      <c r="E66" s="9">
        <v>0.019231</v>
      </c>
      <c r="F66" s="9" t="s">
        <v>85</v>
      </c>
      <c r="G66" s="9" t="s">
        <v>85</v>
      </c>
      <c r="H66" s="30">
        <v>0.024038462</v>
      </c>
      <c r="I66" s="9" t="s">
        <v>85</v>
      </c>
      <c r="J66" s="9" t="s">
        <v>85</v>
      </c>
      <c r="K66" s="9" t="s">
        <v>85</v>
      </c>
      <c r="L66" s="9" t="s">
        <v>85</v>
      </c>
      <c r="M66" s="9" t="s">
        <v>85</v>
      </c>
      <c r="N66" s="9" t="s">
        <v>85</v>
      </c>
      <c r="O66" s="9" t="s">
        <v>85</v>
      </c>
      <c r="P66" s="9" t="s">
        <v>85</v>
      </c>
      <c r="Q66" s="9">
        <v>0.019231</v>
      </c>
      <c r="R66" s="9" t="s">
        <v>85</v>
      </c>
      <c r="S66" s="9" t="s">
        <v>85</v>
      </c>
      <c r="T66" s="9">
        <v>0.019231</v>
      </c>
      <c r="U66" s="9" t="s">
        <v>85</v>
      </c>
      <c r="V66" s="9" t="s">
        <v>85</v>
      </c>
      <c r="W66" s="9" t="s">
        <v>85</v>
      </c>
      <c r="X66" s="9" t="s">
        <v>85</v>
      </c>
      <c r="Y66" s="9" t="s">
        <v>85</v>
      </c>
      <c r="Z66" s="9" t="s">
        <v>85</v>
      </c>
      <c r="AA66" s="9" t="s">
        <v>85</v>
      </c>
      <c r="AB66" s="9" t="s">
        <v>85</v>
      </c>
      <c r="AC66" s="30">
        <v>0.028846</v>
      </c>
      <c r="AD66" s="9" t="s">
        <v>85</v>
      </c>
      <c r="AE66" s="9" t="s">
        <v>85</v>
      </c>
      <c r="AF66" s="30">
        <v>0.019231</v>
      </c>
      <c r="AG66" s="9" t="s">
        <v>85</v>
      </c>
      <c r="AH66" s="9" t="s">
        <v>85</v>
      </c>
      <c r="AI66" s="9" t="s">
        <v>85</v>
      </c>
      <c r="AJ66" s="9" t="s">
        <v>85</v>
      </c>
      <c r="AK66" s="9" t="s">
        <v>85</v>
      </c>
      <c r="AL66" s="9" t="s">
        <v>85</v>
      </c>
      <c r="AM66" s="9" t="s">
        <v>85</v>
      </c>
      <c r="AN66" s="9" t="s">
        <v>85</v>
      </c>
      <c r="AO66" s="9">
        <v>0.019231</v>
      </c>
      <c r="AP66" s="9" t="s">
        <v>85</v>
      </c>
      <c r="AQ66" s="9" t="s">
        <v>85</v>
      </c>
      <c r="AR66" s="30">
        <v>0.024038</v>
      </c>
      <c r="AS66" s="9" t="s">
        <v>85</v>
      </c>
      <c r="AT66" s="9" t="s">
        <v>85</v>
      </c>
      <c r="AU66" s="9" t="s">
        <v>85</v>
      </c>
      <c r="AV66" s="9" t="s">
        <v>85</v>
      </c>
      <c r="AW66" s="9" t="s">
        <v>85</v>
      </c>
      <c r="AX66" s="9" t="s">
        <v>85</v>
      </c>
      <c r="AY66" s="9" t="s">
        <v>85</v>
      </c>
      <c r="AZ66" s="9" t="s">
        <v>85</v>
      </c>
      <c r="BA66" s="9" t="s">
        <v>85</v>
      </c>
      <c r="BB66" s="9" t="s">
        <v>85</v>
      </c>
      <c r="BC66" s="9" t="s">
        <v>85</v>
      </c>
      <c r="BD66" s="9" t="s">
        <v>85</v>
      </c>
      <c r="BE66" s="9" t="s">
        <v>85</v>
      </c>
      <c r="BF66" s="10" t="s">
        <v>85</v>
      </c>
      <c r="BG66" s="10" t="s">
        <v>85</v>
      </c>
      <c r="BH66" s="9" t="s">
        <v>85</v>
      </c>
      <c r="BI66" s="6"/>
      <c r="BJ66" s="6" t="str">
        <f t="shared" si="1"/>
        <v>10Bo_Fold_Median</v>
      </c>
      <c r="BK66" s="6" t="str">
        <f t="shared" si="2"/>
        <v>5BoN_Fold_Median</v>
      </c>
      <c r="BL66" s="6" t="str">
        <f t="shared" si="3"/>
        <v>12BoN_Fold_Median</v>
      </c>
      <c r="BM66" s="6"/>
      <c r="BN66" s="6">
        <f t="shared" si="4"/>
        <v>10</v>
      </c>
      <c r="BO66" s="6"/>
      <c r="BP66" s="6"/>
      <c r="BQ66" s="6"/>
      <c r="BR66" s="6"/>
      <c r="BS66" s="6"/>
      <c r="BT66" s="6"/>
      <c r="BU66" s="6"/>
      <c r="BV66" s="6"/>
      <c r="BW66" s="6"/>
      <c r="BX66" s="6"/>
    </row>
    <row r="67" ht="15.75" customHeight="1">
      <c r="A67" s="1" t="s">
        <v>161</v>
      </c>
      <c r="B67" s="17">
        <v>2000.0</v>
      </c>
      <c r="C67" s="17">
        <v>52.0</v>
      </c>
      <c r="D67" s="9" t="s">
        <v>85</v>
      </c>
      <c r="E67" s="9">
        <v>0.019231</v>
      </c>
      <c r="F67" s="9" t="s">
        <v>85</v>
      </c>
      <c r="G67" s="9" t="s">
        <v>85</v>
      </c>
      <c r="H67" s="30">
        <v>0.01923077</v>
      </c>
      <c r="I67" s="9" t="s">
        <v>85</v>
      </c>
      <c r="J67" s="9" t="s">
        <v>85</v>
      </c>
      <c r="K67" s="9" t="s">
        <v>85</v>
      </c>
      <c r="L67" s="9" t="s">
        <v>85</v>
      </c>
      <c r="M67" s="9" t="s">
        <v>85</v>
      </c>
      <c r="N67" s="9" t="s">
        <v>85</v>
      </c>
      <c r="O67" s="9" t="s">
        <v>85</v>
      </c>
      <c r="P67" s="9" t="s">
        <v>85</v>
      </c>
      <c r="Q67" s="9">
        <v>0.024038</v>
      </c>
      <c r="R67" s="9" t="s">
        <v>85</v>
      </c>
      <c r="S67" s="9" t="s">
        <v>85</v>
      </c>
      <c r="T67" s="9">
        <v>0.028846</v>
      </c>
      <c r="U67" s="9" t="s">
        <v>85</v>
      </c>
      <c r="V67" s="9" t="s">
        <v>85</v>
      </c>
      <c r="W67" s="9" t="s">
        <v>85</v>
      </c>
      <c r="X67" s="9" t="s">
        <v>85</v>
      </c>
      <c r="Y67" s="9" t="s">
        <v>85</v>
      </c>
      <c r="Z67" s="9" t="s">
        <v>85</v>
      </c>
      <c r="AA67" s="9" t="s">
        <v>85</v>
      </c>
      <c r="AB67" s="9" t="s">
        <v>85</v>
      </c>
      <c r="AC67" s="30">
        <v>0.019231</v>
      </c>
      <c r="AD67" s="9" t="s">
        <v>85</v>
      </c>
      <c r="AE67" s="9" t="s">
        <v>85</v>
      </c>
      <c r="AF67" s="30">
        <v>0.024038</v>
      </c>
      <c r="AG67" s="9" t="s">
        <v>85</v>
      </c>
      <c r="AH67" s="9" t="s">
        <v>85</v>
      </c>
      <c r="AI67" s="9" t="s">
        <v>85</v>
      </c>
      <c r="AJ67" s="9" t="s">
        <v>85</v>
      </c>
      <c r="AK67" s="9" t="s">
        <v>85</v>
      </c>
      <c r="AL67" s="9" t="s">
        <v>85</v>
      </c>
      <c r="AM67" s="9" t="s">
        <v>85</v>
      </c>
      <c r="AN67" s="9" t="s">
        <v>85</v>
      </c>
      <c r="AO67" s="9">
        <v>0.024038</v>
      </c>
      <c r="AP67" s="9" t="s">
        <v>85</v>
      </c>
      <c r="AQ67" s="9" t="s">
        <v>85</v>
      </c>
      <c r="AR67" s="30">
        <v>0.019231</v>
      </c>
      <c r="AS67" s="9" t="s">
        <v>85</v>
      </c>
      <c r="AT67" s="9" t="s">
        <v>85</v>
      </c>
      <c r="AU67" s="9" t="s">
        <v>85</v>
      </c>
      <c r="AV67" s="9" t="s">
        <v>85</v>
      </c>
      <c r="AW67" s="9" t="s">
        <v>85</v>
      </c>
      <c r="AX67" s="9" t="s">
        <v>85</v>
      </c>
      <c r="AY67" s="9" t="s">
        <v>85</v>
      </c>
      <c r="AZ67" s="9" t="s">
        <v>85</v>
      </c>
      <c r="BA67" s="9" t="s">
        <v>85</v>
      </c>
      <c r="BB67" s="9" t="s">
        <v>85</v>
      </c>
      <c r="BC67" s="9" t="s">
        <v>85</v>
      </c>
      <c r="BD67" s="9" t="s">
        <v>85</v>
      </c>
      <c r="BE67" s="9" t="s">
        <v>85</v>
      </c>
      <c r="BF67" s="10" t="s">
        <v>85</v>
      </c>
      <c r="BG67" s="10" t="s">
        <v>85</v>
      </c>
      <c r="BH67" s="9" t="s">
        <v>85</v>
      </c>
      <c r="BI67" s="6"/>
      <c r="BJ67" s="6" t="str">
        <f t="shared" si="1"/>
        <v>8BoN_Fold_Median</v>
      </c>
      <c r="BK67" s="6" t="str">
        <f t="shared" si="2"/>
        <v>8Bo_Fold_Median</v>
      </c>
      <c r="BL67" s="6" t="str">
        <f t="shared" si="3"/>
        <v>8Bo_Fold_Median</v>
      </c>
      <c r="BM67" s="6"/>
      <c r="BN67" s="6">
        <f t="shared" si="4"/>
        <v>8</v>
      </c>
      <c r="BO67" s="6"/>
      <c r="BP67" s="6"/>
      <c r="BQ67" s="6"/>
      <c r="BR67" s="6"/>
      <c r="BS67" s="6"/>
      <c r="BT67" s="6"/>
      <c r="BU67" s="6"/>
      <c r="BV67" s="6"/>
      <c r="BW67" s="6"/>
      <c r="BX67" s="6"/>
    </row>
    <row r="68" ht="15.75" customHeight="1">
      <c r="A68" s="1" t="s">
        <v>162</v>
      </c>
      <c r="B68" s="17">
        <v>144.0</v>
      </c>
      <c r="C68" s="17">
        <v>7.0</v>
      </c>
      <c r="D68" s="9" t="s">
        <v>85</v>
      </c>
      <c r="E68" s="9">
        <v>0.942857</v>
      </c>
      <c r="F68" s="9" t="s">
        <v>85</v>
      </c>
      <c r="G68" s="9" t="s">
        <v>85</v>
      </c>
      <c r="H68" s="30">
        <v>0.942857146</v>
      </c>
      <c r="I68" s="9" t="s">
        <v>85</v>
      </c>
      <c r="J68" s="9" t="s">
        <v>85</v>
      </c>
      <c r="K68" s="9" t="s">
        <v>85</v>
      </c>
      <c r="L68" s="9" t="s">
        <v>85</v>
      </c>
      <c r="M68" s="9" t="s">
        <v>85</v>
      </c>
      <c r="N68" s="9" t="s">
        <v>85</v>
      </c>
      <c r="O68" s="9" t="s">
        <v>85</v>
      </c>
      <c r="P68" s="9" t="s">
        <v>85</v>
      </c>
      <c r="Q68" s="9">
        <v>0.990476</v>
      </c>
      <c r="R68" s="9" t="s">
        <v>85</v>
      </c>
      <c r="S68" s="9" t="s">
        <v>85</v>
      </c>
      <c r="T68" s="9">
        <v>1.0</v>
      </c>
      <c r="U68" s="9" t="s">
        <v>85</v>
      </c>
      <c r="V68" s="9" t="s">
        <v>85</v>
      </c>
      <c r="W68" s="9" t="s">
        <v>85</v>
      </c>
      <c r="X68" s="9" t="s">
        <v>85</v>
      </c>
      <c r="Y68" s="9" t="s">
        <v>85</v>
      </c>
      <c r="Z68" s="9" t="s">
        <v>85</v>
      </c>
      <c r="AA68" s="9" t="s">
        <v>85</v>
      </c>
      <c r="AB68" s="9" t="s">
        <v>85</v>
      </c>
      <c r="AC68" s="30">
        <v>0.990476</v>
      </c>
      <c r="AD68" s="9" t="s">
        <v>85</v>
      </c>
      <c r="AE68" s="9" t="s">
        <v>85</v>
      </c>
      <c r="AF68" s="30">
        <v>0.990476</v>
      </c>
      <c r="AG68" s="9" t="s">
        <v>85</v>
      </c>
      <c r="AH68" s="9" t="s">
        <v>85</v>
      </c>
      <c r="AI68" s="9" t="s">
        <v>85</v>
      </c>
      <c r="AJ68" s="9" t="s">
        <v>85</v>
      </c>
      <c r="AK68" s="9" t="s">
        <v>85</v>
      </c>
      <c r="AL68" s="9" t="s">
        <v>85</v>
      </c>
      <c r="AM68" s="9" t="s">
        <v>85</v>
      </c>
      <c r="AN68" s="9" t="s">
        <v>85</v>
      </c>
      <c r="AO68" s="9">
        <v>1.0</v>
      </c>
      <c r="AP68" s="9" t="s">
        <v>85</v>
      </c>
      <c r="AQ68" s="9" t="s">
        <v>85</v>
      </c>
      <c r="AR68" s="30">
        <v>1.0</v>
      </c>
      <c r="AS68" s="9" t="s">
        <v>85</v>
      </c>
      <c r="AT68" s="9" t="s">
        <v>85</v>
      </c>
      <c r="AU68" s="9" t="s">
        <v>85</v>
      </c>
      <c r="AV68" s="9" t="s">
        <v>85</v>
      </c>
      <c r="AW68" s="9" t="s">
        <v>85</v>
      </c>
      <c r="AX68" s="9" t="s">
        <v>85</v>
      </c>
      <c r="AY68" s="9" t="s">
        <v>85</v>
      </c>
      <c r="AZ68" s="9" t="s">
        <v>85</v>
      </c>
      <c r="BA68" s="9" t="s">
        <v>85</v>
      </c>
      <c r="BB68" s="9" t="s">
        <v>85</v>
      </c>
      <c r="BC68" s="9" t="s">
        <v>85</v>
      </c>
      <c r="BD68" s="9" t="s">
        <v>85</v>
      </c>
      <c r="BE68" s="9" t="s">
        <v>85</v>
      </c>
      <c r="BF68" s="10" t="s">
        <v>85</v>
      </c>
      <c r="BG68" s="10" t="s">
        <v>85</v>
      </c>
      <c r="BH68" s="9" t="s">
        <v>85</v>
      </c>
      <c r="BI68" s="6"/>
      <c r="BJ68" s="6" t="str">
        <f t="shared" si="1"/>
        <v>8BoN_Fold_Median</v>
      </c>
      <c r="BK68" s="6" t="str">
        <f t="shared" si="2"/>
        <v>8BoN_Fold_Median</v>
      </c>
      <c r="BL68" s="6" t="str">
        <f t="shared" si="3"/>
        <v>8BoN_Fold_Median</v>
      </c>
      <c r="BM68" s="6"/>
      <c r="BN68" s="6">
        <f t="shared" si="4"/>
        <v>8</v>
      </c>
      <c r="BO68" s="6"/>
      <c r="BP68" s="6"/>
      <c r="BQ68" s="6"/>
      <c r="BR68" s="6"/>
      <c r="BS68" s="6"/>
      <c r="BT68" s="6"/>
      <c r="BU68" s="6"/>
      <c r="BV68" s="6"/>
      <c r="BW68" s="6"/>
      <c r="BX68" s="6"/>
    </row>
    <row r="69" ht="15.75" customHeight="1">
      <c r="A69" s="1" t="s">
        <v>163</v>
      </c>
      <c r="B69" s="17">
        <v>80.0</v>
      </c>
      <c r="C69" s="17">
        <v>3.0</v>
      </c>
      <c r="D69" s="9" t="s">
        <v>85</v>
      </c>
      <c r="E69" s="9">
        <v>0.848781</v>
      </c>
      <c r="F69" s="9" t="s">
        <v>85</v>
      </c>
      <c r="G69" s="9" t="s">
        <v>85</v>
      </c>
      <c r="H69" s="30">
        <v>0.829268277</v>
      </c>
      <c r="I69" s="9" t="s">
        <v>85</v>
      </c>
      <c r="J69" s="9" t="s">
        <v>85</v>
      </c>
      <c r="K69" s="9" t="s">
        <v>85</v>
      </c>
      <c r="L69" s="9" t="s">
        <v>85</v>
      </c>
      <c r="M69" s="9" t="s">
        <v>85</v>
      </c>
      <c r="N69" s="9" t="s">
        <v>85</v>
      </c>
      <c r="O69" s="9" t="s">
        <v>85</v>
      </c>
      <c r="P69" s="9" t="s">
        <v>85</v>
      </c>
      <c r="Q69" s="9">
        <v>0.843902</v>
      </c>
      <c r="R69" s="9" t="s">
        <v>85</v>
      </c>
      <c r="S69" s="9" t="s">
        <v>85</v>
      </c>
      <c r="T69" s="9">
        <v>0.848781</v>
      </c>
      <c r="U69" s="9" t="s">
        <v>85</v>
      </c>
      <c r="V69" s="9" t="s">
        <v>85</v>
      </c>
      <c r="W69" s="9" t="s">
        <v>85</v>
      </c>
      <c r="X69" s="9" t="s">
        <v>85</v>
      </c>
      <c r="Y69" s="9" t="s">
        <v>85</v>
      </c>
      <c r="Z69" s="9" t="s">
        <v>85</v>
      </c>
      <c r="AA69" s="9" t="s">
        <v>85</v>
      </c>
      <c r="AB69" s="9" t="s">
        <v>85</v>
      </c>
      <c r="AC69" s="30">
        <v>0.834146</v>
      </c>
      <c r="AD69" s="9" t="s">
        <v>85</v>
      </c>
      <c r="AE69" s="9" t="s">
        <v>85</v>
      </c>
      <c r="AF69" s="30">
        <v>0.843902</v>
      </c>
      <c r="AG69" s="9" t="s">
        <v>85</v>
      </c>
      <c r="AH69" s="9" t="s">
        <v>85</v>
      </c>
      <c r="AI69" s="9" t="s">
        <v>85</v>
      </c>
      <c r="AJ69" s="9" t="s">
        <v>85</v>
      </c>
      <c r="AK69" s="9" t="s">
        <v>85</v>
      </c>
      <c r="AL69" s="9" t="s">
        <v>85</v>
      </c>
      <c r="AM69" s="9" t="s">
        <v>85</v>
      </c>
      <c r="AN69" s="9" t="s">
        <v>85</v>
      </c>
      <c r="AO69" s="9">
        <v>0.829268</v>
      </c>
      <c r="AP69" s="9" t="s">
        <v>85</v>
      </c>
      <c r="AQ69" s="9" t="s">
        <v>85</v>
      </c>
      <c r="AR69" s="30">
        <v>0.848781</v>
      </c>
      <c r="AS69" s="9" t="s">
        <v>85</v>
      </c>
      <c r="AT69" s="9" t="s">
        <v>85</v>
      </c>
      <c r="AU69" s="9" t="s">
        <v>85</v>
      </c>
      <c r="AV69" s="9" t="s">
        <v>85</v>
      </c>
      <c r="AW69" s="9" t="s">
        <v>85</v>
      </c>
      <c r="AX69" s="9" t="s">
        <v>85</v>
      </c>
      <c r="AY69" s="9" t="s">
        <v>85</v>
      </c>
      <c r="AZ69" s="9" t="s">
        <v>85</v>
      </c>
      <c r="BA69" s="9" t="s">
        <v>85</v>
      </c>
      <c r="BB69" s="9" t="s">
        <v>85</v>
      </c>
      <c r="BC69" s="9" t="s">
        <v>85</v>
      </c>
      <c r="BD69" s="9" t="s">
        <v>85</v>
      </c>
      <c r="BE69" s="9" t="s">
        <v>85</v>
      </c>
      <c r="BF69" s="10" t="s">
        <v>85</v>
      </c>
      <c r="BG69" s="10" t="s">
        <v>85</v>
      </c>
      <c r="BH69" s="9" t="s">
        <v>85</v>
      </c>
      <c r="BI69" s="6"/>
      <c r="BJ69" s="6" t="str">
        <f t="shared" si="1"/>
        <v>5Bo_Fold_Median</v>
      </c>
      <c r="BK69" s="6" t="str">
        <f t="shared" si="2"/>
        <v>5Bo_Fold_Median</v>
      </c>
      <c r="BL69" s="6" t="str">
        <f t="shared" si="3"/>
        <v>5Bo_Fold_Median</v>
      </c>
      <c r="BM69" s="6"/>
      <c r="BN69" s="6">
        <f t="shared" si="4"/>
        <v>5</v>
      </c>
      <c r="BO69" s="6"/>
      <c r="BP69" s="6"/>
      <c r="BQ69" s="6"/>
      <c r="BR69" s="6"/>
      <c r="BS69" s="6"/>
      <c r="BT69" s="6"/>
      <c r="BU69" s="6"/>
      <c r="BV69" s="6"/>
      <c r="BW69" s="6"/>
      <c r="BX69" s="6"/>
    </row>
    <row r="70" ht="15.75" customHeight="1">
      <c r="A70" s="1" t="s">
        <v>164</v>
      </c>
      <c r="B70" s="17">
        <v>80.0</v>
      </c>
      <c r="C70" s="17">
        <v>2.0</v>
      </c>
      <c r="D70" s="9" t="s">
        <v>85</v>
      </c>
      <c r="E70" s="9">
        <v>0.800687</v>
      </c>
      <c r="F70" s="9" t="s">
        <v>85</v>
      </c>
      <c r="G70" s="9" t="s">
        <v>85</v>
      </c>
      <c r="H70" s="30">
        <v>0.786941588</v>
      </c>
      <c r="I70" s="9" t="s">
        <v>85</v>
      </c>
      <c r="J70" s="9" t="s">
        <v>85</v>
      </c>
      <c r="K70" s="9" t="s">
        <v>85</v>
      </c>
      <c r="L70" s="9" t="s">
        <v>85</v>
      </c>
      <c r="M70" s="9" t="s">
        <v>85</v>
      </c>
      <c r="N70" s="9" t="s">
        <v>85</v>
      </c>
      <c r="O70" s="9" t="s">
        <v>85</v>
      </c>
      <c r="P70" s="9" t="s">
        <v>85</v>
      </c>
      <c r="Q70" s="9">
        <v>0.800687</v>
      </c>
      <c r="R70" s="9" t="s">
        <v>85</v>
      </c>
      <c r="S70" s="9" t="s">
        <v>85</v>
      </c>
      <c r="T70" s="9">
        <v>0.800687</v>
      </c>
      <c r="U70" s="9" t="s">
        <v>85</v>
      </c>
      <c r="V70" s="9" t="s">
        <v>85</v>
      </c>
      <c r="W70" s="9" t="s">
        <v>85</v>
      </c>
      <c r="X70" s="9" t="s">
        <v>85</v>
      </c>
      <c r="Y70" s="9" t="s">
        <v>85</v>
      </c>
      <c r="Z70" s="9" t="s">
        <v>85</v>
      </c>
      <c r="AA70" s="9" t="s">
        <v>85</v>
      </c>
      <c r="AB70" s="9" t="s">
        <v>85</v>
      </c>
      <c r="AC70" s="30">
        <v>0.817869</v>
      </c>
      <c r="AD70" s="9" t="s">
        <v>85</v>
      </c>
      <c r="AE70" s="9" t="s">
        <v>85</v>
      </c>
      <c r="AF70" s="30">
        <v>0.810997</v>
      </c>
      <c r="AG70" s="9" t="s">
        <v>85</v>
      </c>
      <c r="AH70" s="9" t="s">
        <v>85</v>
      </c>
      <c r="AI70" s="9" t="s">
        <v>85</v>
      </c>
      <c r="AJ70" s="9" t="s">
        <v>85</v>
      </c>
      <c r="AK70" s="9" t="s">
        <v>85</v>
      </c>
      <c r="AL70" s="9" t="s">
        <v>85</v>
      </c>
      <c r="AM70" s="9" t="s">
        <v>85</v>
      </c>
      <c r="AN70" s="9" t="s">
        <v>85</v>
      </c>
      <c r="AO70" s="9">
        <v>0.817869</v>
      </c>
      <c r="AP70" s="9" t="s">
        <v>85</v>
      </c>
      <c r="AQ70" s="9" t="s">
        <v>85</v>
      </c>
      <c r="AR70" s="30">
        <v>0.797251</v>
      </c>
      <c r="AS70" s="9" t="s">
        <v>85</v>
      </c>
      <c r="AT70" s="9" t="s">
        <v>85</v>
      </c>
      <c r="AU70" s="9" t="s">
        <v>85</v>
      </c>
      <c r="AV70" s="9" t="s">
        <v>85</v>
      </c>
      <c r="AW70" s="9" t="s">
        <v>85</v>
      </c>
      <c r="AX70" s="9" t="s">
        <v>85</v>
      </c>
      <c r="AY70" s="9" t="s">
        <v>85</v>
      </c>
      <c r="AZ70" s="9" t="s">
        <v>85</v>
      </c>
      <c r="BA70" s="9" t="s">
        <v>85</v>
      </c>
      <c r="BB70" s="9" t="s">
        <v>85</v>
      </c>
      <c r="BC70" s="9" t="s">
        <v>85</v>
      </c>
      <c r="BD70" s="9" t="s">
        <v>85</v>
      </c>
      <c r="BE70" s="9" t="s">
        <v>85</v>
      </c>
      <c r="BF70" s="10" t="s">
        <v>85</v>
      </c>
      <c r="BG70" s="10" t="s">
        <v>85</v>
      </c>
      <c r="BH70" s="9" t="s">
        <v>85</v>
      </c>
      <c r="BI70" s="6"/>
      <c r="BJ70" s="6" t="str">
        <f t="shared" si="1"/>
        <v>10Bo_Fold_Median</v>
      </c>
      <c r="BK70" s="6" t="str">
        <f t="shared" si="2"/>
        <v>10Bo_Fold_Median</v>
      </c>
      <c r="BL70" s="6" t="str">
        <f t="shared" si="3"/>
        <v>10BoN_Fold_Median</v>
      </c>
      <c r="BM70" s="6"/>
      <c r="BN70" s="6">
        <f t="shared" si="4"/>
        <v>10</v>
      </c>
      <c r="BO70" s="6"/>
      <c r="BP70" s="6"/>
      <c r="BQ70" s="6"/>
      <c r="BR70" s="6"/>
      <c r="BS70" s="6"/>
      <c r="BT70" s="6"/>
      <c r="BU70" s="6"/>
      <c r="BV70" s="6"/>
      <c r="BW70" s="6"/>
      <c r="BX70" s="6"/>
    </row>
    <row r="71" ht="15.75" customHeight="1">
      <c r="A71" s="1" t="s">
        <v>165</v>
      </c>
      <c r="B71" s="17">
        <v>80.0</v>
      </c>
      <c r="C71" s="17">
        <v>6.0</v>
      </c>
      <c r="D71" s="9" t="s">
        <v>85</v>
      </c>
      <c r="E71" s="9">
        <v>0.765854</v>
      </c>
      <c r="F71" s="9" t="s">
        <v>85</v>
      </c>
      <c r="G71" s="9" t="s">
        <v>85</v>
      </c>
      <c r="H71" s="30">
        <v>0.67804879</v>
      </c>
      <c r="I71" s="9" t="s">
        <v>85</v>
      </c>
      <c r="J71" s="9" t="s">
        <v>85</v>
      </c>
      <c r="K71" s="9" t="s">
        <v>85</v>
      </c>
      <c r="L71" s="9" t="s">
        <v>85</v>
      </c>
      <c r="M71" s="9" t="s">
        <v>85</v>
      </c>
      <c r="N71" s="9" t="s">
        <v>85</v>
      </c>
      <c r="O71" s="9" t="s">
        <v>85</v>
      </c>
      <c r="P71" s="9" t="s">
        <v>85</v>
      </c>
      <c r="Q71" s="9">
        <v>0.756098</v>
      </c>
      <c r="R71" s="9" t="s">
        <v>85</v>
      </c>
      <c r="S71" s="9" t="s">
        <v>85</v>
      </c>
      <c r="T71" s="9">
        <v>0.77561</v>
      </c>
      <c r="U71" s="9" t="s">
        <v>85</v>
      </c>
      <c r="V71" s="9" t="s">
        <v>85</v>
      </c>
      <c r="W71" s="9" t="s">
        <v>85</v>
      </c>
      <c r="X71" s="9" t="s">
        <v>85</v>
      </c>
      <c r="Y71" s="9" t="s">
        <v>85</v>
      </c>
      <c r="Z71" s="9" t="s">
        <v>85</v>
      </c>
      <c r="AA71" s="9" t="s">
        <v>85</v>
      </c>
      <c r="AB71" s="9" t="s">
        <v>85</v>
      </c>
      <c r="AC71" s="30">
        <v>0.770732</v>
      </c>
      <c r="AD71" s="9" t="s">
        <v>85</v>
      </c>
      <c r="AE71" s="9" t="s">
        <v>85</v>
      </c>
      <c r="AF71" s="30">
        <v>0.678049</v>
      </c>
      <c r="AG71" s="9" t="s">
        <v>85</v>
      </c>
      <c r="AH71" s="9" t="s">
        <v>85</v>
      </c>
      <c r="AI71" s="9" t="s">
        <v>85</v>
      </c>
      <c r="AJ71" s="9" t="s">
        <v>85</v>
      </c>
      <c r="AK71" s="9" t="s">
        <v>85</v>
      </c>
      <c r="AL71" s="9" t="s">
        <v>85</v>
      </c>
      <c r="AM71" s="9" t="s">
        <v>85</v>
      </c>
      <c r="AN71" s="9" t="s">
        <v>85</v>
      </c>
      <c r="AO71" s="9">
        <v>0.765854</v>
      </c>
      <c r="AP71" s="9" t="s">
        <v>85</v>
      </c>
      <c r="AQ71" s="9" t="s">
        <v>85</v>
      </c>
      <c r="AR71" s="30">
        <v>0.780488</v>
      </c>
      <c r="AS71" s="9" t="s">
        <v>85</v>
      </c>
      <c r="AT71" s="9" t="s">
        <v>85</v>
      </c>
      <c r="AU71" s="9" t="s">
        <v>85</v>
      </c>
      <c r="AV71" s="9" t="s">
        <v>85</v>
      </c>
      <c r="AW71" s="9" t="s">
        <v>85</v>
      </c>
      <c r="AX71" s="9" t="s">
        <v>85</v>
      </c>
      <c r="AY71" s="9" t="s">
        <v>85</v>
      </c>
      <c r="AZ71" s="9" t="s">
        <v>85</v>
      </c>
      <c r="BA71" s="9" t="s">
        <v>85</v>
      </c>
      <c r="BB71" s="9" t="s">
        <v>85</v>
      </c>
      <c r="BC71" s="9" t="s">
        <v>85</v>
      </c>
      <c r="BD71" s="9" t="s">
        <v>85</v>
      </c>
      <c r="BE71" s="9" t="s">
        <v>85</v>
      </c>
      <c r="BF71" s="10" t="s">
        <v>85</v>
      </c>
      <c r="BG71" s="10" t="s">
        <v>85</v>
      </c>
      <c r="BH71" s="9" t="s">
        <v>85</v>
      </c>
      <c r="BI71" s="6"/>
      <c r="BJ71" s="6" t="str">
        <f t="shared" si="1"/>
        <v>12BoN_Fold_Median</v>
      </c>
      <c r="BK71" s="6" t="str">
        <f t="shared" si="2"/>
        <v>8BoN_Fold_Median</v>
      </c>
      <c r="BL71" s="6" t="str">
        <f t="shared" si="3"/>
        <v>10Bo_Fold_Median</v>
      </c>
      <c r="BM71" s="6"/>
      <c r="BN71" s="6">
        <f t="shared" si="4"/>
        <v>12</v>
      </c>
      <c r="BO71" s="6"/>
      <c r="BP71" s="6"/>
      <c r="BQ71" s="6"/>
      <c r="BR71" s="6"/>
      <c r="BS71" s="6"/>
      <c r="BT71" s="6"/>
      <c r="BU71" s="6"/>
      <c r="BV71" s="6"/>
      <c r="BW71" s="6"/>
      <c r="BX71" s="6"/>
    </row>
    <row r="72" ht="15.75" customHeight="1">
      <c r="A72" s="1" t="s">
        <v>166</v>
      </c>
      <c r="B72" s="17">
        <v>2844.0</v>
      </c>
      <c r="C72" s="17">
        <v>4.0</v>
      </c>
      <c r="D72" s="9" t="s">
        <v>85</v>
      </c>
      <c r="E72" s="9">
        <v>0.48</v>
      </c>
      <c r="F72" s="9" t="s">
        <v>85</v>
      </c>
      <c r="G72" s="9" t="s">
        <v>85</v>
      </c>
      <c r="H72" s="30">
        <v>0.519999981</v>
      </c>
      <c r="I72" s="9" t="s">
        <v>85</v>
      </c>
      <c r="J72" s="9" t="s">
        <v>85</v>
      </c>
      <c r="K72" s="9" t="s">
        <v>85</v>
      </c>
      <c r="L72" s="9" t="s">
        <v>85</v>
      </c>
      <c r="M72" s="9" t="s">
        <v>85</v>
      </c>
      <c r="N72" s="9" t="s">
        <v>85</v>
      </c>
      <c r="O72" s="9" t="s">
        <v>85</v>
      </c>
      <c r="P72" s="9" t="s">
        <v>85</v>
      </c>
      <c r="Q72" s="9">
        <v>0.48</v>
      </c>
      <c r="R72" s="9" t="s">
        <v>85</v>
      </c>
      <c r="S72" s="9" t="s">
        <v>85</v>
      </c>
      <c r="T72" s="9">
        <v>0.54</v>
      </c>
      <c r="U72" s="9" t="s">
        <v>85</v>
      </c>
      <c r="V72" s="9" t="s">
        <v>85</v>
      </c>
      <c r="W72" s="9" t="s">
        <v>85</v>
      </c>
      <c r="X72" s="9" t="s">
        <v>85</v>
      </c>
      <c r="Y72" s="9" t="s">
        <v>85</v>
      </c>
      <c r="Z72" s="9" t="s">
        <v>85</v>
      </c>
      <c r="AA72" s="9" t="s">
        <v>85</v>
      </c>
      <c r="AB72" s="9" t="s">
        <v>85</v>
      </c>
      <c r="AC72" s="30">
        <v>0.62</v>
      </c>
      <c r="AD72" s="9" t="s">
        <v>85</v>
      </c>
      <c r="AE72" s="9" t="s">
        <v>85</v>
      </c>
      <c r="AF72" s="30">
        <v>0.54</v>
      </c>
      <c r="AG72" s="9" t="s">
        <v>85</v>
      </c>
      <c r="AH72" s="9" t="s">
        <v>85</v>
      </c>
      <c r="AI72" s="9" t="s">
        <v>85</v>
      </c>
      <c r="AJ72" s="9" t="s">
        <v>85</v>
      </c>
      <c r="AK72" s="9" t="s">
        <v>85</v>
      </c>
      <c r="AL72" s="9" t="s">
        <v>85</v>
      </c>
      <c r="AM72" s="9" t="s">
        <v>85</v>
      </c>
      <c r="AN72" s="9" t="s">
        <v>85</v>
      </c>
      <c r="AO72" s="9">
        <v>0.54</v>
      </c>
      <c r="AP72" s="9" t="s">
        <v>85</v>
      </c>
      <c r="AQ72" s="9" t="s">
        <v>85</v>
      </c>
      <c r="AR72" s="30">
        <v>0.54</v>
      </c>
      <c r="AS72" s="9" t="s">
        <v>85</v>
      </c>
      <c r="AT72" s="9" t="s">
        <v>85</v>
      </c>
      <c r="AU72" s="9" t="s">
        <v>85</v>
      </c>
      <c r="AV72" s="9" t="s">
        <v>85</v>
      </c>
      <c r="AW72" s="9" t="s">
        <v>85</v>
      </c>
      <c r="AX72" s="9" t="s">
        <v>85</v>
      </c>
      <c r="AY72" s="9" t="s">
        <v>85</v>
      </c>
      <c r="AZ72" s="9" t="s">
        <v>85</v>
      </c>
      <c r="BA72" s="9" t="s">
        <v>85</v>
      </c>
      <c r="BB72" s="9" t="s">
        <v>85</v>
      </c>
      <c r="BC72" s="9" t="s">
        <v>85</v>
      </c>
      <c r="BD72" s="9" t="s">
        <v>85</v>
      </c>
      <c r="BE72" s="9" t="s">
        <v>85</v>
      </c>
      <c r="BF72" s="10" t="s">
        <v>85</v>
      </c>
      <c r="BG72" s="10" t="s">
        <v>85</v>
      </c>
      <c r="BH72" s="9" t="s">
        <v>85</v>
      </c>
      <c r="BI72" s="6"/>
      <c r="BJ72" s="6" t="str">
        <f t="shared" si="1"/>
        <v>10Bo_Fold_Median</v>
      </c>
      <c r="BK72" s="6" t="str">
        <f t="shared" si="2"/>
        <v>8BoN_Fold_Median</v>
      </c>
      <c r="BL72" s="6" t="str">
        <f t="shared" si="3"/>
        <v>8BoN_Fold_Median</v>
      </c>
      <c r="BM72" s="6"/>
      <c r="BN72" s="6">
        <f t="shared" si="4"/>
        <v>10</v>
      </c>
      <c r="BO72" s="6"/>
      <c r="BP72" s="6"/>
      <c r="BQ72" s="6"/>
      <c r="BR72" s="6"/>
      <c r="BS72" s="6"/>
      <c r="BT72" s="6"/>
      <c r="BU72" s="6"/>
      <c r="BV72" s="6"/>
      <c r="BW72" s="6"/>
      <c r="BX72" s="6"/>
    </row>
    <row r="73" ht="15.75" customHeight="1">
      <c r="A73" s="1" t="s">
        <v>167</v>
      </c>
      <c r="B73" s="17">
        <v>720.0</v>
      </c>
      <c r="C73" s="17">
        <v>3.0</v>
      </c>
      <c r="D73" s="9" t="s">
        <v>85</v>
      </c>
      <c r="E73" s="9">
        <v>0.554667</v>
      </c>
      <c r="F73" s="9" t="s">
        <v>85</v>
      </c>
      <c r="G73" s="9" t="s">
        <v>85</v>
      </c>
      <c r="H73" s="30">
        <v>0.527999997</v>
      </c>
      <c r="I73" s="9" t="s">
        <v>85</v>
      </c>
      <c r="J73" s="9" t="s">
        <v>85</v>
      </c>
      <c r="K73" s="9" t="s">
        <v>85</v>
      </c>
      <c r="L73" s="9" t="s">
        <v>85</v>
      </c>
      <c r="M73" s="9" t="s">
        <v>85</v>
      </c>
      <c r="N73" s="9" t="s">
        <v>85</v>
      </c>
      <c r="O73" s="9" t="s">
        <v>85</v>
      </c>
      <c r="P73" s="9" t="s">
        <v>85</v>
      </c>
      <c r="Q73" s="9">
        <v>0.570667</v>
      </c>
      <c r="R73" s="9" t="s">
        <v>85</v>
      </c>
      <c r="S73" s="9" t="s">
        <v>85</v>
      </c>
      <c r="T73" s="1" t="s">
        <v>85</v>
      </c>
      <c r="U73" s="9" t="s">
        <v>85</v>
      </c>
      <c r="V73" s="9" t="s">
        <v>85</v>
      </c>
      <c r="W73" s="9" t="s">
        <v>85</v>
      </c>
      <c r="X73" s="9" t="s">
        <v>85</v>
      </c>
      <c r="Y73" s="9" t="s">
        <v>85</v>
      </c>
      <c r="Z73" s="9" t="s">
        <v>85</v>
      </c>
      <c r="AA73" s="9" t="s">
        <v>85</v>
      </c>
      <c r="AB73" s="9" t="s">
        <v>85</v>
      </c>
      <c r="AC73" s="30">
        <v>0.573333</v>
      </c>
      <c r="AD73" s="9" t="s">
        <v>85</v>
      </c>
      <c r="AE73" s="9" t="s">
        <v>85</v>
      </c>
      <c r="AF73" s="30">
        <v>0.589333</v>
      </c>
      <c r="AG73" s="9" t="s">
        <v>85</v>
      </c>
      <c r="AH73" s="9" t="s">
        <v>85</v>
      </c>
      <c r="AI73" s="9" t="s">
        <v>85</v>
      </c>
      <c r="AJ73" s="9" t="s">
        <v>85</v>
      </c>
      <c r="AK73" s="9" t="s">
        <v>85</v>
      </c>
      <c r="AL73" s="9" t="s">
        <v>85</v>
      </c>
      <c r="AM73" s="9" t="s">
        <v>85</v>
      </c>
      <c r="AN73" s="9" t="s">
        <v>85</v>
      </c>
      <c r="AO73" s="9">
        <v>0.56</v>
      </c>
      <c r="AP73" s="9" t="s">
        <v>85</v>
      </c>
      <c r="AQ73" s="9" t="s">
        <v>85</v>
      </c>
      <c r="AR73" s="30">
        <v>0.538667</v>
      </c>
      <c r="AS73" s="9" t="s">
        <v>85</v>
      </c>
      <c r="AT73" s="9" t="s">
        <v>85</v>
      </c>
      <c r="AU73" s="9" t="s">
        <v>85</v>
      </c>
      <c r="AV73" s="9" t="s">
        <v>85</v>
      </c>
      <c r="AW73" s="9" t="s">
        <v>85</v>
      </c>
      <c r="AX73" s="9" t="s">
        <v>85</v>
      </c>
      <c r="AY73" s="9" t="s">
        <v>85</v>
      </c>
      <c r="AZ73" s="9" t="s">
        <v>85</v>
      </c>
      <c r="BA73" s="9" t="s">
        <v>85</v>
      </c>
      <c r="BB73" s="9" t="s">
        <v>85</v>
      </c>
      <c r="BC73" s="9" t="s">
        <v>85</v>
      </c>
      <c r="BD73" s="9" t="s">
        <v>85</v>
      </c>
      <c r="BE73" s="9" t="s">
        <v>85</v>
      </c>
      <c r="BF73" s="10" t="s">
        <v>85</v>
      </c>
      <c r="BG73" s="10" t="s">
        <v>85</v>
      </c>
      <c r="BH73" s="9" t="s">
        <v>85</v>
      </c>
      <c r="BI73" s="6"/>
      <c r="BJ73" s="6" t="str">
        <f t="shared" si="1"/>
        <v>10BoN_Fold_Median</v>
      </c>
      <c r="BK73" s="6" t="str">
        <f t="shared" si="2"/>
        <v>10Bo_Fold_Median</v>
      </c>
      <c r="BL73" s="6" t="str">
        <f t="shared" si="3"/>
        <v>8Bo_Fold_Median</v>
      </c>
      <c r="BM73" s="6"/>
      <c r="BN73" s="6">
        <f t="shared" si="4"/>
        <v>10</v>
      </c>
      <c r="BO73" s="6"/>
      <c r="BP73" s="6"/>
      <c r="BQ73" s="6"/>
      <c r="BR73" s="6"/>
      <c r="BS73" s="6"/>
      <c r="BT73" s="6"/>
      <c r="BU73" s="6"/>
      <c r="BV73" s="6"/>
      <c r="BW73" s="6"/>
      <c r="BX73" s="6"/>
    </row>
    <row r="74" ht="15.75" customHeight="1">
      <c r="A74" s="1" t="s">
        <v>168</v>
      </c>
      <c r="B74" s="17">
        <v>1500.0</v>
      </c>
      <c r="C74" s="17">
        <v>2.0</v>
      </c>
      <c r="D74" s="9" t="s">
        <v>85</v>
      </c>
      <c r="E74" s="9">
        <v>0.8</v>
      </c>
      <c r="F74" s="9" t="s">
        <v>85</v>
      </c>
      <c r="G74" s="9" t="s">
        <v>85</v>
      </c>
      <c r="H74" s="30">
        <v>0.711666644</v>
      </c>
      <c r="I74" s="9" t="s">
        <v>85</v>
      </c>
      <c r="J74" s="9" t="s">
        <v>85</v>
      </c>
      <c r="K74" s="9" t="s">
        <v>85</v>
      </c>
      <c r="L74" s="9" t="s">
        <v>85</v>
      </c>
      <c r="M74" s="9" t="s">
        <v>85</v>
      </c>
      <c r="N74" s="9" t="s">
        <v>85</v>
      </c>
      <c r="O74" s="9" t="s">
        <v>85</v>
      </c>
      <c r="P74" s="9" t="s">
        <v>85</v>
      </c>
      <c r="Q74" s="9">
        <v>0.85</v>
      </c>
      <c r="R74" s="9" t="s">
        <v>85</v>
      </c>
      <c r="S74" s="9" t="s">
        <v>85</v>
      </c>
      <c r="T74" s="9">
        <v>0.845</v>
      </c>
      <c r="U74" s="9" t="s">
        <v>85</v>
      </c>
      <c r="V74" s="9" t="s">
        <v>85</v>
      </c>
      <c r="W74" s="9" t="s">
        <v>85</v>
      </c>
      <c r="X74" s="9" t="s">
        <v>85</v>
      </c>
      <c r="Y74" s="9" t="s">
        <v>85</v>
      </c>
      <c r="Z74" s="9" t="s">
        <v>85</v>
      </c>
      <c r="AA74" s="9" t="s">
        <v>85</v>
      </c>
      <c r="AB74" s="9" t="s">
        <v>85</v>
      </c>
      <c r="AC74" s="30">
        <v>0.843333</v>
      </c>
      <c r="AD74" s="9" t="s">
        <v>85</v>
      </c>
      <c r="AE74" s="9" t="s">
        <v>85</v>
      </c>
      <c r="AF74" s="30">
        <v>0.84</v>
      </c>
      <c r="AG74" s="9" t="s">
        <v>85</v>
      </c>
      <c r="AH74" s="9" t="s">
        <v>85</v>
      </c>
      <c r="AI74" s="9" t="s">
        <v>85</v>
      </c>
      <c r="AJ74" s="9" t="s">
        <v>85</v>
      </c>
      <c r="AK74" s="9" t="s">
        <v>85</v>
      </c>
      <c r="AL74" s="9" t="s">
        <v>85</v>
      </c>
      <c r="AM74" s="9" t="s">
        <v>85</v>
      </c>
      <c r="AN74" s="9" t="s">
        <v>85</v>
      </c>
      <c r="AO74" s="9">
        <v>0.843333</v>
      </c>
      <c r="AP74" s="9" t="s">
        <v>85</v>
      </c>
      <c r="AQ74" s="9" t="s">
        <v>85</v>
      </c>
      <c r="AR74" s="30">
        <v>0.85</v>
      </c>
      <c r="AS74" s="9" t="s">
        <v>85</v>
      </c>
      <c r="AT74" s="9" t="s">
        <v>85</v>
      </c>
      <c r="AU74" s="9" t="s">
        <v>85</v>
      </c>
      <c r="AV74" s="9" t="s">
        <v>85</v>
      </c>
      <c r="AW74" s="9" t="s">
        <v>85</v>
      </c>
      <c r="AX74" s="9" t="s">
        <v>85</v>
      </c>
      <c r="AY74" s="9" t="s">
        <v>85</v>
      </c>
      <c r="AZ74" s="9" t="s">
        <v>85</v>
      </c>
      <c r="BA74" s="9" t="s">
        <v>85</v>
      </c>
      <c r="BB74" s="9" t="s">
        <v>85</v>
      </c>
      <c r="BC74" s="9" t="s">
        <v>85</v>
      </c>
      <c r="BD74" s="9" t="s">
        <v>85</v>
      </c>
      <c r="BE74" s="9" t="s">
        <v>85</v>
      </c>
      <c r="BF74" s="10" t="s">
        <v>85</v>
      </c>
      <c r="BG74" s="10" t="s">
        <v>85</v>
      </c>
      <c r="BH74" s="9" t="s">
        <v>85</v>
      </c>
      <c r="BI74" s="6"/>
      <c r="BJ74" s="6" t="str">
        <f t="shared" si="1"/>
        <v>8Bo_Fold_Median</v>
      </c>
      <c r="BK74" s="6" t="str">
        <f t="shared" si="2"/>
        <v>8Bo_Fold_Median</v>
      </c>
      <c r="BL74" s="6" t="str">
        <f t="shared" si="3"/>
        <v>8BoN_Fold_Median</v>
      </c>
      <c r="BM74" s="6"/>
      <c r="BN74" s="6">
        <f t="shared" si="4"/>
        <v>8</v>
      </c>
      <c r="BO74" s="6"/>
      <c r="BP74" s="6"/>
      <c r="BQ74" s="6"/>
      <c r="BR74" s="6"/>
      <c r="BS74" s="6"/>
      <c r="BT74" s="6"/>
      <c r="BU74" s="6"/>
      <c r="BV74" s="6"/>
      <c r="BW74" s="6"/>
      <c r="BX74" s="6"/>
    </row>
    <row r="75" ht="15.75" customHeight="1">
      <c r="A75" s="1" t="s">
        <v>169</v>
      </c>
      <c r="B75" s="17">
        <v>1500.0</v>
      </c>
      <c r="C75" s="17">
        <v>6.0</v>
      </c>
      <c r="D75" s="9" t="s">
        <v>85</v>
      </c>
      <c r="E75" s="9">
        <v>0.382222</v>
      </c>
      <c r="F75" s="9" t="s">
        <v>85</v>
      </c>
      <c r="G75" s="9" t="s">
        <v>85</v>
      </c>
      <c r="H75" s="30">
        <v>0.395555556</v>
      </c>
      <c r="I75" s="9" t="s">
        <v>85</v>
      </c>
      <c r="J75" s="9" t="s">
        <v>85</v>
      </c>
      <c r="K75" s="9" t="s">
        <v>85</v>
      </c>
      <c r="L75" s="9" t="s">
        <v>85</v>
      </c>
      <c r="M75" s="9" t="s">
        <v>85</v>
      </c>
      <c r="N75" s="9" t="s">
        <v>85</v>
      </c>
      <c r="O75" s="9" t="s">
        <v>85</v>
      </c>
      <c r="P75" s="9" t="s">
        <v>85</v>
      </c>
      <c r="Q75" s="9">
        <v>0.431111</v>
      </c>
      <c r="R75" s="9" t="s">
        <v>85</v>
      </c>
      <c r="S75" s="9" t="s">
        <v>85</v>
      </c>
      <c r="T75" s="9">
        <v>0.377778</v>
      </c>
      <c r="U75" s="9" t="s">
        <v>85</v>
      </c>
      <c r="V75" s="9" t="s">
        <v>85</v>
      </c>
      <c r="W75" s="9" t="s">
        <v>85</v>
      </c>
      <c r="X75" s="9" t="s">
        <v>85</v>
      </c>
      <c r="Y75" s="9" t="s">
        <v>85</v>
      </c>
      <c r="Z75" s="9" t="s">
        <v>85</v>
      </c>
      <c r="AA75" s="9" t="s">
        <v>85</v>
      </c>
      <c r="AB75" s="9" t="s">
        <v>85</v>
      </c>
      <c r="AC75" s="30">
        <v>0.44</v>
      </c>
      <c r="AD75" s="9" t="s">
        <v>85</v>
      </c>
      <c r="AE75" s="9" t="s">
        <v>85</v>
      </c>
      <c r="AF75" s="30">
        <v>0.44</v>
      </c>
      <c r="AG75" s="9" t="s">
        <v>85</v>
      </c>
      <c r="AH75" s="9" t="s">
        <v>85</v>
      </c>
      <c r="AI75" s="9" t="s">
        <v>85</v>
      </c>
      <c r="AJ75" s="9" t="s">
        <v>85</v>
      </c>
      <c r="AK75" s="9" t="s">
        <v>85</v>
      </c>
      <c r="AL75" s="9" t="s">
        <v>85</v>
      </c>
      <c r="AM75" s="9" t="s">
        <v>85</v>
      </c>
      <c r="AN75" s="9" t="s">
        <v>85</v>
      </c>
      <c r="AO75" s="9">
        <v>0.4</v>
      </c>
      <c r="AP75" s="9" t="s">
        <v>85</v>
      </c>
      <c r="AQ75" s="9" t="s">
        <v>85</v>
      </c>
      <c r="AR75" s="30">
        <v>0.391111</v>
      </c>
      <c r="AS75" s="9" t="s">
        <v>85</v>
      </c>
      <c r="AT75" s="9" t="s">
        <v>85</v>
      </c>
      <c r="AU75" s="9" t="s">
        <v>85</v>
      </c>
      <c r="AV75" s="9" t="s">
        <v>85</v>
      </c>
      <c r="AW75" s="9" t="s">
        <v>85</v>
      </c>
      <c r="AX75" s="9" t="s">
        <v>85</v>
      </c>
      <c r="AY75" s="9" t="s">
        <v>85</v>
      </c>
      <c r="AZ75" s="9" t="s">
        <v>85</v>
      </c>
      <c r="BA75" s="9" t="s">
        <v>85</v>
      </c>
      <c r="BB75" s="9" t="s">
        <v>85</v>
      </c>
      <c r="BC75" s="9" t="s">
        <v>85</v>
      </c>
      <c r="BD75" s="9" t="s">
        <v>85</v>
      </c>
      <c r="BE75" s="9" t="s">
        <v>85</v>
      </c>
      <c r="BF75" s="10" t="s">
        <v>85</v>
      </c>
      <c r="BG75" s="10" t="s">
        <v>85</v>
      </c>
      <c r="BH75" s="9" t="s">
        <v>85</v>
      </c>
      <c r="BI75" s="6"/>
      <c r="BJ75" s="6" t="str">
        <f t="shared" si="1"/>
        <v>10Bo_Fold_Median</v>
      </c>
      <c r="BK75" s="6" t="str">
        <f t="shared" si="2"/>
        <v>10Bo_Fold_Median</v>
      </c>
      <c r="BL75" s="6" t="str">
        <f t="shared" si="3"/>
        <v>8Bo_Fold_Median</v>
      </c>
      <c r="BM75" s="6"/>
      <c r="BN75" s="6">
        <f t="shared" si="4"/>
        <v>10</v>
      </c>
      <c r="BO75" s="6"/>
      <c r="BP75" s="6"/>
      <c r="BQ75" s="6"/>
      <c r="BR75" s="6"/>
      <c r="BS75" s="6"/>
      <c r="BT75" s="6"/>
      <c r="BU75" s="6"/>
      <c r="BV75" s="6"/>
      <c r="BW75" s="6"/>
      <c r="BX75" s="6"/>
    </row>
    <row r="76" ht="15.75" customHeight="1">
      <c r="A76" s="1" t="s">
        <v>170</v>
      </c>
      <c r="B76" s="17">
        <v>1500.0</v>
      </c>
      <c r="C76" s="17">
        <v>5.0</v>
      </c>
      <c r="D76" s="9" t="s">
        <v>85</v>
      </c>
      <c r="E76" s="9">
        <v>0.704444</v>
      </c>
      <c r="F76" s="9" t="s">
        <v>85</v>
      </c>
      <c r="G76" s="9" t="s">
        <v>85</v>
      </c>
      <c r="H76" s="30">
        <v>0.680000007</v>
      </c>
      <c r="I76" s="9" t="s">
        <v>85</v>
      </c>
      <c r="J76" s="9" t="s">
        <v>85</v>
      </c>
      <c r="K76" s="9" t="s">
        <v>85</v>
      </c>
      <c r="L76" s="9" t="s">
        <v>85</v>
      </c>
      <c r="M76" s="9" t="s">
        <v>85</v>
      </c>
      <c r="N76" s="9" t="s">
        <v>85</v>
      </c>
      <c r="O76" s="9" t="s">
        <v>85</v>
      </c>
      <c r="P76" s="9" t="s">
        <v>85</v>
      </c>
      <c r="Q76" s="9">
        <v>0.753333</v>
      </c>
      <c r="R76" s="9" t="s">
        <v>85</v>
      </c>
      <c r="S76" s="9" t="s">
        <v>85</v>
      </c>
      <c r="T76" s="9">
        <v>0.757778</v>
      </c>
      <c r="U76" s="9" t="s">
        <v>85</v>
      </c>
      <c r="V76" s="9" t="s">
        <v>85</v>
      </c>
      <c r="W76" s="9" t="s">
        <v>85</v>
      </c>
      <c r="X76" s="9" t="s">
        <v>85</v>
      </c>
      <c r="Y76" s="9" t="s">
        <v>85</v>
      </c>
      <c r="Z76" s="9" t="s">
        <v>85</v>
      </c>
      <c r="AA76" s="9" t="s">
        <v>85</v>
      </c>
      <c r="AB76" s="9" t="s">
        <v>85</v>
      </c>
      <c r="AC76" s="30">
        <v>0.762222</v>
      </c>
      <c r="AD76" s="9" t="s">
        <v>85</v>
      </c>
      <c r="AE76" s="9" t="s">
        <v>85</v>
      </c>
      <c r="AF76" s="30">
        <v>0.74</v>
      </c>
      <c r="AG76" s="9" t="s">
        <v>85</v>
      </c>
      <c r="AH76" s="9" t="s">
        <v>85</v>
      </c>
      <c r="AI76" s="9" t="s">
        <v>85</v>
      </c>
      <c r="AJ76" s="9" t="s">
        <v>85</v>
      </c>
      <c r="AK76" s="9" t="s">
        <v>85</v>
      </c>
      <c r="AL76" s="9" t="s">
        <v>85</v>
      </c>
      <c r="AM76" s="9" t="s">
        <v>85</v>
      </c>
      <c r="AN76" s="9" t="s">
        <v>85</v>
      </c>
      <c r="AO76" s="9">
        <v>0.74</v>
      </c>
      <c r="AP76" s="9" t="s">
        <v>85</v>
      </c>
      <c r="AQ76" s="9" t="s">
        <v>85</v>
      </c>
      <c r="AR76" s="30">
        <v>0.76</v>
      </c>
      <c r="AS76" s="9" t="s">
        <v>85</v>
      </c>
      <c r="AT76" s="9" t="s">
        <v>85</v>
      </c>
      <c r="AU76" s="9" t="s">
        <v>85</v>
      </c>
      <c r="AV76" s="9" t="s">
        <v>85</v>
      </c>
      <c r="AW76" s="9" t="s">
        <v>85</v>
      </c>
      <c r="AX76" s="9" t="s">
        <v>85</v>
      </c>
      <c r="AY76" s="9" t="s">
        <v>85</v>
      </c>
      <c r="AZ76" s="9" t="s">
        <v>85</v>
      </c>
      <c r="BA76" s="9" t="s">
        <v>85</v>
      </c>
      <c r="BB76" s="9" t="s">
        <v>85</v>
      </c>
      <c r="BC76" s="9" t="s">
        <v>85</v>
      </c>
      <c r="BD76" s="9" t="s">
        <v>85</v>
      </c>
      <c r="BE76" s="9" t="s">
        <v>85</v>
      </c>
      <c r="BF76" s="10" t="s">
        <v>85</v>
      </c>
      <c r="BG76" s="10" t="s">
        <v>85</v>
      </c>
      <c r="BH76" s="9" t="s">
        <v>85</v>
      </c>
      <c r="BI76" s="6"/>
      <c r="BJ76" s="6" t="str">
        <f t="shared" si="1"/>
        <v>10Bo_Fold_Median</v>
      </c>
      <c r="BK76" s="6" t="str">
        <f t="shared" si="2"/>
        <v>12BoN_Fold_Median</v>
      </c>
      <c r="BL76" s="6" t="str">
        <f t="shared" si="3"/>
        <v>8BoN_Fold_Median</v>
      </c>
      <c r="BM76" s="6"/>
      <c r="BN76" s="6">
        <f t="shared" si="4"/>
        <v>10</v>
      </c>
      <c r="BO76" s="6"/>
      <c r="BP76" s="6"/>
      <c r="BQ76" s="6"/>
      <c r="BR76" s="6"/>
      <c r="BS76" s="6"/>
      <c r="BT76" s="6"/>
      <c r="BU76" s="6"/>
      <c r="BV76" s="6"/>
      <c r="BW76" s="6"/>
      <c r="BX76" s="6"/>
    </row>
    <row r="77" ht="15.75" customHeight="1">
      <c r="A77" s="1" t="s">
        <v>171</v>
      </c>
      <c r="B77" s="17">
        <v>500.0</v>
      </c>
      <c r="C77" s="17">
        <v>2.0</v>
      </c>
      <c r="D77" s="9" t="s">
        <v>85</v>
      </c>
      <c r="E77" s="9">
        <v>0.5</v>
      </c>
      <c r="F77" s="9" t="s">
        <v>85</v>
      </c>
      <c r="G77" s="9" t="s">
        <v>85</v>
      </c>
      <c r="H77" s="30">
        <v>0.5</v>
      </c>
      <c r="I77" s="9" t="s">
        <v>85</v>
      </c>
      <c r="J77" s="9" t="s">
        <v>85</v>
      </c>
      <c r="K77" s="9" t="s">
        <v>85</v>
      </c>
      <c r="L77" s="9" t="s">
        <v>85</v>
      </c>
      <c r="M77" s="9" t="s">
        <v>85</v>
      </c>
      <c r="N77" s="9" t="s">
        <v>85</v>
      </c>
      <c r="O77" s="9" t="s">
        <v>85</v>
      </c>
      <c r="P77" s="9" t="s">
        <v>85</v>
      </c>
      <c r="Q77" s="9">
        <v>0.5</v>
      </c>
      <c r="R77" s="9" t="s">
        <v>85</v>
      </c>
      <c r="S77" s="9" t="s">
        <v>85</v>
      </c>
      <c r="T77" s="9">
        <v>0.538889</v>
      </c>
      <c r="U77" s="9" t="s">
        <v>85</v>
      </c>
      <c r="V77" s="9" t="s">
        <v>85</v>
      </c>
      <c r="W77" s="9" t="s">
        <v>85</v>
      </c>
      <c r="X77" s="9" t="s">
        <v>85</v>
      </c>
      <c r="Y77" s="9" t="s">
        <v>85</v>
      </c>
      <c r="Z77" s="9" t="s">
        <v>85</v>
      </c>
      <c r="AA77" s="9" t="s">
        <v>85</v>
      </c>
      <c r="AB77" s="9" t="s">
        <v>85</v>
      </c>
      <c r="AC77" s="30">
        <v>0.5</v>
      </c>
      <c r="AD77" s="9" t="s">
        <v>85</v>
      </c>
      <c r="AE77" s="9" t="s">
        <v>85</v>
      </c>
      <c r="AF77" s="30">
        <v>0.5</v>
      </c>
      <c r="AG77" s="9" t="s">
        <v>85</v>
      </c>
      <c r="AH77" s="9" t="s">
        <v>85</v>
      </c>
      <c r="AI77" s="9" t="s">
        <v>85</v>
      </c>
      <c r="AJ77" s="9" t="s">
        <v>85</v>
      </c>
      <c r="AK77" s="9" t="s">
        <v>85</v>
      </c>
      <c r="AL77" s="9" t="s">
        <v>85</v>
      </c>
      <c r="AM77" s="9" t="s">
        <v>85</v>
      </c>
      <c r="AN77" s="9" t="s">
        <v>85</v>
      </c>
      <c r="AO77" s="9">
        <v>0.5</v>
      </c>
      <c r="AP77" s="9" t="s">
        <v>85</v>
      </c>
      <c r="AQ77" s="9" t="s">
        <v>85</v>
      </c>
      <c r="AR77" s="30">
        <v>0.5</v>
      </c>
      <c r="AS77" s="9" t="s">
        <v>85</v>
      </c>
      <c r="AT77" s="9" t="s">
        <v>85</v>
      </c>
      <c r="AU77" s="9" t="s">
        <v>85</v>
      </c>
      <c r="AV77" s="9" t="s">
        <v>85</v>
      </c>
      <c r="AW77" s="9" t="s">
        <v>85</v>
      </c>
      <c r="AX77" s="9" t="s">
        <v>85</v>
      </c>
      <c r="AY77" s="9" t="s">
        <v>85</v>
      </c>
      <c r="AZ77" s="9" t="s">
        <v>85</v>
      </c>
      <c r="BA77" s="9" t="s">
        <v>85</v>
      </c>
      <c r="BB77" s="9" t="s">
        <v>85</v>
      </c>
      <c r="BC77" s="9" t="s">
        <v>85</v>
      </c>
      <c r="BD77" s="9" t="s">
        <v>85</v>
      </c>
      <c r="BE77" s="9" t="s">
        <v>85</v>
      </c>
      <c r="BF77" s="10" t="s">
        <v>85</v>
      </c>
      <c r="BG77" s="10" t="s">
        <v>85</v>
      </c>
      <c r="BH77" s="9" t="s">
        <v>85</v>
      </c>
      <c r="BI77" s="6"/>
      <c r="BJ77" s="6" t="str">
        <f t="shared" si="1"/>
        <v>8BoN_Fold_Median</v>
      </c>
      <c r="BK77" s="6" t="str">
        <f t="shared" si="2"/>
        <v>5Bo_Fold_Median</v>
      </c>
      <c r="BL77" s="6" t="str">
        <f t="shared" si="3"/>
        <v>5Bo_Fold_Median</v>
      </c>
      <c r="BM77" s="6"/>
      <c r="BN77" s="6">
        <f t="shared" si="4"/>
        <v>8</v>
      </c>
      <c r="BO77" s="6"/>
      <c r="BP77" s="6"/>
      <c r="BQ77" s="6"/>
      <c r="BR77" s="6"/>
      <c r="BS77" s="6"/>
      <c r="BT77" s="6"/>
      <c r="BU77" s="6"/>
      <c r="BV77" s="6"/>
      <c r="BW77" s="6"/>
      <c r="BX77" s="6"/>
    </row>
    <row r="78" ht="15.75" customHeight="1">
      <c r="A78" s="1" t="s">
        <v>172</v>
      </c>
      <c r="B78" s="17">
        <v>512.0</v>
      </c>
      <c r="C78" s="17">
        <v>60.0</v>
      </c>
      <c r="D78" s="9" t="s">
        <v>85</v>
      </c>
      <c r="E78" s="9">
        <v>0.37</v>
      </c>
      <c r="F78" s="9" t="s">
        <v>85</v>
      </c>
      <c r="G78" s="9" t="s">
        <v>85</v>
      </c>
      <c r="H78" s="30">
        <v>0.280000001</v>
      </c>
      <c r="I78" s="9" t="s">
        <v>85</v>
      </c>
      <c r="J78" s="9" t="s">
        <v>85</v>
      </c>
      <c r="K78" s="9" t="s">
        <v>85</v>
      </c>
      <c r="L78" s="9" t="s">
        <v>85</v>
      </c>
      <c r="M78" s="9" t="s">
        <v>85</v>
      </c>
      <c r="N78" s="9" t="s">
        <v>85</v>
      </c>
      <c r="O78" s="9" t="s">
        <v>85</v>
      </c>
      <c r="P78" s="9" t="s">
        <v>85</v>
      </c>
      <c r="Q78" s="9">
        <v>0.455</v>
      </c>
      <c r="R78" s="9" t="s">
        <v>85</v>
      </c>
      <c r="S78" s="9" t="s">
        <v>85</v>
      </c>
      <c r="T78" s="9">
        <v>0.416667</v>
      </c>
      <c r="U78" s="9" t="s">
        <v>85</v>
      </c>
      <c r="V78" s="9" t="s">
        <v>85</v>
      </c>
      <c r="W78" s="9" t="s">
        <v>85</v>
      </c>
      <c r="X78" s="9" t="s">
        <v>85</v>
      </c>
      <c r="Y78" s="9" t="s">
        <v>85</v>
      </c>
      <c r="Z78" s="9" t="s">
        <v>85</v>
      </c>
      <c r="AA78" s="9" t="s">
        <v>85</v>
      </c>
      <c r="AB78" s="9" t="s">
        <v>85</v>
      </c>
      <c r="AC78" s="30">
        <v>0.38</v>
      </c>
      <c r="AD78" s="9" t="s">
        <v>85</v>
      </c>
      <c r="AE78" s="9" t="s">
        <v>85</v>
      </c>
      <c r="AF78" s="30">
        <v>0.371667</v>
      </c>
      <c r="AG78" s="9" t="s">
        <v>85</v>
      </c>
      <c r="AH78" s="9" t="s">
        <v>85</v>
      </c>
      <c r="AI78" s="9" t="s">
        <v>85</v>
      </c>
      <c r="AJ78" s="9" t="s">
        <v>85</v>
      </c>
      <c r="AK78" s="9" t="s">
        <v>85</v>
      </c>
      <c r="AL78" s="9" t="s">
        <v>85</v>
      </c>
      <c r="AM78" s="9" t="s">
        <v>85</v>
      </c>
      <c r="AN78" s="9" t="s">
        <v>85</v>
      </c>
      <c r="AO78" s="9">
        <v>0.336667</v>
      </c>
      <c r="AP78" s="9" t="s">
        <v>85</v>
      </c>
      <c r="AQ78" s="9" t="s">
        <v>85</v>
      </c>
      <c r="AR78" s="30">
        <v>0.456667</v>
      </c>
      <c r="AS78" s="9" t="s">
        <v>85</v>
      </c>
      <c r="AT78" s="9" t="s">
        <v>85</v>
      </c>
      <c r="AU78" s="9" t="s">
        <v>85</v>
      </c>
      <c r="AV78" s="9" t="s">
        <v>85</v>
      </c>
      <c r="AW78" s="9" t="s">
        <v>85</v>
      </c>
      <c r="AX78" s="9" t="s">
        <v>85</v>
      </c>
      <c r="AY78" s="9" t="s">
        <v>85</v>
      </c>
      <c r="AZ78" s="9" t="s">
        <v>85</v>
      </c>
      <c r="BA78" s="9" t="s">
        <v>85</v>
      </c>
      <c r="BB78" s="9" t="s">
        <v>85</v>
      </c>
      <c r="BC78" s="9" t="s">
        <v>85</v>
      </c>
      <c r="BD78" s="9" t="s">
        <v>85</v>
      </c>
      <c r="BE78" s="9" t="s">
        <v>85</v>
      </c>
      <c r="BF78" s="10" t="s">
        <v>85</v>
      </c>
      <c r="BG78" s="10" t="s">
        <v>85</v>
      </c>
      <c r="BH78" s="9" t="s">
        <v>85</v>
      </c>
      <c r="BI78" s="6"/>
      <c r="BJ78" s="6" t="str">
        <f t="shared" si="1"/>
        <v>12BoN_Fold_Median</v>
      </c>
      <c r="BK78" s="6" t="str">
        <f t="shared" si="2"/>
        <v>8Bo_Fold_Median</v>
      </c>
      <c r="BL78" s="6" t="str">
        <f t="shared" si="3"/>
        <v>8BoN_Fold_Median</v>
      </c>
      <c r="BM78" s="6"/>
      <c r="BN78" s="6">
        <f t="shared" si="4"/>
        <v>12</v>
      </c>
      <c r="BO78" s="6"/>
      <c r="BP78" s="6"/>
      <c r="BQ78" s="6"/>
      <c r="BR78" s="6"/>
      <c r="BS78" s="6"/>
      <c r="BT78" s="6"/>
      <c r="BU78" s="6"/>
      <c r="BV78" s="6"/>
      <c r="BW78" s="6"/>
      <c r="BX78" s="6"/>
    </row>
    <row r="79" ht="15.75" customHeight="1">
      <c r="A79" s="1" t="s">
        <v>173</v>
      </c>
      <c r="B79" s="17">
        <v>720.0</v>
      </c>
      <c r="C79" s="17">
        <v>3.0</v>
      </c>
      <c r="D79" s="9" t="s">
        <v>85</v>
      </c>
      <c r="E79" s="9">
        <v>0.602667</v>
      </c>
      <c r="F79" s="9" t="s">
        <v>85</v>
      </c>
      <c r="G79" s="9" t="s">
        <v>85</v>
      </c>
      <c r="H79" s="30">
        <v>0.437333345</v>
      </c>
      <c r="I79" s="9" t="s">
        <v>85</v>
      </c>
      <c r="J79" s="9" t="s">
        <v>85</v>
      </c>
      <c r="K79" s="9" t="s">
        <v>85</v>
      </c>
      <c r="L79" s="9" t="s">
        <v>85</v>
      </c>
      <c r="M79" s="9" t="s">
        <v>85</v>
      </c>
      <c r="N79" s="9" t="s">
        <v>85</v>
      </c>
      <c r="O79" s="9" t="s">
        <v>85</v>
      </c>
      <c r="P79" s="9" t="s">
        <v>85</v>
      </c>
      <c r="Q79" s="9">
        <v>0.653333</v>
      </c>
      <c r="R79" s="9" t="s">
        <v>85</v>
      </c>
      <c r="S79" s="9" t="s">
        <v>85</v>
      </c>
      <c r="T79" s="9">
        <v>0.565333</v>
      </c>
      <c r="U79" s="9" t="s">
        <v>85</v>
      </c>
      <c r="V79" s="9" t="s">
        <v>85</v>
      </c>
      <c r="W79" s="9" t="s">
        <v>85</v>
      </c>
      <c r="X79" s="9" t="s">
        <v>85</v>
      </c>
      <c r="Y79" s="9" t="s">
        <v>85</v>
      </c>
      <c r="Z79" s="9" t="s">
        <v>85</v>
      </c>
      <c r="AA79" s="9" t="s">
        <v>85</v>
      </c>
      <c r="AB79" s="9" t="s">
        <v>85</v>
      </c>
      <c r="AC79" s="30">
        <v>0.634667</v>
      </c>
      <c r="AD79" s="9" t="s">
        <v>85</v>
      </c>
      <c r="AE79" s="9" t="s">
        <v>85</v>
      </c>
      <c r="AF79" s="30">
        <v>0.645333</v>
      </c>
      <c r="AG79" s="9" t="s">
        <v>85</v>
      </c>
      <c r="AH79" s="9" t="s">
        <v>85</v>
      </c>
      <c r="AI79" s="9" t="s">
        <v>85</v>
      </c>
      <c r="AJ79" s="9" t="s">
        <v>85</v>
      </c>
      <c r="AK79" s="9" t="s">
        <v>85</v>
      </c>
      <c r="AL79" s="9" t="s">
        <v>85</v>
      </c>
      <c r="AM79" s="9" t="s">
        <v>85</v>
      </c>
      <c r="AN79" s="9" t="s">
        <v>85</v>
      </c>
      <c r="AO79" s="9">
        <v>0.602667</v>
      </c>
      <c r="AP79" s="9" t="s">
        <v>85</v>
      </c>
      <c r="AQ79" s="9" t="s">
        <v>85</v>
      </c>
      <c r="AR79" s="30">
        <v>0.618667</v>
      </c>
      <c r="AS79" s="9" t="s">
        <v>85</v>
      </c>
      <c r="AT79" s="9" t="s">
        <v>85</v>
      </c>
      <c r="AU79" s="9" t="s">
        <v>85</v>
      </c>
      <c r="AV79" s="9" t="s">
        <v>85</v>
      </c>
      <c r="AW79" s="9" t="s">
        <v>85</v>
      </c>
      <c r="AX79" s="9" t="s">
        <v>85</v>
      </c>
      <c r="AY79" s="9" t="s">
        <v>85</v>
      </c>
      <c r="AZ79" s="9" t="s">
        <v>85</v>
      </c>
      <c r="BA79" s="9" t="s">
        <v>85</v>
      </c>
      <c r="BB79" s="9" t="s">
        <v>85</v>
      </c>
      <c r="BC79" s="9" t="s">
        <v>85</v>
      </c>
      <c r="BD79" s="9" t="s">
        <v>85</v>
      </c>
      <c r="BE79" s="9" t="s">
        <v>85</v>
      </c>
      <c r="BF79" s="10" t="s">
        <v>85</v>
      </c>
      <c r="BG79" s="10" t="s">
        <v>85</v>
      </c>
      <c r="BH79" s="9" t="s">
        <v>85</v>
      </c>
      <c r="BI79" s="6"/>
      <c r="BJ79" s="6" t="str">
        <f t="shared" si="1"/>
        <v>8Bo_Fold_Median</v>
      </c>
      <c r="BK79" s="6" t="str">
        <f t="shared" si="2"/>
        <v>10BoN_Fold_Median</v>
      </c>
      <c r="BL79" s="6" t="str">
        <f t="shared" si="3"/>
        <v>10Bo_Fold_Median</v>
      </c>
      <c r="BM79" s="6"/>
      <c r="BN79" s="6">
        <f t="shared" si="4"/>
        <v>8</v>
      </c>
      <c r="BO79" s="6"/>
      <c r="BP79" s="6"/>
      <c r="BQ79" s="6"/>
      <c r="BR79" s="6"/>
      <c r="BS79" s="6"/>
      <c r="BT79" s="6"/>
      <c r="BU79" s="6"/>
      <c r="BV79" s="6"/>
      <c r="BW79" s="6"/>
      <c r="BX79" s="6"/>
    </row>
    <row r="80" ht="15.75" customHeight="1">
      <c r="A80" s="1" t="s">
        <v>174</v>
      </c>
      <c r="B80" s="17">
        <v>15.0</v>
      </c>
      <c r="C80" s="17">
        <v>3.0</v>
      </c>
      <c r="D80" s="9" t="s">
        <v>85</v>
      </c>
      <c r="E80" s="9">
        <v>0.953333</v>
      </c>
      <c r="F80" s="9" t="s">
        <v>85</v>
      </c>
      <c r="G80" s="9" t="s">
        <v>85</v>
      </c>
      <c r="H80" s="30">
        <v>0.959999979</v>
      </c>
      <c r="I80" s="9" t="s">
        <v>85</v>
      </c>
      <c r="J80" s="9" t="s">
        <v>85</v>
      </c>
      <c r="K80" s="9" t="s">
        <v>85</v>
      </c>
      <c r="L80" s="9" t="s">
        <v>85</v>
      </c>
      <c r="M80" s="9" t="s">
        <v>85</v>
      </c>
      <c r="N80" s="9" t="s">
        <v>85</v>
      </c>
      <c r="O80" s="9" t="s">
        <v>85</v>
      </c>
      <c r="P80" s="9" t="s">
        <v>85</v>
      </c>
      <c r="Q80" s="9">
        <v>0.926667</v>
      </c>
      <c r="R80" s="9" t="s">
        <v>85</v>
      </c>
      <c r="S80" s="9" t="s">
        <v>85</v>
      </c>
      <c r="T80" s="9">
        <v>0.94</v>
      </c>
      <c r="U80" s="9" t="s">
        <v>85</v>
      </c>
      <c r="V80" s="9" t="s">
        <v>85</v>
      </c>
      <c r="W80" s="9" t="s">
        <v>85</v>
      </c>
      <c r="X80" s="9" t="s">
        <v>85</v>
      </c>
      <c r="Y80" s="9" t="s">
        <v>85</v>
      </c>
      <c r="Z80" s="9" t="s">
        <v>85</v>
      </c>
      <c r="AA80" s="9" t="s">
        <v>85</v>
      </c>
      <c r="AB80" s="9" t="s">
        <v>85</v>
      </c>
      <c r="AC80" s="30">
        <v>0.92</v>
      </c>
      <c r="AD80" s="9" t="s">
        <v>85</v>
      </c>
      <c r="AE80" s="9" t="s">
        <v>85</v>
      </c>
      <c r="AF80" s="30">
        <v>0.913333</v>
      </c>
      <c r="AG80" s="9" t="s">
        <v>85</v>
      </c>
      <c r="AH80" s="9" t="s">
        <v>85</v>
      </c>
      <c r="AI80" s="9" t="s">
        <v>85</v>
      </c>
      <c r="AJ80" s="9" t="s">
        <v>85</v>
      </c>
      <c r="AK80" s="9" t="s">
        <v>85</v>
      </c>
      <c r="AL80" s="9" t="s">
        <v>85</v>
      </c>
      <c r="AM80" s="9" t="s">
        <v>85</v>
      </c>
      <c r="AN80" s="9" t="s">
        <v>85</v>
      </c>
      <c r="AO80" s="9">
        <v>0.926667</v>
      </c>
      <c r="AP80" s="9" t="s">
        <v>85</v>
      </c>
      <c r="AQ80" s="9" t="s">
        <v>85</v>
      </c>
      <c r="AR80" s="30">
        <v>0.92</v>
      </c>
      <c r="AS80" s="9" t="s">
        <v>85</v>
      </c>
      <c r="AT80" s="9" t="s">
        <v>85</v>
      </c>
      <c r="AU80" s="9" t="s">
        <v>85</v>
      </c>
      <c r="AV80" s="9" t="s">
        <v>85</v>
      </c>
      <c r="AW80" s="9" t="s">
        <v>85</v>
      </c>
      <c r="AX80" s="9" t="s">
        <v>85</v>
      </c>
      <c r="AY80" s="9" t="s">
        <v>85</v>
      </c>
      <c r="AZ80" s="9" t="s">
        <v>85</v>
      </c>
      <c r="BA80" s="9" t="s">
        <v>85</v>
      </c>
      <c r="BB80" s="9" t="s">
        <v>85</v>
      </c>
      <c r="BC80" s="9" t="s">
        <v>85</v>
      </c>
      <c r="BD80" s="9" t="s">
        <v>85</v>
      </c>
      <c r="BE80" s="9" t="s">
        <v>85</v>
      </c>
      <c r="BF80" s="10" t="s">
        <v>85</v>
      </c>
      <c r="BG80" s="10" t="s">
        <v>85</v>
      </c>
      <c r="BH80" s="9" t="s">
        <v>85</v>
      </c>
      <c r="BI80" s="6"/>
      <c r="BJ80" s="6" t="str">
        <f t="shared" si="1"/>
        <v>5BoN_Fold_Median</v>
      </c>
      <c r="BK80" s="6" t="str">
        <f t="shared" si="2"/>
        <v>5Bo_Fold_Median</v>
      </c>
      <c r="BL80" s="6" t="str">
        <f t="shared" si="3"/>
        <v>8BoN_Fold_Median</v>
      </c>
      <c r="BM80" s="6"/>
      <c r="BN80" s="6">
        <f t="shared" si="4"/>
        <v>5</v>
      </c>
      <c r="BO80" s="6"/>
      <c r="BP80" s="6"/>
      <c r="BQ80" s="6"/>
      <c r="BR80" s="6"/>
      <c r="BS80" s="6"/>
      <c r="BT80" s="6"/>
      <c r="BU80" s="6"/>
      <c r="BV80" s="6"/>
      <c r="BW80" s="6"/>
      <c r="BX80" s="6"/>
    </row>
    <row r="81" ht="15.75" customHeight="1">
      <c r="A81" s="1" t="s">
        <v>175</v>
      </c>
      <c r="B81" s="17">
        <v>70.0</v>
      </c>
      <c r="C81" s="17">
        <v>2.0</v>
      </c>
      <c r="D81" s="9" t="s">
        <v>85</v>
      </c>
      <c r="E81" s="9">
        <v>0.494176</v>
      </c>
      <c r="F81" s="9" t="s">
        <v>85</v>
      </c>
      <c r="G81" s="9" t="s">
        <v>85</v>
      </c>
      <c r="H81" s="30">
        <v>0.555740416</v>
      </c>
      <c r="I81" s="9" t="s">
        <v>85</v>
      </c>
      <c r="J81" s="9" t="s">
        <v>85</v>
      </c>
      <c r="K81" s="9" t="s">
        <v>85</v>
      </c>
      <c r="L81" s="9" t="s">
        <v>85</v>
      </c>
      <c r="M81" s="9" t="s">
        <v>85</v>
      </c>
      <c r="N81" s="9" t="s">
        <v>85</v>
      </c>
      <c r="O81" s="9" t="s">
        <v>85</v>
      </c>
      <c r="P81" s="9" t="s">
        <v>85</v>
      </c>
      <c r="Q81" s="9">
        <v>0.464226</v>
      </c>
      <c r="R81" s="9" t="s">
        <v>85</v>
      </c>
      <c r="S81" s="9" t="s">
        <v>85</v>
      </c>
      <c r="T81" s="9">
        <v>0.570715</v>
      </c>
      <c r="U81" s="9" t="s">
        <v>85</v>
      </c>
      <c r="V81" s="9" t="s">
        <v>85</v>
      </c>
      <c r="W81" s="9" t="s">
        <v>85</v>
      </c>
      <c r="X81" s="9" t="s">
        <v>85</v>
      </c>
      <c r="Y81" s="9" t="s">
        <v>85</v>
      </c>
      <c r="Z81" s="9" t="s">
        <v>85</v>
      </c>
      <c r="AA81" s="9" t="s">
        <v>85</v>
      </c>
      <c r="AB81" s="9" t="s">
        <v>85</v>
      </c>
      <c r="AC81" s="30">
        <v>0.454243</v>
      </c>
      <c r="AD81" s="9" t="s">
        <v>85</v>
      </c>
      <c r="AE81" s="9" t="s">
        <v>85</v>
      </c>
      <c r="AF81" s="30">
        <v>0.442596</v>
      </c>
      <c r="AG81" s="9" t="s">
        <v>85</v>
      </c>
      <c r="AH81" s="9" t="s">
        <v>85</v>
      </c>
      <c r="AI81" s="9" t="s">
        <v>85</v>
      </c>
      <c r="AJ81" s="9" t="s">
        <v>85</v>
      </c>
      <c r="AK81" s="9" t="s">
        <v>85</v>
      </c>
      <c r="AL81" s="9" t="s">
        <v>85</v>
      </c>
      <c r="AM81" s="9" t="s">
        <v>85</v>
      </c>
      <c r="AN81" s="9" t="s">
        <v>85</v>
      </c>
      <c r="AO81" s="9">
        <v>0.487521</v>
      </c>
      <c r="AP81" s="9" t="s">
        <v>85</v>
      </c>
      <c r="AQ81" s="9" t="s">
        <v>85</v>
      </c>
      <c r="AR81" s="30">
        <v>0.459235</v>
      </c>
      <c r="AS81" s="9" t="s">
        <v>85</v>
      </c>
      <c r="AT81" s="9" t="s">
        <v>85</v>
      </c>
      <c r="AU81" s="9" t="s">
        <v>85</v>
      </c>
      <c r="AV81" s="9" t="s">
        <v>85</v>
      </c>
      <c r="AW81" s="9" t="s">
        <v>85</v>
      </c>
      <c r="AX81" s="9" t="s">
        <v>85</v>
      </c>
      <c r="AY81" s="9" t="s">
        <v>85</v>
      </c>
      <c r="AZ81" s="9" t="s">
        <v>85</v>
      </c>
      <c r="BA81" s="9" t="s">
        <v>85</v>
      </c>
      <c r="BB81" s="9" t="s">
        <v>85</v>
      </c>
      <c r="BC81" s="9" t="s">
        <v>85</v>
      </c>
      <c r="BD81" s="9" t="s">
        <v>85</v>
      </c>
      <c r="BE81" s="9" t="s">
        <v>85</v>
      </c>
      <c r="BF81" s="10" t="s">
        <v>85</v>
      </c>
      <c r="BG81" s="10" t="s">
        <v>85</v>
      </c>
      <c r="BH81" s="9" t="s">
        <v>85</v>
      </c>
      <c r="BI81" s="6"/>
      <c r="BJ81" s="6" t="str">
        <f t="shared" si="1"/>
        <v>8BoN_Fold_Median</v>
      </c>
      <c r="BK81" s="6" t="str">
        <f t="shared" si="2"/>
        <v>5BoN_Fold_Median</v>
      </c>
      <c r="BL81" s="6" t="str">
        <f t="shared" si="3"/>
        <v>5Bo_Fold_Median</v>
      </c>
      <c r="BM81" s="6"/>
      <c r="BN81" s="6">
        <f t="shared" si="4"/>
        <v>8</v>
      </c>
      <c r="BO81" s="6"/>
      <c r="BP81" s="6"/>
      <c r="BQ81" s="6"/>
      <c r="BR81" s="6"/>
      <c r="BS81" s="6"/>
      <c r="BT81" s="6"/>
      <c r="BU81" s="6"/>
      <c r="BV81" s="6"/>
      <c r="BW81" s="6"/>
      <c r="BX81" s="6"/>
    </row>
    <row r="82" ht="15.75" customHeight="1">
      <c r="A82" s="1" t="s">
        <v>176</v>
      </c>
      <c r="B82" s="17">
        <v>65.0</v>
      </c>
      <c r="C82" s="17">
        <v>2.0</v>
      </c>
      <c r="D82" s="9" t="s">
        <v>85</v>
      </c>
      <c r="E82" s="9">
        <v>0.735572</v>
      </c>
      <c r="F82" s="9" t="s">
        <v>85</v>
      </c>
      <c r="G82" s="9" t="s">
        <v>85</v>
      </c>
      <c r="H82" s="30">
        <v>0.731374621</v>
      </c>
      <c r="I82" s="9" t="s">
        <v>85</v>
      </c>
      <c r="J82" s="9" t="s">
        <v>85</v>
      </c>
      <c r="K82" s="9" t="s">
        <v>85</v>
      </c>
      <c r="L82" s="9" t="s">
        <v>85</v>
      </c>
      <c r="M82" s="9" t="s">
        <v>85</v>
      </c>
      <c r="N82" s="9" t="s">
        <v>85</v>
      </c>
      <c r="O82" s="9" t="s">
        <v>85</v>
      </c>
      <c r="P82" s="9" t="s">
        <v>85</v>
      </c>
      <c r="Q82" s="9">
        <v>0.777545</v>
      </c>
      <c r="R82" s="9" t="s">
        <v>85</v>
      </c>
      <c r="S82" s="9" t="s">
        <v>85</v>
      </c>
      <c r="T82" s="9">
        <v>0.774397</v>
      </c>
      <c r="U82" s="9" t="s">
        <v>85</v>
      </c>
      <c r="V82" s="9" t="s">
        <v>85</v>
      </c>
      <c r="W82" s="9" t="s">
        <v>85</v>
      </c>
      <c r="X82" s="9" t="s">
        <v>85</v>
      </c>
      <c r="Y82" s="9" t="s">
        <v>85</v>
      </c>
      <c r="Z82" s="9" t="s">
        <v>85</v>
      </c>
      <c r="AA82" s="9" t="s">
        <v>85</v>
      </c>
      <c r="AB82" s="9" t="s">
        <v>85</v>
      </c>
      <c r="AC82" s="30">
        <v>0.764953</v>
      </c>
      <c r="AD82" s="9" t="s">
        <v>85</v>
      </c>
      <c r="AE82" s="9" t="s">
        <v>85</v>
      </c>
      <c r="AF82" s="30">
        <v>0.767051</v>
      </c>
      <c r="AG82" s="9" t="s">
        <v>85</v>
      </c>
      <c r="AH82" s="9" t="s">
        <v>85</v>
      </c>
      <c r="AI82" s="9" t="s">
        <v>85</v>
      </c>
      <c r="AJ82" s="9" t="s">
        <v>85</v>
      </c>
      <c r="AK82" s="9" t="s">
        <v>85</v>
      </c>
      <c r="AL82" s="9" t="s">
        <v>85</v>
      </c>
      <c r="AM82" s="9" t="s">
        <v>85</v>
      </c>
      <c r="AN82" s="9" t="s">
        <v>85</v>
      </c>
      <c r="AO82" s="9">
        <v>0.786988</v>
      </c>
      <c r="AP82" s="9" t="s">
        <v>85</v>
      </c>
      <c r="AQ82" s="9" t="s">
        <v>85</v>
      </c>
      <c r="AR82" s="30">
        <v>0.781742</v>
      </c>
      <c r="AS82" s="9" t="s">
        <v>85</v>
      </c>
      <c r="AT82" s="9" t="s">
        <v>85</v>
      </c>
      <c r="AU82" s="9" t="s">
        <v>85</v>
      </c>
      <c r="AV82" s="9" t="s">
        <v>85</v>
      </c>
      <c r="AW82" s="9" t="s">
        <v>85</v>
      </c>
      <c r="AX82" s="9" t="s">
        <v>85</v>
      </c>
      <c r="AY82" s="9" t="s">
        <v>85</v>
      </c>
      <c r="AZ82" s="9" t="s">
        <v>85</v>
      </c>
      <c r="BA82" s="9" t="s">
        <v>85</v>
      </c>
      <c r="BB82" s="9" t="s">
        <v>85</v>
      </c>
      <c r="BC82" s="9" t="s">
        <v>85</v>
      </c>
      <c r="BD82" s="9" t="s">
        <v>85</v>
      </c>
      <c r="BE82" s="9" t="s">
        <v>85</v>
      </c>
      <c r="BF82" s="10" t="s">
        <v>85</v>
      </c>
      <c r="BG82" s="10" t="s">
        <v>85</v>
      </c>
      <c r="BH82" s="9" t="s">
        <v>85</v>
      </c>
      <c r="BI82" s="6"/>
      <c r="BJ82" s="6" t="str">
        <f t="shared" si="1"/>
        <v>12Bo_Fold_Median</v>
      </c>
      <c r="BK82" s="6" t="str">
        <f t="shared" si="2"/>
        <v>12BoN_Fold_Median</v>
      </c>
      <c r="BL82" s="6" t="str">
        <f t="shared" si="3"/>
        <v>8Bo_Fold_Median</v>
      </c>
      <c r="BM82" s="6"/>
      <c r="BN82" s="6">
        <f t="shared" si="4"/>
        <v>12</v>
      </c>
      <c r="BO82" s="6"/>
      <c r="BP82" s="6"/>
      <c r="BQ82" s="6"/>
      <c r="BR82" s="6"/>
      <c r="BS82" s="6"/>
      <c r="BT82" s="6"/>
      <c r="BU82" s="6"/>
      <c r="BV82" s="6"/>
      <c r="BW82" s="6"/>
      <c r="BX82" s="6"/>
    </row>
    <row r="83" ht="15.75" customHeight="1">
      <c r="A83" s="1" t="s">
        <v>177</v>
      </c>
      <c r="B83" s="17">
        <v>1024.0</v>
      </c>
      <c r="C83" s="17">
        <v>3.0</v>
      </c>
      <c r="D83" s="9" t="s">
        <v>85</v>
      </c>
      <c r="E83" s="9">
        <v>0.918893</v>
      </c>
      <c r="F83" s="9" t="s">
        <v>85</v>
      </c>
      <c r="G83" s="9" t="s">
        <v>85</v>
      </c>
      <c r="H83" s="30">
        <v>0.919014096</v>
      </c>
      <c r="I83" s="9" t="s">
        <v>85</v>
      </c>
      <c r="J83" s="9" t="s">
        <v>85</v>
      </c>
      <c r="K83" s="9" t="s">
        <v>85</v>
      </c>
      <c r="L83" s="9" t="s">
        <v>85</v>
      </c>
      <c r="M83" s="9" t="s">
        <v>85</v>
      </c>
      <c r="N83" s="9" t="s">
        <v>85</v>
      </c>
      <c r="O83" s="9" t="s">
        <v>85</v>
      </c>
      <c r="P83" s="9" t="s">
        <v>85</v>
      </c>
      <c r="Q83" s="9">
        <v>0.929335</v>
      </c>
      <c r="R83" s="9" t="s">
        <v>85</v>
      </c>
      <c r="S83" s="9" t="s">
        <v>85</v>
      </c>
      <c r="T83" s="9">
        <v>0.927635</v>
      </c>
      <c r="U83" s="9" t="s">
        <v>85</v>
      </c>
      <c r="V83" s="9" t="s">
        <v>85</v>
      </c>
      <c r="W83" s="9" t="s">
        <v>85</v>
      </c>
      <c r="X83" s="9" t="s">
        <v>85</v>
      </c>
      <c r="Y83" s="9" t="s">
        <v>85</v>
      </c>
      <c r="Z83" s="9" t="s">
        <v>85</v>
      </c>
      <c r="AA83" s="9" t="s">
        <v>85</v>
      </c>
      <c r="AB83" s="9" t="s">
        <v>85</v>
      </c>
      <c r="AC83" s="30">
        <v>0.922292</v>
      </c>
      <c r="AD83" s="9" t="s">
        <v>85</v>
      </c>
      <c r="AE83" s="9" t="s">
        <v>85</v>
      </c>
      <c r="AF83" s="30">
        <v>0.924964</v>
      </c>
      <c r="AG83" s="9" t="s">
        <v>85</v>
      </c>
      <c r="AH83" s="9" t="s">
        <v>85</v>
      </c>
      <c r="AI83" s="9" t="s">
        <v>85</v>
      </c>
      <c r="AJ83" s="9" t="s">
        <v>85</v>
      </c>
      <c r="AK83" s="9" t="s">
        <v>85</v>
      </c>
      <c r="AL83" s="9" t="s">
        <v>85</v>
      </c>
      <c r="AM83" s="9" t="s">
        <v>85</v>
      </c>
      <c r="AN83" s="9" t="s">
        <v>85</v>
      </c>
      <c r="AO83" s="9">
        <v>0.931642</v>
      </c>
      <c r="AP83" s="9" t="s">
        <v>85</v>
      </c>
      <c r="AQ83" s="9" t="s">
        <v>85</v>
      </c>
      <c r="AR83" s="30">
        <v>0.926906</v>
      </c>
      <c r="AS83" s="9" t="s">
        <v>85</v>
      </c>
      <c r="AT83" s="9" t="s">
        <v>85</v>
      </c>
      <c r="AU83" s="9" t="s">
        <v>85</v>
      </c>
      <c r="AV83" s="9" t="s">
        <v>85</v>
      </c>
      <c r="AW83" s="9" t="s">
        <v>85</v>
      </c>
      <c r="AX83" s="9" t="s">
        <v>85</v>
      </c>
      <c r="AY83" s="9" t="s">
        <v>85</v>
      </c>
      <c r="AZ83" s="9" t="s">
        <v>85</v>
      </c>
      <c r="BA83" s="9" t="s">
        <v>85</v>
      </c>
      <c r="BB83" s="9" t="s">
        <v>85</v>
      </c>
      <c r="BC83" s="9" t="s">
        <v>85</v>
      </c>
      <c r="BD83" s="9" t="s">
        <v>85</v>
      </c>
      <c r="BE83" s="9" t="s">
        <v>85</v>
      </c>
      <c r="BF83" s="10" t="s">
        <v>85</v>
      </c>
      <c r="BG83" s="10" t="s">
        <v>85</v>
      </c>
      <c r="BH83" s="9" t="s">
        <v>85</v>
      </c>
      <c r="BI83" s="6"/>
      <c r="BJ83" s="6" t="str">
        <f t="shared" si="1"/>
        <v>12Bo_Fold_Median</v>
      </c>
      <c r="BK83" s="6" t="str">
        <f t="shared" si="2"/>
        <v>8Bo_Fold_Median</v>
      </c>
      <c r="BL83" s="6" t="str">
        <f t="shared" si="3"/>
        <v>8BoN_Fold_Median</v>
      </c>
      <c r="BM83" s="6"/>
      <c r="BN83" s="6">
        <f t="shared" si="4"/>
        <v>12</v>
      </c>
      <c r="BO83" s="6"/>
      <c r="BP83" s="6"/>
      <c r="BQ83" s="6"/>
      <c r="BR83" s="6"/>
      <c r="BS83" s="6"/>
      <c r="BT83" s="6"/>
      <c r="BU83" s="6"/>
      <c r="BV83" s="6"/>
      <c r="BW83" s="6"/>
      <c r="BX83" s="6"/>
    </row>
    <row r="84" ht="15.75" customHeight="1">
      <c r="A84" s="1" t="s">
        <v>178</v>
      </c>
      <c r="B84" s="17">
        <v>235.0</v>
      </c>
      <c r="C84" s="17">
        <v>2.0</v>
      </c>
      <c r="D84" s="9" t="s">
        <v>85</v>
      </c>
      <c r="E84" s="9">
        <v>0.9</v>
      </c>
      <c r="F84" s="9" t="s">
        <v>85</v>
      </c>
      <c r="G84" s="9" t="s">
        <v>85</v>
      </c>
      <c r="H84" s="30">
        <v>0.891891897</v>
      </c>
      <c r="I84" s="9" t="s">
        <v>85</v>
      </c>
      <c r="J84" s="9" t="s">
        <v>85</v>
      </c>
      <c r="K84" s="9" t="s">
        <v>85</v>
      </c>
      <c r="L84" s="9" t="s">
        <v>85</v>
      </c>
      <c r="M84" s="9" t="s">
        <v>85</v>
      </c>
      <c r="N84" s="9" t="s">
        <v>85</v>
      </c>
      <c r="O84" s="9" t="s">
        <v>85</v>
      </c>
      <c r="P84" s="9" t="s">
        <v>85</v>
      </c>
      <c r="Q84" s="9">
        <v>0.894595</v>
      </c>
      <c r="R84" s="9" t="s">
        <v>85</v>
      </c>
      <c r="S84" s="9" t="s">
        <v>85</v>
      </c>
      <c r="T84" s="9">
        <v>0.897297</v>
      </c>
      <c r="U84" s="9" t="s">
        <v>85</v>
      </c>
      <c r="V84" s="9" t="s">
        <v>85</v>
      </c>
      <c r="W84" s="9" t="s">
        <v>85</v>
      </c>
      <c r="X84" s="9" t="s">
        <v>85</v>
      </c>
      <c r="Y84" s="9" t="s">
        <v>85</v>
      </c>
      <c r="Z84" s="9" t="s">
        <v>85</v>
      </c>
      <c r="AA84" s="9" t="s">
        <v>85</v>
      </c>
      <c r="AB84" s="9" t="s">
        <v>85</v>
      </c>
      <c r="AC84" s="30">
        <v>0.910811</v>
      </c>
      <c r="AD84" s="9" t="s">
        <v>85</v>
      </c>
      <c r="AE84" s="9" t="s">
        <v>85</v>
      </c>
      <c r="AF84" s="30">
        <v>0.908108</v>
      </c>
      <c r="AG84" s="9" t="s">
        <v>85</v>
      </c>
      <c r="AH84" s="9" t="s">
        <v>85</v>
      </c>
      <c r="AI84" s="9" t="s">
        <v>85</v>
      </c>
      <c r="AJ84" s="9" t="s">
        <v>85</v>
      </c>
      <c r="AK84" s="9" t="s">
        <v>85</v>
      </c>
      <c r="AL84" s="9" t="s">
        <v>85</v>
      </c>
      <c r="AM84" s="9" t="s">
        <v>85</v>
      </c>
      <c r="AN84" s="9" t="s">
        <v>85</v>
      </c>
      <c r="AO84" s="9">
        <v>0.913514</v>
      </c>
      <c r="AP84" s="9" t="s">
        <v>85</v>
      </c>
      <c r="AQ84" s="9" t="s">
        <v>85</v>
      </c>
      <c r="AR84" s="30">
        <v>0.910811</v>
      </c>
      <c r="AS84" s="9" t="s">
        <v>85</v>
      </c>
      <c r="AT84" s="9" t="s">
        <v>85</v>
      </c>
      <c r="AU84" s="9" t="s">
        <v>85</v>
      </c>
      <c r="AV84" s="9" t="s">
        <v>85</v>
      </c>
      <c r="AW84" s="9" t="s">
        <v>85</v>
      </c>
      <c r="AX84" s="9" t="s">
        <v>85</v>
      </c>
      <c r="AY84" s="9" t="s">
        <v>85</v>
      </c>
      <c r="AZ84" s="9" t="s">
        <v>85</v>
      </c>
      <c r="BA84" s="9" t="s">
        <v>85</v>
      </c>
      <c r="BB84" s="9" t="s">
        <v>85</v>
      </c>
      <c r="BC84" s="9" t="s">
        <v>85</v>
      </c>
      <c r="BD84" s="9" t="s">
        <v>85</v>
      </c>
      <c r="BE84" s="9" t="s">
        <v>85</v>
      </c>
      <c r="BF84" s="10" t="s">
        <v>85</v>
      </c>
      <c r="BG84" s="10" t="s">
        <v>85</v>
      </c>
      <c r="BH84" s="9" t="s">
        <v>85</v>
      </c>
      <c r="BI84" s="6"/>
      <c r="BJ84" s="6" t="str">
        <f t="shared" si="1"/>
        <v>12Bo_Fold_Median</v>
      </c>
      <c r="BK84" s="6" t="str">
        <f t="shared" si="2"/>
        <v>10Bo_Fold_Median</v>
      </c>
      <c r="BL84" s="6" t="str">
        <f t="shared" si="3"/>
        <v>10Bo_Fold_Median</v>
      </c>
      <c r="BM84" s="6"/>
      <c r="BN84" s="6">
        <f t="shared" si="4"/>
        <v>12</v>
      </c>
      <c r="BO84" s="6"/>
      <c r="BP84" s="6"/>
      <c r="BQ84" s="6"/>
      <c r="BR84" s="6"/>
      <c r="BS84" s="6"/>
      <c r="BT84" s="6"/>
      <c r="BU84" s="6"/>
      <c r="BV84" s="6"/>
      <c r="BW84" s="6"/>
      <c r="BX84" s="6"/>
    </row>
    <row r="85" ht="15.75" customHeight="1">
      <c r="A85" s="1" t="s">
        <v>179</v>
      </c>
      <c r="B85" s="17">
        <v>128.0</v>
      </c>
      <c r="C85" s="17">
        <v>15.0</v>
      </c>
      <c r="D85" s="9" t="s">
        <v>85</v>
      </c>
      <c r="E85" s="9">
        <v>0.6848</v>
      </c>
      <c r="F85" s="9" t="s">
        <v>85</v>
      </c>
      <c r="G85" s="9" t="s">
        <v>85</v>
      </c>
      <c r="H85" s="30">
        <v>0.673600018</v>
      </c>
      <c r="I85" s="9" t="s">
        <v>85</v>
      </c>
      <c r="J85" s="9" t="s">
        <v>85</v>
      </c>
      <c r="K85" s="9" t="s">
        <v>85</v>
      </c>
      <c r="L85" s="9" t="s">
        <v>85</v>
      </c>
      <c r="M85" s="9" t="s">
        <v>85</v>
      </c>
      <c r="N85" s="9" t="s">
        <v>85</v>
      </c>
      <c r="O85" s="9" t="s">
        <v>85</v>
      </c>
      <c r="P85" s="9" t="s">
        <v>85</v>
      </c>
      <c r="Q85" s="9">
        <v>0.7824</v>
      </c>
      <c r="R85" s="9" t="s">
        <v>85</v>
      </c>
      <c r="S85" s="9" t="s">
        <v>85</v>
      </c>
      <c r="T85" s="9">
        <v>0.7488</v>
      </c>
      <c r="U85" s="9" t="s">
        <v>85</v>
      </c>
      <c r="V85" s="9" t="s">
        <v>85</v>
      </c>
      <c r="W85" s="9" t="s">
        <v>85</v>
      </c>
      <c r="X85" s="9" t="s">
        <v>85</v>
      </c>
      <c r="Y85" s="9" t="s">
        <v>85</v>
      </c>
      <c r="Z85" s="9" t="s">
        <v>85</v>
      </c>
      <c r="AA85" s="9" t="s">
        <v>85</v>
      </c>
      <c r="AB85" s="9" t="s">
        <v>85</v>
      </c>
      <c r="AC85" s="30">
        <v>0.808</v>
      </c>
      <c r="AD85" s="9" t="s">
        <v>85</v>
      </c>
      <c r="AE85" s="9" t="s">
        <v>85</v>
      </c>
      <c r="AF85" s="30">
        <v>0.7728</v>
      </c>
      <c r="AG85" s="9" t="s">
        <v>85</v>
      </c>
      <c r="AH85" s="9" t="s">
        <v>85</v>
      </c>
      <c r="AI85" s="9" t="s">
        <v>85</v>
      </c>
      <c r="AJ85" s="9" t="s">
        <v>85</v>
      </c>
      <c r="AK85" s="9" t="s">
        <v>85</v>
      </c>
      <c r="AL85" s="9" t="s">
        <v>85</v>
      </c>
      <c r="AM85" s="9" t="s">
        <v>85</v>
      </c>
      <c r="AN85" s="9" t="s">
        <v>85</v>
      </c>
      <c r="AO85" s="9">
        <v>0.7648</v>
      </c>
      <c r="AP85" s="9" t="s">
        <v>85</v>
      </c>
      <c r="AQ85" s="9" t="s">
        <v>85</v>
      </c>
      <c r="AR85" s="30">
        <v>0.7904</v>
      </c>
      <c r="AS85" s="9" t="s">
        <v>85</v>
      </c>
      <c r="AT85" s="9" t="s">
        <v>85</v>
      </c>
      <c r="AU85" s="9" t="s">
        <v>85</v>
      </c>
      <c r="AV85" s="9" t="s">
        <v>85</v>
      </c>
      <c r="AW85" s="9" t="s">
        <v>85</v>
      </c>
      <c r="AX85" s="9" t="s">
        <v>85</v>
      </c>
      <c r="AY85" s="9" t="s">
        <v>85</v>
      </c>
      <c r="AZ85" s="9" t="s">
        <v>85</v>
      </c>
      <c r="BA85" s="9" t="s">
        <v>85</v>
      </c>
      <c r="BB85" s="9" t="s">
        <v>85</v>
      </c>
      <c r="BC85" s="9" t="s">
        <v>85</v>
      </c>
      <c r="BD85" s="9" t="s">
        <v>85</v>
      </c>
      <c r="BE85" s="9" t="s">
        <v>85</v>
      </c>
      <c r="BF85" s="10" t="s">
        <v>85</v>
      </c>
      <c r="BG85" s="10" t="s">
        <v>85</v>
      </c>
      <c r="BH85" s="9" t="s">
        <v>85</v>
      </c>
      <c r="BI85" s="6"/>
      <c r="BJ85" s="6" t="str">
        <f t="shared" si="1"/>
        <v>10Bo_Fold_Median</v>
      </c>
      <c r="BK85" s="6" t="str">
        <f t="shared" si="2"/>
        <v>12BoN_Fold_Median</v>
      </c>
      <c r="BL85" s="6" t="str">
        <f t="shared" si="3"/>
        <v>8Bo_Fold_Median</v>
      </c>
      <c r="BM85" s="6"/>
      <c r="BN85" s="6">
        <f t="shared" si="4"/>
        <v>10</v>
      </c>
      <c r="BO85" s="6"/>
      <c r="BP85" s="6"/>
      <c r="BQ85" s="6"/>
      <c r="BR85" s="6"/>
      <c r="BS85" s="6"/>
      <c r="BT85" s="6"/>
      <c r="BU85" s="6"/>
      <c r="BV85" s="6"/>
      <c r="BW85" s="6"/>
      <c r="BX85" s="6"/>
    </row>
    <row r="86" ht="15.75" customHeight="1">
      <c r="A86" s="1" t="s">
        <v>180</v>
      </c>
      <c r="B86" s="17">
        <v>398.0</v>
      </c>
      <c r="C86" s="17">
        <v>6.0</v>
      </c>
      <c r="D86" s="9" t="s">
        <v>85</v>
      </c>
      <c r="E86" s="9">
        <v>0.744724</v>
      </c>
      <c r="F86" s="9" t="s">
        <v>85</v>
      </c>
      <c r="G86" s="9" t="s">
        <v>85</v>
      </c>
      <c r="H86" s="30">
        <v>0.703517616</v>
      </c>
      <c r="I86" s="9" t="s">
        <v>85</v>
      </c>
      <c r="J86" s="9" t="s">
        <v>85</v>
      </c>
      <c r="K86" s="9" t="s">
        <v>85</v>
      </c>
      <c r="L86" s="9" t="s">
        <v>85</v>
      </c>
      <c r="M86" s="9" t="s">
        <v>85</v>
      </c>
      <c r="N86" s="9" t="s">
        <v>85</v>
      </c>
      <c r="O86" s="9" t="s">
        <v>85</v>
      </c>
      <c r="P86" s="9" t="s">
        <v>85</v>
      </c>
      <c r="Q86" s="9">
        <v>0.745729</v>
      </c>
      <c r="R86" s="9" t="s">
        <v>85</v>
      </c>
      <c r="S86" s="9" t="s">
        <v>85</v>
      </c>
      <c r="T86" s="9">
        <v>0.742714</v>
      </c>
      <c r="U86" s="9" t="s">
        <v>85</v>
      </c>
      <c r="V86" s="9" t="s">
        <v>85</v>
      </c>
      <c r="W86" s="9" t="s">
        <v>85</v>
      </c>
      <c r="X86" s="9" t="s">
        <v>85</v>
      </c>
      <c r="Y86" s="9" t="s">
        <v>85</v>
      </c>
      <c r="Z86" s="9" t="s">
        <v>85</v>
      </c>
      <c r="AA86" s="9" t="s">
        <v>85</v>
      </c>
      <c r="AB86" s="9" t="s">
        <v>85</v>
      </c>
      <c r="AC86" s="30">
        <v>0.747739</v>
      </c>
      <c r="AD86" s="9" t="s">
        <v>85</v>
      </c>
      <c r="AE86" s="9" t="s">
        <v>85</v>
      </c>
      <c r="AF86" s="30">
        <v>0.728643</v>
      </c>
      <c r="AG86" s="9" t="s">
        <v>85</v>
      </c>
      <c r="AH86" s="9" t="s">
        <v>85</v>
      </c>
      <c r="AI86" s="9" t="s">
        <v>85</v>
      </c>
      <c r="AJ86" s="9" t="s">
        <v>85</v>
      </c>
      <c r="AK86" s="9" t="s">
        <v>85</v>
      </c>
      <c r="AL86" s="9" t="s">
        <v>85</v>
      </c>
      <c r="AM86" s="9" t="s">
        <v>85</v>
      </c>
      <c r="AN86" s="9" t="s">
        <v>85</v>
      </c>
      <c r="AO86" s="9">
        <v>0.686432</v>
      </c>
      <c r="AP86" s="9" t="s">
        <v>85</v>
      </c>
      <c r="AQ86" s="9" t="s">
        <v>85</v>
      </c>
      <c r="AR86" s="30">
        <v>0.712563</v>
      </c>
      <c r="AS86" s="9" t="s">
        <v>85</v>
      </c>
      <c r="AT86" s="9" t="s">
        <v>85</v>
      </c>
      <c r="AU86" s="9" t="s">
        <v>85</v>
      </c>
      <c r="AV86" s="9" t="s">
        <v>85</v>
      </c>
      <c r="AW86" s="9" t="s">
        <v>85</v>
      </c>
      <c r="AX86" s="9" t="s">
        <v>85</v>
      </c>
      <c r="AY86" s="9" t="s">
        <v>85</v>
      </c>
      <c r="AZ86" s="9" t="s">
        <v>85</v>
      </c>
      <c r="BA86" s="9" t="s">
        <v>85</v>
      </c>
      <c r="BB86" s="9" t="s">
        <v>85</v>
      </c>
      <c r="BC86" s="9" t="s">
        <v>85</v>
      </c>
      <c r="BD86" s="9" t="s">
        <v>85</v>
      </c>
      <c r="BE86" s="9" t="s">
        <v>85</v>
      </c>
      <c r="BF86" s="10" t="s">
        <v>85</v>
      </c>
      <c r="BG86" s="10" t="s">
        <v>85</v>
      </c>
      <c r="BH86" s="9" t="s">
        <v>85</v>
      </c>
      <c r="BI86" s="6"/>
      <c r="BJ86" s="6" t="str">
        <f t="shared" si="1"/>
        <v>10Bo_Fold_Median</v>
      </c>
      <c r="BK86" s="6" t="str">
        <f t="shared" si="2"/>
        <v>8Bo_Fold_Median</v>
      </c>
      <c r="BL86" s="6" t="str">
        <f t="shared" si="3"/>
        <v>5Bo_Fold_Median</v>
      </c>
      <c r="BM86" s="6"/>
      <c r="BN86" s="6">
        <f t="shared" si="4"/>
        <v>10</v>
      </c>
      <c r="BO86" s="6"/>
      <c r="BP86" s="6"/>
      <c r="BQ86" s="6"/>
      <c r="BR86" s="6"/>
      <c r="BS86" s="6"/>
      <c r="BT86" s="6"/>
      <c r="BU86" s="6"/>
      <c r="BV86" s="6"/>
      <c r="BW86" s="6"/>
      <c r="BX86" s="6"/>
    </row>
    <row r="87" ht="15.75" customHeight="1">
      <c r="A87" s="1" t="s">
        <v>181</v>
      </c>
      <c r="B87" s="17">
        <v>60.0</v>
      </c>
      <c r="C87" s="17">
        <v>6.0</v>
      </c>
      <c r="D87" s="9" t="s">
        <v>85</v>
      </c>
      <c r="E87" s="9">
        <v>0.963333</v>
      </c>
      <c r="F87" s="9" t="s">
        <v>85</v>
      </c>
      <c r="G87" s="9" t="s">
        <v>85</v>
      </c>
      <c r="H87" s="30">
        <v>0.956666648</v>
      </c>
      <c r="I87" s="9" t="s">
        <v>85</v>
      </c>
      <c r="J87" s="9" t="s">
        <v>85</v>
      </c>
      <c r="K87" s="9" t="s">
        <v>85</v>
      </c>
      <c r="L87" s="9" t="s">
        <v>85</v>
      </c>
      <c r="M87" s="9" t="s">
        <v>85</v>
      </c>
      <c r="N87" s="9" t="s">
        <v>85</v>
      </c>
      <c r="O87" s="9" t="s">
        <v>85</v>
      </c>
      <c r="P87" s="9" t="s">
        <v>85</v>
      </c>
      <c r="Q87" s="9">
        <v>0.956667</v>
      </c>
      <c r="R87" s="9" t="s">
        <v>85</v>
      </c>
      <c r="S87" s="9" t="s">
        <v>85</v>
      </c>
      <c r="T87" s="9">
        <v>0.953333</v>
      </c>
      <c r="U87" s="9" t="s">
        <v>85</v>
      </c>
      <c r="V87" s="9" t="s">
        <v>85</v>
      </c>
      <c r="W87" s="9" t="s">
        <v>85</v>
      </c>
      <c r="X87" s="9" t="s">
        <v>85</v>
      </c>
      <c r="Y87" s="9" t="s">
        <v>85</v>
      </c>
      <c r="Z87" s="9" t="s">
        <v>85</v>
      </c>
      <c r="AA87" s="9" t="s">
        <v>85</v>
      </c>
      <c r="AB87" s="9" t="s">
        <v>85</v>
      </c>
      <c r="AC87" s="30">
        <v>0.953333</v>
      </c>
      <c r="AD87" s="9" t="s">
        <v>85</v>
      </c>
      <c r="AE87" s="9" t="s">
        <v>85</v>
      </c>
      <c r="AF87" s="30">
        <v>0.953333</v>
      </c>
      <c r="AG87" s="9" t="s">
        <v>85</v>
      </c>
      <c r="AH87" s="9" t="s">
        <v>85</v>
      </c>
      <c r="AI87" s="9" t="s">
        <v>85</v>
      </c>
      <c r="AJ87" s="9" t="s">
        <v>85</v>
      </c>
      <c r="AK87" s="9" t="s">
        <v>85</v>
      </c>
      <c r="AL87" s="9" t="s">
        <v>85</v>
      </c>
      <c r="AM87" s="9" t="s">
        <v>85</v>
      </c>
      <c r="AN87" s="9" t="s">
        <v>85</v>
      </c>
      <c r="AO87" s="9">
        <v>0.976667</v>
      </c>
      <c r="AP87" s="9" t="s">
        <v>85</v>
      </c>
      <c r="AQ87" s="9" t="s">
        <v>85</v>
      </c>
      <c r="AR87" s="30">
        <v>0.976667</v>
      </c>
      <c r="AS87" s="9" t="s">
        <v>85</v>
      </c>
      <c r="AT87" s="9" t="s">
        <v>85</v>
      </c>
      <c r="AU87" s="9" t="s">
        <v>85</v>
      </c>
      <c r="AV87" s="9" t="s">
        <v>85</v>
      </c>
      <c r="AW87" s="9" t="s">
        <v>85</v>
      </c>
      <c r="AX87" s="9" t="s">
        <v>85</v>
      </c>
      <c r="AY87" s="9" t="s">
        <v>85</v>
      </c>
      <c r="AZ87" s="9" t="s">
        <v>85</v>
      </c>
      <c r="BA87" s="9" t="s">
        <v>85</v>
      </c>
      <c r="BB87" s="9" t="s">
        <v>85</v>
      </c>
      <c r="BC87" s="9" t="s">
        <v>85</v>
      </c>
      <c r="BD87" s="9" t="s">
        <v>85</v>
      </c>
      <c r="BE87" s="9" t="s">
        <v>85</v>
      </c>
      <c r="BF87" s="10" t="s">
        <v>85</v>
      </c>
      <c r="BG87" s="10" t="s">
        <v>85</v>
      </c>
      <c r="BH87" s="9" t="s">
        <v>85</v>
      </c>
      <c r="BI87" s="6"/>
      <c r="BJ87" s="6" t="str">
        <f t="shared" si="1"/>
        <v>12Bo_Fold_Median</v>
      </c>
      <c r="BK87" s="6" t="str">
        <f t="shared" si="2"/>
        <v>12Bo_Fold_Median</v>
      </c>
      <c r="BL87" s="6" t="str">
        <f t="shared" si="3"/>
        <v>5Bo_Fold_Median</v>
      </c>
      <c r="BM87" s="6"/>
      <c r="BN87" s="6">
        <f t="shared" si="4"/>
        <v>12</v>
      </c>
      <c r="BO87" s="6"/>
      <c r="BP87" s="6"/>
      <c r="BQ87" s="6"/>
      <c r="BR87" s="6"/>
      <c r="BS87" s="6"/>
      <c r="BT87" s="6"/>
      <c r="BU87" s="6"/>
      <c r="BV87" s="6"/>
      <c r="BW87" s="6"/>
      <c r="BX87" s="6"/>
    </row>
    <row r="88" ht="15.75" customHeight="1">
      <c r="A88" s="1" t="s">
        <v>182</v>
      </c>
      <c r="B88" s="17">
        <v>277.0</v>
      </c>
      <c r="C88" s="17">
        <v>2.0</v>
      </c>
      <c r="D88" s="9" t="s">
        <v>85</v>
      </c>
      <c r="E88" s="9">
        <v>0.526316</v>
      </c>
      <c r="F88" s="9" t="s">
        <v>85</v>
      </c>
      <c r="G88" s="9" t="s">
        <v>85</v>
      </c>
      <c r="H88" s="30">
        <v>0.649122834</v>
      </c>
      <c r="I88" s="9" t="s">
        <v>85</v>
      </c>
      <c r="J88" s="9" t="s">
        <v>85</v>
      </c>
      <c r="K88" s="9" t="s">
        <v>85</v>
      </c>
      <c r="L88" s="9" t="s">
        <v>85</v>
      </c>
      <c r="M88" s="9" t="s">
        <v>85</v>
      </c>
      <c r="N88" s="9" t="s">
        <v>85</v>
      </c>
      <c r="O88" s="9" t="s">
        <v>85</v>
      </c>
      <c r="P88" s="9" t="s">
        <v>85</v>
      </c>
      <c r="Q88" s="9">
        <v>0.596491</v>
      </c>
      <c r="R88" s="9" t="s">
        <v>85</v>
      </c>
      <c r="S88" s="9" t="s">
        <v>85</v>
      </c>
      <c r="T88" s="9">
        <v>0.54386</v>
      </c>
      <c r="U88" s="9" t="s">
        <v>85</v>
      </c>
      <c r="V88" s="9" t="s">
        <v>85</v>
      </c>
      <c r="W88" s="9" t="s">
        <v>85</v>
      </c>
      <c r="X88" s="9" t="s">
        <v>85</v>
      </c>
      <c r="Y88" s="9" t="s">
        <v>85</v>
      </c>
      <c r="Z88" s="9" t="s">
        <v>85</v>
      </c>
      <c r="AA88" s="9" t="s">
        <v>85</v>
      </c>
      <c r="AB88" s="9" t="s">
        <v>85</v>
      </c>
      <c r="AC88" s="30">
        <v>0.526316</v>
      </c>
      <c r="AD88" s="9" t="s">
        <v>85</v>
      </c>
      <c r="AE88" s="9" t="s">
        <v>85</v>
      </c>
      <c r="AF88" s="30">
        <v>0.640351</v>
      </c>
      <c r="AG88" s="9" t="s">
        <v>85</v>
      </c>
      <c r="AH88" s="9" t="s">
        <v>85</v>
      </c>
      <c r="AI88" s="9" t="s">
        <v>85</v>
      </c>
      <c r="AJ88" s="9" t="s">
        <v>85</v>
      </c>
      <c r="AK88" s="9" t="s">
        <v>85</v>
      </c>
      <c r="AL88" s="9" t="s">
        <v>85</v>
      </c>
      <c r="AM88" s="9" t="s">
        <v>85</v>
      </c>
      <c r="AN88" s="9" t="s">
        <v>85</v>
      </c>
      <c r="AO88" s="9">
        <v>0.548246</v>
      </c>
      <c r="AP88" s="9" t="s">
        <v>85</v>
      </c>
      <c r="AQ88" s="9" t="s">
        <v>85</v>
      </c>
      <c r="AR88" s="30">
        <v>0.618421</v>
      </c>
      <c r="AS88" s="9" t="s">
        <v>85</v>
      </c>
      <c r="AT88" s="9" t="s">
        <v>85</v>
      </c>
      <c r="AU88" s="9" t="s">
        <v>85</v>
      </c>
      <c r="AV88" s="9" t="s">
        <v>85</v>
      </c>
      <c r="AW88" s="9" t="s">
        <v>85</v>
      </c>
      <c r="AX88" s="9" t="s">
        <v>85</v>
      </c>
      <c r="AY88" s="9" t="s">
        <v>85</v>
      </c>
      <c r="AZ88" s="9" t="s">
        <v>85</v>
      </c>
      <c r="BA88" s="9" t="s">
        <v>85</v>
      </c>
      <c r="BB88" s="9" t="s">
        <v>85</v>
      </c>
      <c r="BC88" s="9" t="s">
        <v>85</v>
      </c>
      <c r="BD88" s="9" t="s">
        <v>85</v>
      </c>
      <c r="BE88" s="9" t="s">
        <v>85</v>
      </c>
      <c r="BF88" s="10" t="s">
        <v>85</v>
      </c>
      <c r="BG88" s="10" t="s">
        <v>85</v>
      </c>
      <c r="BH88" s="9" t="s">
        <v>85</v>
      </c>
      <c r="BI88" s="6"/>
      <c r="BJ88" s="6" t="str">
        <f t="shared" si="1"/>
        <v>5BoN_Fold_Median</v>
      </c>
      <c r="BK88" s="6" t="str">
        <f t="shared" si="2"/>
        <v>10BoN_Fold_Median</v>
      </c>
      <c r="BL88" s="6" t="str">
        <f t="shared" si="3"/>
        <v>12BoN_Fold_Median</v>
      </c>
      <c r="BM88" s="6"/>
      <c r="BN88" s="6">
        <f t="shared" si="4"/>
        <v>5</v>
      </c>
      <c r="BO88" s="6"/>
      <c r="BP88" s="6"/>
      <c r="BQ88" s="6"/>
      <c r="BR88" s="6"/>
      <c r="BS88" s="6"/>
      <c r="BT88" s="6"/>
      <c r="BU88" s="6"/>
      <c r="BV88" s="6"/>
      <c r="BW88" s="6"/>
      <c r="BX88" s="6"/>
    </row>
    <row r="89" ht="15.75" customHeight="1">
      <c r="A89" s="1" t="s">
        <v>183</v>
      </c>
      <c r="B89" s="17">
        <v>343.0</v>
      </c>
      <c r="C89" s="17">
        <v>2.0</v>
      </c>
      <c r="D89" s="9" t="s">
        <v>85</v>
      </c>
      <c r="E89" s="9">
        <v>0.830769</v>
      </c>
      <c r="F89" s="9" t="s">
        <v>85</v>
      </c>
      <c r="G89" s="9" t="s">
        <v>85</v>
      </c>
      <c r="H89" s="30">
        <v>0.784615397</v>
      </c>
      <c r="I89" s="9" t="s">
        <v>85</v>
      </c>
      <c r="J89" s="9" t="s">
        <v>85</v>
      </c>
      <c r="K89" s="9" t="s">
        <v>85</v>
      </c>
      <c r="L89" s="9" t="s">
        <v>85</v>
      </c>
      <c r="M89" s="9" t="s">
        <v>85</v>
      </c>
      <c r="N89" s="9" t="s">
        <v>85</v>
      </c>
      <c r="O89" s="9" t="s">
        <v>85</v>
      </c>
      <c r="P89" s="9" t="s">
        <v>85</v>
      </c>
      <c r="Q89" s="9">
        <v>0.8</v>
      </c>
      <c r="R89" s="9" t="s">
        <v>85</v>
      </c>
      <c r="S89" s="9" t="s">
        <v>85</v>
      </c>
      <c r="T89" s="9">
        <v>0.730769</v>
      </c>
      <c r="U89" s="9" t="s">
        <v>85</v>
      </c>
      <c r="V89" s="9" t="s">
        <v>85</v>
      </c>
      <c r="W89" s="9" t="s">
        <v>85</v>
      </c>
      <c r="X89" s="9" t="s">
        <v>85</v>
      </c>
      <c r="Y89" s="9" t="s">
        <v>85</v>
      </c>
      <c r="Z89" s="9" t="s">
        <v>85</v>
      </c>
      <c r="AA89" s="9" t="s">
        <v>85</v>
      </c>
      <c r="AB89" s="9" t="s">
        <v>85</v>
      </c>
      <c r="AC89" s="30">
        <v>0.769231</v>
      </c>
      <c r="AD89" s="9" t="s">
        <v>85</v>
      </c>
      <c r="AE89" s="9" t="s">
        <v>85</v>
      </c>
      <c r="AF89" s="30">
        <v>0.8</v>
      </c>
      <c r="AG89" s="9" t="s">
        <v>85</v>
      </c>
      <c r="AH89" s="9" t="s">
        <v>85</v>
      </c>
      <c r="AI89" s="9" t="s">
        <v>85</v>
      </c>
      <c r="AJ89" s="9" t="s">
        <v>85</v>
      </c>
      <c r="AK89" s="9" t="s">
        <v>85</v>
      </c>
      <c r="AL89" s="9" t="s">
        <v>85</v>
      </c>
      <c r="AM89" s="9" t="s">
        <v>85</v>
      </c>
      <c r="AN89" s="9" t="s">
        <v>85</v>
      </c>
      <c r="AO89" s="9">
        <v>0.815385</v>
      </c>
      <c r="AP89" s="9" t="s">
        <v>85</v>
      </c>
      <c r="AQ89" s="9" t="s">
        <v>85</v>
      </c>
      <c r="AR89" s="30">
        <v>0.776923</v>
      </c>
      <c r="AS89" s="9" t="s">
        <v>85</v>
      </c>
      <c r="AT89" s="9" t="s">
        <v>85</v>
      </c>
      <c r="AU89" s="9" t="s">
        <v>85</v>
      </c>
      <c r="AV89" s="9" t="s">
        <v>85</v>
      </c>
      <c r="AW89" s="9" t="s">
        <v>85</v>
      </c>
      <c r="AX89" s="9" t="s">
        <v>85</v>
      </c>
      <c r="AY89" s="9" t="s">
        <v>85</v>
      </c>
      <c r="AZ89" s="9" t="s">
        <v>85</v>
      </c>
      <c r="BA89" s="9" t="s">
        <v>85</v>
      </c>
      <c r="BB89" s="9" t="s">
        <v>85</v>
      </c>
      <c r="BC89" s="9" t="s">
        <v>85</v>
      </c>
      <c r="BD89" s="9" t="s">
        <v>85</v>
      </c>
      <c r="BE89" s="9" t="s">
        <v>85</v>
      </c>
      <c r="BF89" s="10" t="s">
        <v>85</v>
      </c>
      <c r="BG89" s="10" t="s">
        <v>85</v>
      </c>
      <c r="BH89" s="9" t="s">
        <v>85</v>
      </c>
      <c r="BI89" s="6"/>
      <c r="BJ89" s="6" t="str">
        <f t="shared" si="1"/>
        <v>5Bo_Fold_Median</v>
      </c>
      <c r="BK89" s="6" t="str">
        <f t="shared" si="2"/>
        <v>12Bo_Fold_Median</v>
      </c>
      <c r="BL89" s="6" t="str">
        <f t="shared" si="3"/>
        <v>8Bo_Fold_Median</v>
      </c>
      <c r="BM89" s="6"/>
      <c r="BN89" s="6">
        <f t="shared" si="4"/>
        <v>5</v>
      </c>
      <c r="BO89" s="6"/>
      <c r="BP89" s="6"/>
      <c r="BQ89" s="6"/>
      <c r="BR89" s="6"/>
      <c r="BS89" s="6"/>
      <c r="BT89" s="6"/>
      <c r="BU89" s="6"/>
      <c r="BV89" s="6"/>
      <c r="BW89" s="6"/>
      <c r="BX89" s="6"/>
    </row>
    <row r="90" ht="15.75" customHeight="1">
      <c r="A90" s="1" t="s">
        <v>184</v>
      </c>
      <c r="B90" s="17">
        <v>275.0</v>
      </c>
      <c r="C90" s="17">
        <v>4.0</v>
      </c>
      <c r="D90" s="9" t="s">
        <v>85</v>
      </c>
      <c r="E90" s="9">
        <v>1.0</v>
      </c>
      <c r="F90" s="9" t="s">
        <v>85</v>
      </c>
      <c r="G90" s="9" t="s">
        <v>85</v>
      </c>
      <c r="H90" s="30">
        <v>0.819999993</v>
      </c>
      <c r="I90" s="9" t="s">
        <v>85</v>
      </c>
      <c r="J90" s="9" t="s">
        <v>85</v>
      </c>
      <c r="K90" s="9" t="s">
        <v>85</v>
      </c>
      <c r="L90" s="9" t="s">
        <v>85</v>
      </c>
      <c r="M90" s="9" t="s">
        <v>85</v>
      </c>
      <c r="N90" s="9" t="s">
        <v>85</v>
      </c>
      <c r="O90" s="9" t="s">
        <v>85</v>
      </c>
      <c r="P90" s="9" t="s">
        <v>85</v>
      </c>
      <c r="Q90" s="9">
        <v>1.0</v>
      </c>
      <c r="R90" s="9" t="s">
        <v>85</v>
      </c>
      <c r="S90" s="9" t="s">
        <v>85</v>
      </c>
      <c r="T90" s="9">
        <v>1.0</v>
      </c>
      <c r="U90" s="9" t="s">
        <v>85</v>
      </c>
      <c r="V90" s="9" t="s">
        <v>85</v>
      </c>
      <c r="W90" s="9" t="s">
        <v>85</v>
      </c>
      <c r="X90" s="9" t="s">
        <v>85</v>
      </c>
      <c r="Y90" s="9" t="s">
        <v>85</v>
      </c>
      <c r="Z90" s="9" t="s">
        <v>85</v>
      </c>
      <c r="AA90" s="9" t="s">
        <v>85</v>
      </c>
      <c r="AB90" s="9" t="s">
        <v>85</v>
      </c>
      <c r="AC90" s="30">
        <v>1.0</v>
      </c>
      <c r="AD90" s="9" t="s">
        <v>85</v>
      </c>
      <c r="AE90" s="9" t="s">
        <v>85</v>
      </c>
      <c r="AF90" s="30">
        <v>1.0</v>
      </c>
      <c r="AG90" s="9" t="s">
        <v>85</v>
      </c>
      <c r="AH90" s="9" t="s">
        <v>85</v>
      </c>
      <c r="AI90" s="9" t="s">
        <v>85</v>
      </c>
      <c r="AJ90" s="9" t="s">
        <v>85</v>
      </c>
      <c r="AK90" s="9" t="s">
        <v>85</v>
      </c>
      <c r="AL90" s="9" t="s">
        <v>85</v>
      </c>
      <c r="AM90" s="9" t="s">
        <v>85</v>
      </c>
      <c r="AN90" s="9" t="s">
        <v>85</v>
      </c>
      <c r="AO90" s="9">
        <v>1.0</v>
      </c>
      <c r="AP90" s="9" t="s">
        <v>85</v>
      </c>
      <c r="AQ90" s="9" t="s">
        <v>85</v>
      </c>
      <c r="AR90" s="30">
        <v>1.0</v>
      </c>
      <c r="AS90" s="9" t="s">
        <v>85</v>
      </c>
      <c r="AT90" s="9" t="s">
        <v>85</v>
      </c>
      <c r="AU90" s="9" t="s">
        <v>85</v>
      </c>
      <c r="AV90" s="9" t="s">
        <v>85</v>
      </c>
      <c r="AW90" s="9" t="s">
        <v>85</v>
      </c>
      <c r="AX90" s="9" t="s">
        <v>85</v>
      </c>
      <c r="AY90" s="9" t="s">
        <v>85</v>
      </c>
      <c r="AZ90" s="9" t="s">
        <v>85</v>
      </c>
      <c r="BA90" s="9" t="s">
        <v>85</v>
      </c>
      <c r="BB90" s="9" t="s">
        <v>85</v>
      </c>
      <c r="BC90" s="9" t="s">
        <v>85</v>
      </c>
      <c r="BD90" s="9" t="s">
        <v>85</v>
      </c>
      <c r="BE90" s="9" t="s">
        <v>85</v>
      </c>
      <c r="BF90" s="10" t="s">
        <v>85</v>
      </c>
      <c r="BG90" s="10" t="s">
        <v>85</v>
      </c>
      <c r="BH90" s="9" t="s">
        <v>85</v>
      </c>
      <c r="BI90" s="6"/>
      <c r="BJ90" s="6" t="str">
        <f t="shared" si="1"/>
        <v>5Bo_Fold_Median</v>
      </c>
      <c r="BK90" s="6" t="str">
        <f t="shared" si="2"/>
        <v>5Bo_Fold_Median</v>
      </c>
      <c r="BL90" s="6" t="str">
        <f t="shared" si="3"/>
        <v>5Bo_Fold_Median</v>
      </c>
      <c r="BM90" s="6"/>
      <c r="BN90" s="6">
        <f t="shared" si="4"/>
        <v>5</v>
      </c>
      <c r="BO90" s="6"/>
      <c r="BP90" s="6"/>
      <c r="BQ90" s="6"/>
      <c r="BR90" s="6"/>
      <c r="BS90" s="6"/>
      <c r="BT90" s="6"/>
      <c r="BU90" s="6"/>
      <c r="BV90" s="6"/>
      <c r="BW90" s="6"/>
      <c r="BX90" s="6"/>
    </row>
    <row r="91" ht="15.75" customHeight="1">
      <c r="A91" s="1" t="s">
        <v>185</v>
      </c>
      <c r="B91" s="17">
        <v>82.0</v>
      </c>
      <c r="C91" s="17">
        <v>2.0</v>
      </c>
      <c r="D91" s="9" t="s">
        <v>85</v>
      </c>
      <c r="E91" s="9">
        <v>0.693591</v>
      </c>
      <c r="F91" s="9" t="s">
        <v>85</v>
      </c>
      <c r="G91" s="9" t="s">
        <v>85</v>
      </c>
      <c r="H91" s="30">
        <v>0.755926251</v>
      </c>
      <c r="I91" s="9" t="s">
        <v>85</v>
      </c>
      <c r="J91" s="9" t="s">
        <v>85</v>
      </c>
      <c r="K91" s="9" t="s">
        <v>85</v>
      </c>
      <c r="L91" s="9" t="s">
        <v>85</v>
      </c>
      <c r="M91" s="9" t="s">
        <v>85</v>
      </c>
      <c r="N91" s="9" t="s">
        <v>85</v>
      </c>
      <c r="O91" s="9" t="s">
        <v>85</v>
      </c>
      <c r="P91" s="9" t="s">
        <v>85</v>
      </c>
      <c r="Q91" s="9">
        <v>0.673398</v>
      </c>
      <c r="R91" s="9" t="s">
        <v>85</v>
      </c>
      <c r="S91" s="9" t="s">
        <v>85</v>
      </c>
      <c r="T91" s="9">
        <v>0.652327</v>
      </c>
      <c r="U91" s="9" t="s">
        <v>85</v>
      </c>
      <c r="V91" s="9" t="s">
        <v>85</v>
      </c>
      <c r="W91" s="9" t="s">
        <v>85</v>
      </c>
      <c r="X91" s="9" t="s">
        <v>85</v>
      </c>
      <c r="Y91" s="9" t="s">
        <v>85</v>
      </c>
      <c r="Z91" s="9" t="s">
        <v>85</v>
      </c>
      <c r="AA91" s="9" t="s">
        <v>85</v>
      </c>
      <c r="AB91" s="9" t="s">
        <v>85</v>
      </c>
      <c r="AC91" s="30">
        <v>0.727831</v>
      </c>
      <c r="AD91" s="9" t="s">
        <v>85</v>
      </c>
      <c r="AE91" s="9" t="s">
        <v>85</v>
      </c>
      <c r="AF91" s="30">
        <v>0.713784</v>
      </c>
      <c r="AG91" s="9" t="s">
        <v>85</v>
      </c>
      <c r="AH91" s="9" t="s">
        <v>85</v>
      </c>
      <c r="AI91" s="9" t="s">
        <v>85</v>
      </c>
      <c r="AJ91" s="9" t="s">
        <v>85</v>
      </c>
      <c r="AK91" s="9" t="s">
        <v>85</v>
      </c>
      <c r="AL91" s="9" t="s">
        <v>85</v>
      </c>
      <c r="AM91" s="9" t="s">
        <v>85</v>
      </c>
      <c r="AN91" s="9" t="s">
        <v>85</v>
      </c>
      <c r="AO91" s="9">
        <v>0.727831</v>
      </c>
      <c r="AP91" s="9" t="s">
        <v>85</v>
      </c>
      <c r="AQ91" s="9" t="s">
        <v>85</v>
      </c>
      <c r="AR91" s="30">
        <v>0.690957</v>
      </c>
      <c r="AS91" s="9" t="s">
        <v>85</v>
      </c>
      <c r="AT91" s="9" t="s">
        <v>85</v>
      </c>
      <c r="AU91" s="9" t="s">
        <v>85</v>
      </c>
      <c r="AV91" s="9" t="s">
        <v>85</v>
      </c>
      <c r="AW91" s="9" t="s">
        <v>85</v>
      </c>
      <c r="AX91" s="9" t="s">
        <v>85</v>
      </c>
      <c r="AY91" s="9" t="s">
        <v>85</v>
      </c>
      <c r="AZ91" s="9" t="s">
        <v>85</v>
      </c>
      <c r="BA91" s="9" t="s">
        <v>85</v>
      </c>
      <c r="BB91" s="9" t="s">
        <v>85</v>
      </c>
      <c r="BC91" s="9" t="s">
        <v>85</v>
      </c>
      <c r="BD91" s="9" t="s">
        <v>85</v>
      </c>
      <c r="BE91" s="9" t="s">
        <v>85</v>
      </c>
      <c r="BF91" s="10" t="s">
        <v>85</v>
      </c>
      <c r="BG91" s="10" t="s">
        <v>85</v>
      </c>
      <c r="BH91" s="9" t="s">
        <v>85</v>
      </c>
      <c r="BI91" s="6"/>
      <c r="BJ91" s="6" t="str">
        <f t="shared" si="1"/>
        <v>5BoN_Fold_Median</v>
      </c>
      <c r="BK91" s="6" t="str">
        <f t="shared" si="2"/>
        <v>10Bo_Fold_Median</v>
      </c>
      <c r="BL91" s="6" t="str">
        <f t="shared" si="3"/>
        <v>10Bo_Fold_Median</v>
      </c>
      <c r="BM91" s="6"/>
      <c r="BN91" s="6">
        <f t="shared" si="4"/>
        <v>5</v>
      </c>
      <c r="BO91" s="6"/>
      <c r="BP91" s="6"/>
      <c r="BQ91" s="6"/>
      <c r="BR91" s="6"/>
      <c r="BS91" s="6"/>
      <c r="BT91" s="6"/>
      <c r="BU91" s="6"/>
      <c r="BV91" s="6"/>
      <c r="BW91" s="6"/>
      <c r="BX91" s="6"/>
    </row>
    <row r="92" ht="15.75" customHeight="1">
      <c r="A92" s="1" t="s">
        <v>186</v>
      </c>
      <c r="B92" s="17">
        <v>128.0</v>
      </c>
      <c r="C92" s="17">
        <v>4.0</v>
      </c>
      <c r="D92" s="9" t="s">
        <v>85</v>
      </c>
      <c r="E92" s="9">
        <v>0.5255</v>
      </c>
      <c r="F92" s="9" t="s">
        <v>85</v>
      </c>
      <c r="G92" s="9" t="s">
        <v>85</v>
      </c>
      <c r="H92" s="30">
        <v>0.472250015</v>
      </c>
      <c r="I92" s="9" t="s">
        <v>85</v>
      </c>
      <c r="J92" s="9" t="s">
        <v>85</v>
      </c>
      <c r="K92" s="9" t="s">
        <v>85</v>
      </c>
      <c r="L92" s="9" t="s">
        <v>85</v>
      </c>
      <c r="M92" s="9" t="s">
        <v>85</v>
      </c>
      <c r="N92" s="9" t="s">
        <v>85</v>
      </c>
      <c r="O92" s="9" t="s">
        <v>85</v>
      </c>
      <c r="P92" s="9" t="s">
        <v>85</v>
      </c>
      <c r="Q92" s="9">
        <v>0.46825</v>
      </c>
      <c r="R92" s="9" t="s">
        <v>85</v>
      </c>
      <c r="S92" s="9" t="s">
        <v>85</v>
      </c>
      <c r="T92" s="9">
        <v>0.46875</v>
      </c>
      <c r="U92" s="9" t="s">
        <v>85</v>
      </c>
      <c r="V92" s="9" t="s">
        <v>85</v>
      </c>
      <c r="W92" s="9" t="s">
        <v>85</v>
      </c>
      <c r="X92" s="9" t="s">
        <v>85</v>
      </c>
      <c r="Y92" s="9" t="s">
        <v>85</v>
      </c>
      <c r="Z92" s="9" t="s">
        <v>85</v>
      </c>
      <c r="AA92" s="9" t="s">
        <v>85</v>
      </c>
      <c r="AB92" s="9" t="s">
        <v>85</v>
      </c>
      <c r="AC92" s="30">
        <v>0.4815</v>
      </c>
      <c r="AD92" s="9" t="s">
        <v>85</v>
      </c>
      <c r="AE92" s="9" t="s">
        <v>85</v>
      </c>
      <c r="AF92" s="30">
        <v>0.49775</v>
      </c>
      <c r="AG92" s="9" t="s">
        <v>85</v>
      </c>
      <c r="AH92" s="9" t="s">
        <v>85</v>
      </c>
      <c r="AI92" s="9" t="s">
        <v>85</v>
      </c>
      <c r="AJ92" s="9" t="s">
        <v>85</v>
      </c>
      <c r="AK92" s="9" t="s">
        <v>85</v>
      </c>
      <c r="AL92" s="9" t="s">
        <v>85</v>
      </c>
      <c r="AM92" s="9" t="s">
        <v>85</v>
      </c>
      <c r="AN92" s="9" t="s">
        <v>85</v>
      </c>
      <c r="AO92" s="9">
        <v>0.39425</v>
      </c>
      <c r="AP92" s="9" t="s">
        <v>85</v>
      </c>
      <c r="AQ92" s="9" t="s">
        <v>85</v>
      </c>
      <c r="AR92" s="30">
        <v>0.4975</v>
      </c>
      <c r="AS92" s="9" t="s">
        <v>85</v>
      </c>
      <c r="AT92" s="9" t="s">
        <v>85</v>
      </c>
      <c r="AU92" s="9" t="s">
        <v>85</v>
      </c>
      <c r="AV92" s="9" t="s">
        <v>85</v>
      </c>
      <c r="AW92" s="9" t="s">
        <v>85</v>
      </c>
      <c r="AX92" s="9" t="s">
        <v>85</v>
      </c>
      <c r="AY92" s="9" t="s">
        <v>85</v>
      </c>
      <c r="AZ92" s="9" t="s">
        <v>85</v>
      </c>
      <c r="BA92" s="9" t="s">
        <v>85</v>
      </c>
      <c r="BB92" s="9" t="s">
        <v>85</v>
      </c>
      <c r="BC92" s="9" t="s">
        <v>85</v>
      </c>
      <c r="BD92" s="9" t="s">
        <v>85</v>
      </c>
      <c r="BE92" s="9" t="s">
        <v>85</v>
      </c>
      <c r="BF92" s="10" t="s">
        <v>85</v>
      </c>
      <c r="BG92" s="10" t="s">
        <v>85</v>
      </c>
      <c r="BH92" s="9" t="s">
        <v>85</v>
      </c>
      <c r="BI92" s="6"/>
      <c r="BJ92" s="6" t="str">
        <f t="shared" si="1"/>
        <v>5Bo_Fold_Median</v>
      </c>
      <c r="BK92" s="6" t="str">
        <f t="shared" si="2"/>
        <v>10BoN_Fold_Median</v>
      </c>
      <c r="BL92" s="6" t="str">
        <f t="shared" si="3"/>
        <v>12BoN_Fold_Median</v>
      </c>
      <c r="BM92" s="6"/>
      <c r="BN92" s="6">
        <f t="shared" si="4"/>
        <v>5</v>
      </c>
      <c r="BO92" s="6"/>
      <c r="BP92" s="6"/>
      <c r="BQ92" s="6"/>
      <c r="BR92" s="6"/>
      <c r="BS92" s="6"/>
      <c r="BT92" s="6"/>
      <c r="BU92" s="6"/>
      <c r="BV92" s="6"/>
      <c r="BW92" s="6"/>
      <c r="BX92" s="6"/>
    </row>
    <row r="93" ht="15.75" customHeight="1">
      <c r="A93" s="1" t="s">
        <v>187</v>
      </c>
      <c r="B93" s="17">
        <v>150.0</v>
      </c>
      <c r="C93" s="17">
        <v>3.0</v>
      </c>
      <c r="D93" s="9" t="s">
        <v>85</v>
      </c>
      <c r="E93" s="9">
        <v>0.854167</v>
      </c>
      <c r="F93" s="9" t="s">
        <v>85</v>
      </c>
      <c r="G93" s="9" t="s">
        <v>85</v>
      </c>
      <c r="H93" s="30">
        <v>0.819444418</v>
      </c>
      <c r="I93" s="9" t="s">
        <v>85</v>
      </c>
      <c r="J93" s="9" t="s">
        <v>85</v>
      </c>
      <c r="K93" s="9" t="s">
        <v>85</v>
      </c>
      <c r="L93" s="9" t="s">
        <v>85</v>
      </c>
      <c r="M93" s="9" t="s">
        <v>85</v>
      </c>
      <c r="N93" s="9" t="s">
        <v>85</v>
      </c>
      <c r="O93" s="9" t="s">
        <v>85</v>
      </c>
      <c r="P93" s="9" t="s">
        <v>85</v>
      </c>
      <c r="Q93" s="9">
        <v>0.881944</v>
      </c>
      <c r="R93" s="9" t="s">
        <v>85</v>
      </c>
      <c r="S93" s="9" t="s">
        <v>85</v>
      </c>
      <c r="T93" s="9">
        <v>0.861111</v>
      </c>
      <c r="U93" s="9" t="s">
        <v>85</v>
      </c>
      <c r="V93" s="9" t="s">
        <v>85</v>
      </c>
      <c r="W93" s="9" t="s">
        <v>85</v>
      </c>
      <c r="X93" s="9" t="s">
        <v>85</v>
      </c>
      <c r="Y93" s="9" t="s">
        <v>85</v>
      </c>
      <c r="Z93" s="9" t="s">
        <v>85</v>
      </c>
      <c r="AA93" s="9" t="s">
        <v>85</v>
      </c>
      <c r="AB93" s="9" t="s">
        <v>85</v>
      </c>
      <c r="AC93" s="30">
        <v>0.881944</v>
      </c>
      <c r="AD93" s="9" t="s">
        <v>85</v>
      </c>
      <c r="AE93" s="9" t="s">
        <v>85</v>
      </c>
      <c r="AF93" s="30">
        <v>0.854167</v>
      </c>
      <c r="AG93" s="9" t="s">
        <v>85</v>
      </c>
      <c r="AH93" s="9" t="s">
        <v>85</v>
      </c>
      <c r="AI93" s="9" t="s">
        <v>85</v>
      </c>
      <c r="AJ93" s="9" t="s">
        <v>85</v>
      </c>
      <c r="AK93" s="9" t="s">
        <v>85</v>
      </c>
      <c r="AL93" s="9" t="s">
        <v>85</v>
      </c>
      <c r="AM93" s="9" t="s">
        <v>85</v>
      </c>
      <c r="AN93" s="9" t="s">
        <v>85</v>
      </c>
      <c r="AO93" s="9">
        <v>0.854167</v>
      </c>
      <c r="AP93" s="9" t="s">
        <v>85</v>
      </c>
      <c r="AQ93" s="9" t="s">
        <v>85</v>
      </c>
      <c r="AR93" s="30">
        <v>0.833333</v>
      </c>
      <c r="AS93" s="9" t="s">
        <v>85</v>
      </c>
      <c r="AT93" s="9" t="s">
        <v>85</v>
      </c>
      <c r="AU93" s="9" t="s">
        <v>85</v>
      </c>
      <c r="AV93" s="9" t="s">
        <v>85</v>
      </c>
      <c r="AW93" s="9" t="s">
        <v>85</v>
      </c>
      <c r="AX93" s="9" t="s">
        <v>85</v>
      </c>
      <c r="AY93" s="9" t="s">
        <v>85</v>
      </c>
      <c r="AZ93" s="9" t="s">
        <v>85</v>
      </c>
      <c r="BA93" s="9" t="s">
        <v>85</v>
      </c>
      <c r="BB93" s="9" t="s">
        <v>85</v>
      </c>
      <c r="BC93" s="9" t="s">
        <v>85</v>
      </c>
      <c r="BD93" s="9" t="s">
        <v>85</v>
      </c>
      <c r="BE93" s="9" t="s">
        <v>85</v>
      </c>
      <c r="BF93" s="10" t="s">
        <v>85</v>
      </c>
      <c r="BG93" s="10" t="s">
        <v>85</v>
      </c>
      <c r="BH93" s="9" t="s">
        <v>85</v>
      </c>
      <c r="BI93" s="6"/>
      <c r="BJ93" s="6" t="str">
        <f t="shared" si="1"/>
        <v>8Bo_Fold_Median</v>
      </c>
      <c r="BK93" s="6" t="str">
        <f t="shared" si="2"/>
        <v>8Bo_Fold_Median</v>
      </c>
      <c r="BL93" s="6" t="str">
        <f t="shared" si="3"/>
        <v>8BoN_Fold_Median</v>
      </c>
      <c r="BM93" s="6"/>
      <c r="BN93" s="6">
        <f t="shared" si="4"/>
        <v>8</v>
      </c>
      <c r="BO93" s="6"/>
      <c r="BP93" s="6"/>
      <c r="BQ93" s="6"/>
      <c r="BR93" s="6"/>
      <c r="BS93" s="6"/>
      <c r="BT93" s="6"/>
      <c r="BU93" s="6"/>
      <c r="BV93" s="6"/>
      <c r="BW93" s="6"/>
      <c r="BX93" s="6"/>
    </row>
    <row r="94" ht="15.75" customHeight="1">
      <c r="A94" s="1" t="s">
        <v>188</v>
      </c>
      <c r="B94" s="17">
        <v>945.0</v>
      </c>
      <c r="C94" s="17">
        <v>8.0</v>
      </c>
      <c r="D94" s="9" t="s">
        <v>85</v>
      </c>
      <c r="E94" s="9">
        <v>0.765773</v>
      </c>
      <c r="F94" s="9" t="s">
        <v>85</v>
      </c>
      <c r="G94" s="9" t="s">
        <v>85</v>
      </c>
      <c r="H94" s="30">
        <v>0.746231139</v>
      </c>
      <c r="I94" s="9" t="s">
        <v>85</v>
      </c>
      <c r="J94" s="9" t="s">
        <v>85</v>
      </c>
      <c r="K94" s="9" t="s">
        <v>85</v>
      </c>
      <c r="L94" s="9" t="s">
        <v>85</v>
      </c>
      <c r="M94" s="9" t="s">
        <v>85</v>
      </c>
      <c r="N94" s="9" t="s">
        <v>85</v>
      </c>
      <c r="O94" s="9" t="s">
        <v>85</v>
      </c>
      <c r="P94" s="9" t="s">
        <v>85</v>
      </c>
      <c r="Q94" s="9">
        <v>0.855388</v>
      </c>
      <c r="R94" s="9" t="s">
        <v>85</v>
      </c>
      <c r="S94" s="9" t="s">
        <v>85</v>
      </c>
      <c r="T94" s="9">
        <v>0.840592</v>
      </c>
      <c r="U94" s="9" t="s">
        <v>85</v>
      </c>
      <c r="V94" s="9" t="s">
        <v>85</v>
      </c>
      <c r="W94" s="9" t="s">
        <v>85</v>
      </c>
      <c r="X94" s="9" t="s">
        <v>85</v>
      </c>
      <c r="Y94" s="9" t="s">
        <v>85</v>
      </c>
      <c r="Z94" s="9" t="s">
        <v>85</v>
      </c>
      <c r="AA94" s="9" t="s">
        <v>85</v>
      </c>
      <c r="AB94" s="9" t="s">
        <v>85</v>
      </c>
      <c r="AC94" s="30">
        <v>0.896706</v>
      </c>
      <c r="AD94" s="9" t="s">
        <v>85</v>
      </c>
      <c r="AE94" s="9" t="s">
        <v>85</v>
      </c>
      <c r="AF94" s="30">
        <v>0.890564</v>
      </c>
      <c r="AG94" s="9" t="s">
        <v>85</v>
      </c>
      <c r="AH94" s="9" t="s">
        <v>85</v>
      </c>
      <c r="AI94" s="9" t="s">
        <v>85</v>
      </c>
      <c r="AJ94" s="9" t="s">
        <v>85</v>
      </c>
      <c r="AK94" s="9" t="s">
        <v>85</v>
      </c>
      <c r="AL94" s="9" t="s">
        <v>85</v>
      </c>
      <c r="AM94" s="9" t="s">
        <v>85</v>
      </c>
      <c r="AN94" s="9" t="s">
        <v>85</v>
      </c>
      <c r="AO94" s="9">
        <v>0.887214</v>
      </c>
      <c r="AP94" s="9" t="s">
        <v>85</v>
      </c>
      <c r="AQ94" s="9" t="s">
        <v>85</v>
      </c>
      <c r="AR94" s="30">
        <v>0.886097</v>
      </c>
      <c r="AS94" s="9" t="s">
        <v>85</v>
      </c>
      <c r="AT94" s="9" t="s">
        <v>85</v>
      </c>
      <c r="AU94" s="9" t="s">
        <v>85</v>
      </c>
      <c r="AV94" s="9" t="s">
        <v>85</v>
      </c>
      <c r="AW94" s="9" t="s">
        <v>85</v>
      </c>
      <c r="AX94" s="9" t="s">
        <v>85</v>
      </c>
      <c r="AY94" s="9" t="s">
        <v>85</v>
      </c>
      <c r="AZ94" s="9" t="s">
        <v>85</v>
      </c>
      <c r="BA94" s="9" t="s">
        <v>85</v>
      </c>
      <c r="BB94" s="9" t="s">
        <v>85</v>
      </c>
      <c r="BC94" s="9" t="s">
        <v>85</v>
      </c>
      <c r="BD94" s="9" t="s">
        <v>85</v>
      </c>
      <c r="BE94" s="9" t="s">
        <v>85</v>
      </c>
      <c r="BF94" s="10" t="s">
        <v>85</v>
      </c>
      <c r="BG94" s="10" t="s">
        <v>85</v>
      </c>
      <c r="BH94" s="9" t="s">
        <v>85</v>
      </c>
      <c r="BI94" s="6"/>
      <c r="BJ94" s="6" t="str">
        <f t="shared" si="1"/>
        <v>10Bo_Fold_Median</v>
      </c>
      <c r="BK94" s="6" t="str">
        <f t="shared" si="2"/>
        <v>10BoN_Fold_Median</v>
      </c>
      <c r="BL94" s="6" t="str">
        <f t="shared" si="3"/>
        <v>12Bo_Fold_Median</v>
      </c>
      <c r="BM94" s="6"/>
      <c r="BN94" s="6">
        <f t="shared" si="4"/>
        <v>10</v>
      </c>
      <c r="BO94" s="6"/>
      <c r="BP94" s="6"/>
      <c r="BQ94" s="6"/>
      <c r="BR94" s="6"/>
      <c r="BS94" s="6"/>
      <c r="BT94" s="6"/>
      <c r="BU94" s="6"/>
      <c r="BV94" s="6"/>
      <c r="BW94" s="6"/>
      <c r="BX94" s="6"/>
    </row>
    <row r="95" ht="15.75" customHeight="1">
      <c r="A95" s="1" t="s">
        <v>189</v>
      </c>
      <c r="B95" s="17">
        <v>152.0</v>
      </c>
      <c r="C95" s="17">
        <v>2.0</v>
      </c>
      <c r="D95" s="9" t="s">
        <v>85</v>
      </c>
      <c r="E95" s="9">
        <v>0.892116</v>
      </c>
      <c r="F95" s="9" t="s">
        <v>85</v>
      </c>
      <c r="G95" s="9" t="s">
        <v>85</v>
      </c>
      <c r="H95" s="30">
        <v>0.892115533</v>
      </c>
      <c r="I95" s="9" t="s">
        <v>85</v>
      </c>
      <c r="J95" s="9" t="s">
        <v>85</v>
      </c>
      <c r="K95" s="9" t="s">
        <v>85</v>
      </c>
      <c r="L95" s="9" t="s">
        <v>85</v>
      </c>
      <c r="M95" s="9" t="s">
        <v>85</v>
      </c>
      <c r="N95" s="9" t="s">
        <v>85</v>
      </c>
      <c r="O95" s="9" t="s">
        <v>85</v>
      </c>
      <c r="P95" s="9" t="s">
        <v>85</v>
      </c>
      <c r="Q95" s="9">
        <v>0.892116</v>
      </c>
      <c r="R95" s="9" t="s">
        <v>85</v>
      </c>
      <c r="S95" s="9" t="s">
        <v>85</v>
      </c>
      <c r="T95" s="9">
        <v>0.892116</v>
      </c>
      <c r="U95" s="9" t="s">
        <v>85</v>
      </c>
      <c r="V95" s="9" t="s">
        <v>85</v>
      </c>
      <c r="W95" s="9" t="s">
        <v>85</v>
      </c>
      <c r="X95" s="9" t="s">
        <v>85</v>
      </c>
      <c r="Y95" s="9" t="s">
        <v>85</v>
      </c>
      <c r="Z95" s="9" t="s">
        <v>85</v>
      </c>
      <c r="AA95" s="9" t="s">
        <v>85</v>
      </c>
      <c r="AB95" s="9" t="s">
        <v>85</v>
      </c>
      <c r="AC95" s="30">
        <v>0.892116</v>
      </c>
      <c r="AD95" s="9" t="s">
        <v>85</v>
      </c>
      <c r="AE95" s="9" t="s">
        <v>85</v>
      </c>
      <c r="AF95" s="30">
        <v>0.892116</v>
      </c>
      <c r="AG95" s="9" t="s">
        <v>85</v>
      </c>
      <c r="AH95" s="9" t="s">
        <v>85</v>
      </c>
      <c r="AI95" s="9" t="s">
        <v>85</v>
      </c>
      <c r="AJ95" s="9" t="s">
        <v>85</v>
      </c>
      <c r="AK95" s="9" t="s">
        <v>85</v>
      </c>
      <c r="AL95" s="9" t="s">
        <v>85</v>
      </c>
      <c r="AM95" s="9" t="s">
        <v>85</v>
      </c>
      <c r="AN95" s="9" t="s">
        <v>85</v>
      </c>
      <c r="AO95" s="9">
        <v>0.892116</v>
      </c>
      <c r="AP95" s="9" t="s">
        <v>85</v>
      </c>
      <c r="AQ95" s="9" t="s">
        <v>85</v>
      </c>
      <c r="AR95" s="30">
        <v>0.892116</v>
      </c>
      <c r="AS95" s="9" t="s">
        <v>85</v>
      </c>
      <c r="AT95" s="9" t="s">
        <v>85</v>
      </c>
      <c r="AU95" s="9" t="s">
        <v>85</v>
      </c>
      <c r="AV95" s="9" t="s">
        <v>85</v>
      </c>
      <c r="AW95" s="9" t="s">
        <v>85</v>
      </c>
      <c r="AX95" s="9" t="s">
        <v>85</v>
      </c>
      <c r="AY95" s="9" t="s">
        <v>85</v>
      </c>
      <c r="AZ95" s="9" t="s">
        <v>85</v>
      </c>
      <c r="BA95" s="9" t="s">
        <v>85</v>
      </c>
      <c r="BB95" s="9" t="s">
        <v>85</v>
      </c>
      <c r="BC95" s="9" t="s">
        <v>85</v>
      </c>
      <c r="BD95" s="9" t="s">
        <v>85</v>
      </c>
      <c r="BE95" s="9" t="s">
        <v>85</v>
      </c>
      <c r="BF95" s="10" t="s">
        <v>85</v>
      </c>
      <c r="BG95" s="10" t="s">
        <v>85</v>
      </c>
      <c r="BH95" s="9" t="s">
        <v>85</v>
      </c>
      <c r="BI95" s="6"/>
      <c r="BJ95" s="6" t="str">
        <f t="shared" si="1"/>
        <v>5Bo_Fold_Median</v>
      </c>
      <c r="BK95" s="6" t="str">
        <f t="shared" si="2"/>
        <v>5Bo_Fold_Median</v>
      </c>
      <c r="BL95" s="6" t="str">
        <f t="shared" si="3"/>
        <v>5Bo_Fold_Median</v>
      </c>
      <c r="BM95" s="6"/>
      <c r="BN95" s="6">
        <f t="shared" si="4"/>
        <v>5</v>
      </c>
      <c r="BO95" s="6"/>
      <c r="BP95" s="6"/>
      <c r="BQ95" s="6"/>
      <c r="BR95" s="6"/>
      <c r="BS95" s="6"/>
      <c r="BT95" s="6"/>
      <c r="BU95" s="6"/>
      <c r="BV95" s="6"/>
      <c r="BW95" s="6"/>
      <c r="BX95" s="6"/>
    </row>
    <row r="96" ht="15.75" customHeight="1">
      <c r="A96" s="1" t="s">
        <v>190</v>
      </c>
      <c r="B96" s="17">
        <v>234.0</v>
      </c>
      <c r="C96" s="17">
        <v>2.0</v>
      </c>
      <c r="D96" s="9" t="s">
        <v>85</v>
      </c>
      <c r="E96" s="9">
        <v>0.611111</v>
      </c>
      <c r="F96" s="9" t="s">
        <v>85</v>
      </c>
      <c r="G96" s="9" t="s">
        <v>85</v>
      </c>
      <c r="H96" s="30">
        <v>0.5</v>
      </c>
      <c r="I96" s="9" t="s">
        <v>85</v>
      </c>
      <c r="J96" s="9" t="s">
        <v>85</v>
      </c>
      <c r="K96" s="9" t="s">
        <v>85</v>
      </c>
      <c r="L96" s="9" t="s">
        <v>85</v>
      </c>
      <c r="M96" s="9" t="s">
        <v>85</v>
      </c>
      <c r="N96" s="9" t="s">
        <v>85</v>
      </c>
      <c r="O96" s="9" t="s">
        <v>85</v>
      </c>
      <c r="P96" s="9" t="s">
        <v>85</v>
      </c>
      <c r="Q96" s="9">
        <v>0.5</v>
      </c>
      <c r="R96" s="9" t="s">
        <v>85</v>
      </c>
      <c r="S96" s="9" t="s">
        <v>85</v>
      </c>
      <c r="T96" s="9">
        <v>0.5</v>
      </c>
      <c r="U96" s="9" t="s">
        <v>85</v>
      </c>
      <c r="V96" s="9" t="s">
        <v>85</v>
      </c>
      <c r="W96" s="9" t="s">
        <v>85</v>
      </c>
      <c r="X96" s="9" t="s">
        <v>85</v>
      </c>
      <c r="Y96" s="9" t="s">
        <v>85</v>
      </c>
      <c r="Z96" s="9" t="s">
        <v>85</v>
      </c>
      <c r="AA96" s="9" t="s">
        <v>85</v>
      </c>
      <c r="AB96" s="9" t="s">
        <v>85</v>
      </c>
      <c r="AC96" s="30">
        <v>0.5</v>
      </c>
      <c r="AD96" s="9" t="s">
        <v>85</v>
      </c>
      <c r="AE96" s="9" t="s">
        <v>85</v>
      </c>
      <c r="AF96" s="30">
        <v>0.5</v>
      </c>
      <c r="AG96" s="9" t="s">
        <v>85</v>
      </c>
      <c r="AH96" s="9" t="s">
        <v>85</v>
      </c>
      <c r="AI96" s="9" t="s">
        <v>85</v>
      </c>
      <c r="AJ96" s="9" t="s">
        <v>85</v>
      </c>
      <c r="AK96" s="9" t="s">
        <v>85</v>
      </c>
      <c r="AL96" s="9" t="s">
        <v>85</v>
      </c>
      <c r="AM96" s="9" t="s">
        <v>85</v>
      </c>
      <c r="AN96" s="9" t="s">
        <v>85</v>
      </c>
      <c r="AO96" s="9">
        <v>0.5</v>
      </c>
      <c r="AP96" s="9" t="s">
        <v>85</v>
      </c>
      <c r="AQ96" s="9" t="s">
        <v>85</v>
      </c>
      <c r="AR96" s="30">
        <v>0.5</v>
      </c>
      <c r="AS96" s="9" t="s">
        <v>85</v>
      </c>
      <c r="AT96" s="9" t="s">
        <v>85</v>
      </c>
      <c r="AU96" s="9" t="s">
        <v>85</v>
      </c>
      <c r="AV96" s="9" t="s">
        <v>85</v>
      </c>
      <c r="AW96" s="9" t="s">
        <v>85</v>
      </c>
      <c r="AX96" s="9" t="s">
        <v>85</v>
      </c>
      <c r="AY96" s="9" t="s">
        <v>85</v>
      </c>
      <c r="AZ96" s="9" t="s">
        <v>85</v>
      </c>
      <c r="BA96" s="9" t="s">
        <v>85</v>
      </c>
      <c r="BB96" s="9" t="s">
        <v>85</v>
      </c>
      <c r="BC96" s="9" t="s">
        <v>85</v>
      </c>
      <c r="BD96" s="9" t="s">
        <v>85</v>
      </c>
      <c r="BE96" s="9" t="s">
        <v>85</v>
      </c>
      <c r="BF96" s="10" t="s">
        <v>85</v>
      </c>
      <c r="BG96" s="10" t="s">
        <v>85</v>
      </c>
      <c r="BH96" s="9" t="s">
        <v>85</v>
      </c>
      <c r="BI96" s="6"/>
      <c r="BJ96" s="6" t="str">
        <f t="shared" si="1"/>
        <v>5Bo_Fold_Median</v>
      </c>
      <c r="BK96" s="6" t="str">
        <f t="shared" si="2"/>
        <v>5BoN_Fold_Median</v>
      </c>
      <c r="BL96" s="6" t="str">
        <f t="shared" si="3"/>
        <v>5BoN_Fold_Median</v>
      </c>
      <c r="BM96" s="6"/>
      <c r="BN96" s="6">
        <f t="shared" si="4"/>
        <v>5</v>
      </c>
      <c r="BO96" s="6"/>
      <c r="BP96" s="6"/>
      <c r="BQ96" s="6"/>
      <c r="BR96" s="6"/>
      <c r="BS96" s="6"/>
      <c r="BT96" s="6"/>
      <c r="BU96" s="6"/>
      <c r="BV96" s="6"/>
      <c r="BW96" s="6"/>
      <c r="BX96" s="6"/>
    </row>
    <row r="97" ht="15.75" customHeight="1">
      <c r="A97" s="1" t="s">
        <v>191</v>
      </c>
      <c r="B97" s="17">
        <v>270.0</v>
      </c>
      <c r="C97" s="17">
        <v>25.0</v>
      </c>
      <c r="D97" s="9" t="s">
        <v>85</v>
      </c>
      <c r="E97" s="9">
        <v>0.399687</v>
      </c>
      <c r="F97" s="9" t="s">
        <v>85</v>
      </c>
      <c r="G97" s="9" t="s">
        <v>85</v>
      </c>
      <c r="H97" s="30">
        <v>0.4106583</v>
      </c>
      <c r="I97" s="9" t="s">
        <v>85</v>
      </c>
      <c r="J97" s="9" t="s">
        <v>85</v>
      </c>
      <c r="K97" s="9" t="s">
        <v>85</v>
      </c>
      <c r="L97" s="9" t="s">
        <v>85</v>
      </c>
      <c r="M97" s="9" t="s">
        <v>85</v>
      </c>
      <c r="N97" s="9" t="s">
        <v>85</v>
      </c>
      <c r="O97" s="9" t="s">
        <v>85</v>
      </c>
      <c r="P97" s="9" t="s">
        <v>85</v>
      </c>
      <c r="Q97" s="9">
        <v>0.420063</v>
      </c>
      <c r="R97" s="9" t="s">
        <v>85</v>
      </c>
      <c r="S97" s="9" t="s">
        <v>85</v>
      </c>
      <c r="T97" s="9">
        <v>0.4279</v>
      </c>
      <c r="U97" s="9" t="s">
        <v>85</v>
      </c>
      <c r="V97" s="9" t="s">
        <v>85</v>
      </c>
      <c r="W97" s="9" t="s">
        <v>85</v>
      </c>
      <c r="X97" s="9" t="s">
        <v>85</v>
      </c>
      <c r="Y97" s="9" t="s">
        <v>85</v>
      </c>
      <c r="Z97" s="9" t="s">
        <v>85</v>
      </c>
      <c r="AA97" s="9" t="s">
        <v>85</v>
      </c>
      <c r="AB97" s="9" t="s">
        <v>85</v>
      </c>
      <c r="AC97" s="30">
        <v>0.437304</v>
      </c>
      <c r="AD97" s="9" t="s">
        <v>85</v>
      </c>
      <c r="AE97" s="9" t="s">
        <v>85</v>
      </c>
      <c r="AF97" s="30">
        <v>0.437304</v>
      </c>
      <c r="AG97" s="9" t="s">
        <v>85</v>
      </c>
      <c r="AH97" s="9" t="s">
        <v>85</v>
      </c>
      <c r="AI97" s="9" t="s">
        <v>85</v>
      </c>
      <c r="AJ97" s="9" t="s">
        <v>85</v>
      </c>
      <c r="AK97" s="9" t="s">
        <v>85</v>
      </c>
      <c r="AL97" s="9" t="s">
        <v>85</v>
      </c>
      <c r="AM97" s="9" t="s">
        <v>85</v>
      </c>
      <c r="AN97" s="9" t="s">
        <v>85</v>
      </c>
      <c r="AO97" s="9">
        <v>0.420063</v>
      </c>
      <c r="AP97" s="9" t="s">
        <v>85</v>
      </c>
      <c r="AQ97" s="9" t="s">
        <v>85</v>
      </c>
      <c r="AR97" s="30">
        <v>0.452978</v>
      </c>
      <c r="AS97" s="9" t="s">
        <v>85</v>
      </c>
      <c r="AT97" s="9" t="s">
        <v>85</v>
      </c>
      <c r="AU97" s="9" t="s">
        <v>85</v>
      </c>
      <c r="AV97" s="9" t="s">
        <v>85</v>
      </c>
      <c r="AW97" s="9" t="s">
        <v>85</v>
      </c>
      <c r="AX97" s="9" t="s">
        <v>85</v>
      </c>
      <c r="AY97" s="9" t="s">
        <v>85</v>
      </c>
      <c r="AZ97" s="9" t="s">
        <v>85</v>
      </c>
      <c r="BA97" s="9" t="s">
        <v>85</v>
      </c>
      <c r="BB97" s="9" t="s">
        <v>85</v>
      </c>
      <c r="BC97" s="9" t="s">
        <v>85</v>
      </c>
      <c r="BD97" s="9" t="s">
        <v>85</v>
      </c>
      <c r="BE97" s="9" t="s">
        <v>85</v>
      </c>
      <c r="BF97" s="10" t="s">
        <v>85</v>
      </c>
      <c r="BG97" s="10" t="s">
        <v>85</v>
      </c>
      <c r="BH97" s="9" t="s">
        <v>85</v>
      </c>
      <c r="BI97" s="6"/>
      <c r="BJ97" s="6" t="str">
        <f t="shared" si="1"/>
        <v>12BoN_Fold_Median</v>
      </c>
      <c r="BK97" s="6" t="str">
        <f t="shared" si="2"/>
        <v>10Bo_Fold_Median</v>
      </c>
      <c r="BL97" s="6" t="str">
        <f t="shared" si="3"/>
        <v>10Bo_Fold_Median</v>
      </c>
      <c r="BM97" s="6"/>
      <c r="BN97" s="6">
        <f t="shared" si="4"/>
        <v>12</v>
      </c>
      <c r="BO97" s="6"/>
      <c r="BP97" s="6"/>
      <c r="BQ97" s="6"/>
      <c r="BR97" s="6"/>
      <c r="BS97" s="6"/>
      <c r="BT97" s="6"/>
      <c r="BU97" s="6"/>
      <c r="BV97" s="6"/>
      <c r="BW97" s="6"/>
      <c r="BX97" s="6"/>
    </row>
    <row r="98" ht="15.75" customHeight="1">
      <c r="A98" s="1" t="s">
        <v>192</v>
      </c>
      <c r="B98" s="17">
        <v>900.0</v>
      </c>
      <c r="C98" s="17">
        <v>5.0</v>
      </c>
      <c r="D98" s="9" t="s">
        <v>85</v>
      </c>
      <c r="E98" s="9">
        <v>0.506494</v>
      </c>
      <c r="F98" s="9" t="s">
        <v>85</v>
      </c>
      <c r="G98" s="9" t="s">
        <v>85</v>
      </c>
      <c r="H98" s="30">
        <v>0.467532456</v>
      </c>
      <c r="I98" s="9" t="s">
        <v>85</v>
      </c>
      <c r="J98" s="9" t="s">
        <v>85</v>
      </c>
      <c r="K98" s="9" t="s">
        <v>85</v>
      </c>
      <c r="L98" s="9" t="s">
        <v>85</v>
      </c>
      <c r="M98" s="9" t="s">
        <v>85</v>
      </c>
      <c r="N98" s="9" t="s">
        <v>85</v>
      </c>
      <c r="O98" s="9" t="s">
        <v>85</v>
      </c>
      <c r="P98" s="9" t="s">
        <v>85</v>
      </c>
      <c r="Q98" s="9">
        <v>0.493506</v>
      </c>
      <c r="R98" s="9" t="s">
        <v>85</v>
      </c>
      <c r="S98" s="9" t="s">
        <v>85</v>
      </c>
      <c r="T98" s="9">
        <v>0.519481</v>
      </c>
      <c r="U98" s="9" t="s">
        <v>85</v>
      </c>
      <c r="V98" s="9" t="s">
        <v>85</v>
      </c>
      <c r="W98" s="9" t="s">
        <v>85</v>
      </c>
      <c r="X98" s="9" t="s">
        <v>85</v>
      </c>
      <c r="Y98" s="9" t="s">
        <v>85</v>
      </c>
      <c r="Z98" s="9" t="s">
        <v>85</v>
      </c>
      <c r="AA98" s="9" t="s">
        <v>85</v>
      </c>
      <c r="AB98" s="9" t="s">
        <v>85</v>
      </c>
      <c r="AC98" s="30">
        <v>0.480519</v>
      </c>
      <c r="AD98" s="9" t="s">
        <v>85</v>
      </c>
      <c r="AE98" s="9" t="s">
        <v>85</v>
      </c>
      <c r="AF98" s="30">
        <v>0.480519</v>
      </c>
      <c r="AG98" s="9" t="s">
        <v>85</v>
      </c>
      <c r="AH98" s="9" t="s">
        <v>85</v>
      </c>
      <c r="AI98" s="9" t="s">
        <v>85</v>
      </c>
      <c r="AJ98" s="9" t="s">
        <v>85</v>
      </c>
      <c r="AK98" s="9" t="s">
        <v>85</v>
      </c>
      <c r="AL98" s="9" t="s">
        <v>85</v>
      </c>
      <c r="AM98" s="9" t="s">
        <v>85</v>
      </c>
      <c r="AN98" s="9" t="s">
        <v>85</v>
      </c>
      <c r="AO98" s="9">
        <v>0.519481</v>
      </c>
      <c r="AP98" s="9" t="s">
        <v>85</v>
      </c>
      <c r="AQ98" s="9" t="s">
        <v>85</v>
      </c>
      <c r="AR98" s="30">
        <v>0.519481</v>
      </c>
      <c r="AS98" s="9" t="s">
        <v>85</v>
      </c>
      <c r="AT98" s="9" t="s">
        <v>85</v>
      </c>
      <c r="AU98" s="9" t="s">
        <v>85</v>
      </c>
      <c r="AV98" s="9" t="s">
        <v>85</v>
      </c>
      <c r="AW98" s="9" t="s">
        <v>85</v>
      </c>
      <c r="AX98" s="9" t="s">
        <v>85</v>
      </c>
      <c r="AY98" s="9" t="s">
        <v>85</v>
      </c>
      <c r="AZ98" s="9" t="s">
        <v>85</v>
      </c>
      <c r="BA98" s="9" t="s">
        <v>85</v>
      </c>
      <c r="BB98" s="9" t="s">
        <v>85</v>
      </c>
      <c r="BC98" s="9" t="s">
        <v>85</v>
      </c>
      <c r="BD98" s="9" t="s">
        <v>85</v>
      </c>
      <c r="BE98" s="9" t="s">
        <v>85</v>
      </c>
      <c r="BF98" s="10" t="s">
        <v>85</v>
      </c>
      <c r="BG98" s="10" t="s">
        <v>85</v>
      </c>
      <c r="BH98" s="9" t="s">
        <v>85</v>
      </c>
      <c r="BI98" s="6"/>
      <c r="BJ98" s="6" t="str">
        <f t="shared" si="1"/>
        <v>8BoN_Fold_Median</v>
      </c>
      <c r="BK98" s="6" t="str">
        <f t="shared" si="2"/>
        <v>8BoN_Fold_Median</v>
      </c>
      <c r="BL98" s="6" t="str">
        <f t="shared" si="3"/>
        <v>8BoN_Fold_Median</v>
      </c>
      <c r="BM98" s="6"/>
      <c r="BN98" s="6">
        <f t="shared" si="4"/>
        <v>8</v>
      </c>
      <c r="BO98" s="6"/>
      <c r="BP98" s="6"/>
      <c r="BQ98" s="6"/>
      <c r="BR98" s="6"/>
      <c r="BS98" s="6"/>
      <c r="BT98" s="6"/>
      <c r="BU98" s="6"/>
      <c r="BV98" s="6"/>
      <c r="BW98" s="6"/>
      <c r="BX98" s="6"/>
    </row>
    <row r="99" ht="15.75" customHeight="1">
      <c r="A99" s="1" t="s">
        <v>193</v>
      </c>
      <c r="B99" s="17">
        <v>900.0</v>
      </c>
      <c r="C99" s="17">
        <v>2.0</v>
      </c>
      <c r="D99" s="9" t="s">
        <v>85</v>
      </c>
      <c r="E99" s="9">
        <v>0.61039</v>
      </c>
      <c r="F99" s="9" t="s">
        <v>85</v>
      </c>
      <c r="G99" s="9" t="s">
        <v>85</v>
      </c>
      <c r="H99" s="30">
        <v>0.61038959</v>
      </c>
      <c r="I99" s="9" t="s">
        <v>85</v>
      </c>
      <c r="J99" s="9" t="s">
        <v>85</v>
      </c>
      <c r="K99" s="9" t="s">
        <v>85</v>
      </c>
      <c r="L99" s="9" t="s">
        <v>85</v>
      </c>
      <c r="M99" s="9" t="s">
        <v>85</v>
      </c>
      <c r="N99" s="9" t="s">
        <v>85</v>
      </c>
      <c r="O99" s="9" t="s">
        <v>85</v>
      </c>
      <c r="P99" s="9" t="s">
        <v>85</v>
      </c>
      <c r="Q99" s="9">
        <v>0.597403</v>
      </c>
      <c r="R99" s="9" t="s">
        <v>85</v>
      </c>
      <c r="S99" s="9" t="s">
        <v>85</v>
      </c>
      <c r="T99" s="9">
        <v>0.597403</v>
      </c>
      <c r="U99" s="9" t="s">
        <v>85</v>
      </c>
      <c r="V99" s="9" t="s">
        <v>85</v>
      </c>
      <c r="W99" s="9" t="s">
        <v>85</v>
      </c>
      <c r="X99" s="9" t="s">
        <v>85</v>
      </c>
      <c r="Y99" s="9" t="s">
        <v>85</v>
      </c>
      <c r="Z99" s="9" t="s">
        <v>85</v>
      </c>
      <c r="AA99" s="9" t="s">
        <v>85</v>
      </c>
      <c r="AB99" s="9" t="s">
        <v>85</v>
      </c>
      <c r="AC99" s="30">
        <v>0.623377</v>
      </c>
      <c r="AD99" s="9" t="s">
        <v>85</v>
      </c>
      <c r="AE99" s="9" t="s">
        <v>85</v>
      </c>
      <c r="AF99" s="30">
        <v>0.584416</v>
      </c>
      <c r="AG99" s="9" t="s">
        <v>85</v>
      </c>
      <c r="AH99" s="9" t="s">
        <v>85</v>
      </c>
      <c r="AI99" s="9" t="s">
        <v>85</v>
      </c>
      <c r="AJ99" s="9" t="s">
        <v>85</v>
      </c>
      <c r="AK99" s="9" t="s">
        <v>85</v>
      </c>
      <c r="AL99" s="9" t="s">
        <v>85</v>
      </c>
      <c r="AM99" s="9" t="s">
        <v>85</v>
      </c>
      <c r="AN99" s="9" t="s">
        <v>85</v>
      </c>
      <c r="AO99" s="9">
        <v>0.636364</v>
      </c>
      <c r="AP99" s="9" t="s">
        <v>85</v>
      </c>
      <c r="AQ99" s="9" t="s">
        <v>85</v>
      </c>
      <c r="AR99" s="30">
        <v>0.623377</v>
      </c>
      <c r="AS99" s="9" t="s">
        <v>85</v>
      </c>
      <c r="AT99" s="9" t="s">
        <v>85</v>
      </c>
      <c r="AU99" s="9" t="s">
        <v>85</v>
      </c>
      <c r="AV99" s="9" t="s">
        <v>85</v>
      </c>
      <c r="AW99" s="9" t="s">
        <v>85</v>
      </c>
      <c r="AX99" s="9" t="s">
        <v>85</v>
      </c>
      <c r="AY99" s="9" t="s">
        <v>85</v>
      </c>
      <c r="AZ99" s="9" t="s">
        <v>85</v>
      </c>
      <c r="BA99" s="9" t="s">
        <v>85</v>
      </c>
      <c r="BB99" s="9" t="s">
        <v>85</v>
      </c>
      <c r="BC99" s="9" t="s">
        <v>85</v>
      </c>
      <c r="BD99" s="9" t="s">
        <v>85</v>
      </c>
      <c r="BE99" s="9" t="s">
        <v>85</v>
      </c>
      <c r="BF99" s="10" t="s">
        <v>85</v>
      </c>
      <c r="BG99" s="10" t="s">
        <v>85</v>
      </c>
      <c r="BH99" s="9" t="s">
        <v>85</v>
      </c>
      <c r="BI99" s="6"/>
      <c r="BJ99" s="6" t="str">
        <f t="shared" si="1"/>
        <v>12Bo_Fold_Median</v>
      </c>
      <c r="BK99" s="6" t="str">
        <f t="shared" si="2"/>
        <v>10Bo_Fold_Median</v>
      </c>
      <c r="BL99" s="6" t="str">
        <f t="shared" si="3"/>
        <v>10Bo_Fold_Median</v>
      </c>
      <c r="BM99" s="6"/>
      <c r="BN99" s="6">
        <f t="shared" si="4"/>
        <v>12</v>
      </c>
      <c r="BO99" s="6"/>
      <c r="BP99" s="6"/>
      <c r="BQ99" s="6"/>
      <c r="BR99" s="6"/>
      <c r="BS99" s="6"/>
      <c r="BT99" s="6"/>
      <c r="BU99" s="6"/>
      <c r="BV99" s="6"/>
      <c r="BW99" s="6"/>
      <c r="BX99" s="6"/>
    </row>
    <row r="100" ht="15.75" customHeight="1">
      <c r="A100" s="1" t="s">
        <v>194</v>
      </c>
      <c r="B100" s="17">
        <v>426.0</v>
      </c>
      <c r="C100" s="17">
        <v>2.0</v>
      </c>
      <c r="D100" s="9" t="s">
        <v>85</v>
      </c>
      <c r="E100" s="9">
        <v>0.704</v>
      </c>
      <c r="F100" s="9" t="s">
        <v>85</v>
      </c>
      <c r="G100" s="9" t="s">
        <v>85</v>
      </c>
      <c r="H100" s="30">
        <v>0.702000022</v>
      </c>
      <c r="I100" s="9" t="s">
        <v>85</v>
      </c>
      <c r="J100" s="9" t="s">
        <v>85</v>
      </c>
      <c r="K100" s="9" t="s">
        <v>85</v>
      </c>
      <c r="L100" s="9" t="s">
        <v>85</v>
      </c>
      <c r="M100" s="9" t="s">
        <v>85</v>
      </c>
      <c r="N100" s="9" t="s">
        <v>85</v>
      </c>
      <c r="O100" s="9" t="s">
        <v>85</v>
      </c>
      <c r="P100" s="9" t="s">
        <v>85</v>
      </c>
      <c r="Q100" s="9">
        <v>0.705667</v>
      </c>
      <c r="R100" s="9" t="s">
        <v>85</v>
      </c>
      <c r="S100" s="9" t="s">
        <v>85</v>
      </c>
      <c r="T100" s="9">
        <v>0.732</v>
      </c>
      <c r="U100" s="9" t="s">
        <v>85</v>
      </c>
      <c r="V100" s="9" t="s">
        <v>85</v>
      </c>
      <c r="W100" s="9" t="s">
        <v>85</v>
      </c>
      <c r="X100" s="9" t="s">
        <v>85</v>
      </c>
      <c r="Y100" s="9" t="s">
        <v>85</v>
      </c>
      <c r="Z100" s="9" t="s">
        <v>85</v>
      </c>
      <c r="AA100" s="9" t="s">
        <v>85</v>
      </c>
      <c r="AB100" s="9" t="s">
        <v>85</v>
      </c>
      <c r="AC100" s="30">
        <v>0.749667</v>
      </c>
      <c r="AD100" s="9" t="s">
        <v>85</v>
      </c>
      <c r="AE100" s="9" t="s">
        <v>85</v>
      </c>
      <c r="AF100" s="30">
        <v>0.745667</v>
      </c>
      <c r="AG100" s="9" t="s">
        <v>85</v>
      </c>
      <c r="AH100" s="9" t="s">
        <v>85</v>
      </c>
      <c r="AI100" s="9" t="s">
        <v>85</v>
      </c>
      <c r="AJ100" s="9" t="s">
        <v>85</v>
      </c>
      <c r="AK100" s="9" t="s">
        <v>85</v>
      </c>
      <c r="AL100" s="9" t="s">
        <v>85</v>
      </c>
      <c r="AM100" s="9" t="s">
        <v>85</v>
      </c>
      <c r="AN100" s="9" t="s">
        <v>85</v>
      </c>
      <c r="AO100" s="9">
        <v>0.756</v>
      </c>
      <c r="AP100" s="9" t="s">
        <v>85</v>
      </c>
      <c r="AQ100" s="9" t="s">
        <v>85</v>
      </c>
      <c r="AR100" s="30">
        <v>0.755</v>
      </c>
      <c r="AS100" s="9" t="s">
        <v>85</v>
      </c>
      <c r="AT100" s="9" t="s">
        <v>85</v>
      </c>
      <c r="AU100" s="9" t="s">
        <v>85</v>
      </c>
      <c r="AV100" s="9" t="s">
        <v>85</v>
      </c>
      <c r="AW100" s="9" t="s">
        <v>85</v>
      </c>
      <c r="AX100" s="9" t="s">
        <v>85</v>
      </c>
      <c r="AY100" s="9" t="s">
        <v>85</v>
      </c>
      <c r="AZ100" s="9" t="s">
        <v>85</v>
      </c>
      <c r="BA100" s="9" t="s">
        <v>85</v>
      </c>
      <c r="BB100" s="9" t="s">
        <v>85</v>
      </c>
      <c r="BC100" s="9" t="s">
        <v>85</v>
      </c>
      <c r="BD100" s="9" t="s">
        <v>85</v>
      </c>
      <c r="BE100" s="9" t="s">
        <v>85</v>
      </c>
      <c r="BF100" s="10" t="s">
        <v>85</v>
      </c>
      <c r="BG100" s="10" t="s">
        <v>85</v>
      </c>
      <c r="BH100" s="9" t="s">
        <v>85</v>
      </c>
      <c r="BI100" s="6"/>
      <c r="BJ100" s="6" t="str">
        <f t="shared" si="1"/>
        <v>12Bo_Fold_Median</v>
      </c>
      <c r="BK100" s="6" t="str">
        <f t="shared" si="2"/>
        <v>12BoN_Fold_Median</v>
      </c>
      <c r="BL100" s="6" t="str">
        <f t="shared" si="3"/>
        <v>10Bo_Fold_Median</v>
      </c>
      <c r="BM100" s="6"/>
      <c r="BN100" s="6">
        <f t="shared" si="4"/>
        <v>12</v>
      </c>
      <c r="BO100" s="6"/>
      <c r="BP100" s="6"/>
      <c r="BQ100" s="6"/>
      <c r="BR100" s="6"/>
      <c r="BS100" s="6"/>
      <c r="BT100" s="6"/>
      <c r="BU100" s="6"/>
      <c r="BV100" s="6"/>
      <c r="BW100" s="6"/>
      <c r="BX100" s="6"/>
    </row>
    <row r="101" ht="15.75" customHeight="1">
      <c r="A101" s="15"/>
      <c r="B101" s="15"/>
      <c r="C101" s="15"/>
      <c r="J101" s="1"/>
      <c r="K101" s="1"/>
      <c r="L101" s="1"/>
      <c r="P101" s="1"/>
      <c r="Q101" s="1"/>
      <c r="R101" s="1"/>
      <c r="S101" s="1"/>
      <c r="T101" s="1"/>
      <c r="U101" s="1"/>
      <c r="X101" s="1"/>
      <c r="AB101" s="1"/>
      <c r="AC101" s="1"/>
      <c r="AD101" s="1"/>
      <c r="AE101" s="1"/>
      <c r="AF101" s="1"/>
      <c r="AH101" s="1"/>
      <c r="AI101" s="1"/>
      <c r="AJ101" s="1"/>
      <c r="AN101" s="1"/>
      <c r="AO101" s="1"/>
      <c r="AP101" s="1"/>
      <c r="AQ101" s="1"/>
      <c r="AR101" s="1"/>
      <c r="AS101" s="1"/>
      <c r="AV101" s="1"/>
      <c r="AZ101" s="1"/>
      <c r="BA101" s="1"/>
      <c r="BB101" s="1"/>
      <c r="BC101" s="1"/>
      <c r="BD101" s="1"/>
    </row>
    <row r="102" ht="15.75" customHeight="1">
      <c r="A102" s="15"/>
      <c r="B102" s="15"/>
      <c r="C102" s="15"/>
      <c r="J102" s="1"/>
      <c r="K102" s="1"/>
      <c r="L102" s="1"/>
      <c r="M102" s="1"/>
      <c r="N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ht="15.75" customHeight="1">
      <c r="A103" s="15"/>
      <c r="B103" s="15"/>
      <c r="C103" s="15"/>
      <c r="J103" s="1"/>
      <c r="K103" s="1"/>
      <c r="L103" s="1"/>
      <c r="M103" s="1"/>
      <c r="N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ht="15.75" customHeight="1">
      <c r="A104" s="15"/>
      <c r="B104" s="15"/>
      <c r="C104" s="15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ht="15.75" customHeight="1">
      <c r="A105" s="15"/>
      <c r="B105" s="15"/>
      <c r="C105" s="15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ht="15.75" customHeight="1">
      <c r="A106" s="15"/>
      <c r="B106" s="15"/>
      <c r="C106" s="15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ht="15.75" customHeight="1">
      <c r="C107" s="15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ht="15.75" customHeight="1">
      <c r="C108" s="15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ht="15.75" customHeight="1">
      <c r="C109" s="15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ht="15.75" customHeight="1">
      <c r="C110" s="15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ht="15.75" customHeight="1">
      <c r="C111" s="15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ht="15.75" customHeight="1">
      <c r="C112" s="15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ht="15.75" customHeight="1">
      <c r="C113" s="15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ht="15.75" customHeight="1">
      <c r="C114" s="15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ht="15.75" customHeight="1">
      <c r="C115" s="15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ht="15.75" customHeight="1">
      <c r="C116" s="15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ht="15.75" customHeight="1">
      <c r="C117" s="15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ht="15.75" customHeight="1">
      <c r="C118" s="15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ht="15.75" customHeight="1">
      <c r="C119" s="15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ht="15.75" customHeight="1">
      <c r="C120" s="15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ht="15.75" customHeight="1">
      <c r="C121" s="15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ht="15.75" customHeight="1">
      <c r="C122" s="15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ht="15.75" customHeight="1">
      <c r="C123" s="15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ht="15.75" customHeight="1">
      <c r="C124" s="15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ht="15.75" customHeight="1">
      <c r="C125" s="15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ht="15.75" customHeight="1">
      <c r="C126" s="15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ht="15.75" customHeight="1">
      <c r="C127" s="15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ht="15.75" customHeight="1">
      <c r="C128" s="15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ht="15.75" customHeight="1">
      <c r="C129" s="15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ht="15.75" customHeight="1">
      <c r="C130" s="15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ht="15.75" customHeight="1">
      <c r="C131" s="15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ht="15.75" customHeight="1">
      <c r="C132" s="15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ht="15.75" customHeight="1">
      <c r="C133" s="15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ht="15.75" customHeight="1">
      <c r="C134" s="15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ht="15.75" customHeight="1">
      <c r="C135" s="15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ht="15.75" customHeight="1">
      <c r="C136" s="15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ht="15.75" customHeight="1">
      <c r="C137" s="15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ht="15.75" customHeight="1">
      <c r="C138" s="15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ht="15.75" customHeight="1">
      <c r="C139" s="15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ht="15.75" customHeight="1">
      <c r="C140" s="15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ht="15.75" customHeight="1">
      <c r="C141" s="15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ht="15.75" customHeight="1">
      <c r="C142" s="15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ht="15.75" customHeight="1">
      <c r="C143" s="15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ht="15.75" customHeight="1">
      <c r="C144" s="15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ht="15.75" customHeight="1">
      <c r="C145" s="15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ht="15.75" customHeight="1">
      <c r="C146" s="15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ht="15.75" customHeight="1">
      <c r="C147" s="15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ht="15.75" customHeight="1">
      <c r="C148" s="15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ht="15.75" customHeight="1">
      <c r="C149" s="15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ht="15.75" customHeight="1">
      <c r="C150" s="15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ht="15.75" customHeight="1">
      <c r="C151" s="15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ht="15.75" customHeight="1">
      <c r="C152" s="15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ht="15.75" customHeight="1">
      <c r="C153" s="15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ht="15.75" customHeight="1">
      <c r="C154" s="15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ht="15.75" customHeight="1">
      <c r="C155" s="15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ht="15.75" customHeight="1">
      <c r="C156" s="15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ht="15.75" customHeight="1">
      <c r="C157" s="15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ht="15.75" customHeight="1">
      <c r="C158" s="15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ht="15.75" customHeight="1">
      <c r="C159" s="15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ht="15.75" customHeight="1">
      <c r="C160" s="15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ht="15.75" customHeight="1">
      <c r="C161" s="15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ht="15.75" customHeight="1">
      <c r="C162" s="15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ht="15.75" customHeight="1">
      <c r="C163" s="15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ht="15.75" customHeight="1">
      <c r="C164" s="15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ht="15.75" customHeight="1">
      <c r="C165" s="15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ht="15.75" customHeight="1">
      <c r="C166" s="15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ht="15.75" customHeight="1">
      <c r="C167" s="15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ht="15.75" customHeight="1">
      <c r="C168" s="15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ht="15.75" customHeight="1">
      <c r="C169" s="15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ht="15.75" customHeight="1">
      <c r="C170" s="15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ht="15.75" customHeight="1">
      <c r="C171" s="15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ht="15.75" customHeight="1">
      <c r="C172" s="15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ht="15.75" customHeight="1">
      <c r="C173" s="15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ht="15.75" customHeight="1">
      <c r="C174" s="15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ht="15.75" customHeight="1">
      <c r="C175" s="15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ht="15.75" customHeight="1">
      <c r="C176" s="15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ht="15.75" customHeight="1">
      <c r="C177" s="15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ht="15.75" customHeight="1">
      <c r="C178" s="15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ht="15.75" customHeight="1">
      <c r="C179" s="15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ht="15.75" customHeight="1">
      <c r="C180" s="15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ht="15.75" customHeight="1">
      <c r="C181" s="15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ht="15.75" customHeight="1">
      <c r="C182" s="15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ht="15.75" customHeight="1">
      <c r="C183" s="15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ht="15.75" customHeight="1">
      <c r="C184" s="15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ht="15.75" customHeight="1">
      <c r="C185" s="15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ht="15.75" customHeight="1">
      <c r="C186" s="15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ht="15.75" customHeight="1">
      <c r="C187" s="15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ht="15.75" customHeight="1">
      <c r="C188" s="15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ht="15.75" customHeight="1">
      <c r="C189" s="15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ht="15.75" customHeight="1">
      <c r="C190" s="15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ht="15.75" customHeight="1">
      <c r="C191" s="15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ht="15.75" customHeight="1">
      <c r="C192" s="15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ht="15.75" customHeight="1">
      <c r="C193" s="15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ht="15.75" customHeight="1">
      <c r="C194" s="15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ht="15.75" customHeight="1">
      <c r="C195" s="15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ht="15.75" customHeight="1">
      <c r="C196" s="15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ht="15.75" customHeight="1">
      <c r="C197" s="15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ht="15.75" customHeight="1">
      <c r="C198" s="15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ht="15.75" customHeight="1">
      <c r="C199" s="15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ht="15.75" customHeight="1">
      <c r="C200" s="15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ht="15.75" customHeight="1">
      <c r="C201" s="15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ht="15.75" customHeight="1">
      <c r="C202" s="15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ht="15.75" customHeight="1">
      <c r="C203" s="15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ht="15.75" customHeight="1">
      <c r="C204" s="15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ht="15.75" customHeight="1">
      <c r="C205" s="15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ht="15.75" customHeight="1">
      <c r="C206" s="15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ht="15.75" customHeight="1">
      <c r="C207" s="15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ht="15.75" customHeight="1">
      <c r="C208" s="15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ht="15.75" customHeight="1">
      <c r="C209" s="15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ht="15.75" customHeight="1">
      <c r="C210" s="15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ht="15.75" customHeight="1">
      <c r="C211" s="15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ht="15.75" customHeight="1">
      <c r="C212" s="15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ht="15.75" customHeight="1">
      <c r="C213" s="15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ht="15.75" customHeight="1">
      <c r="C214" s="15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ht="15.75" customHeight="1">
      <c r="C215" s="15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ht="15.75" customHeight="1">
      <c r="C216" s="15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ht="15.75" customHeight="1">
      <c r="C217" s="15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ht="15.75" customHeight="1">
      <c r="C218" s="15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ht="15.75" customHeight="1">
      <c r="C219" s="15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ht="15.75" customHeight="1">
      <c r="C220" s="15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ht="15.75" customHeight="1">
      <c r="C221" s="15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ht="15.75" customHeight="1">
      <c r="C222" s="15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ht="15.75" customHeight="1">
      <c r="C223" s="15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ht="15.75" customHeight="1">
      <c r="C224" s="15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ht="15.75" customHeight="1">
      <c r="C225" s="15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ht="15.75" customHeight="1">
      <c r="C226" s="15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ht="15.75" customHeight="1">
      <c r="C227" s="15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ht="15.75" customHeight="1">
      <c r="C228" s="15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ht="15.75" customHeight="1">
      <c r="C229" s="15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ht="15.75" customHeight="1">
      <c r="C230" s="15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ht="15.75" customHeight="1">
      <c r="C231" s="15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ht="15.75" customHeight="1">
      <c r="C232" s="15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ht="15.75" customHeight="1">
      <c r="C233" s="15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ht="15.75" customHeight="1">
      <c r="C234" s="15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ht="15.75" customHeight="1">
      <c r="C235" s="15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ht="15.75" customHeight="1">
      <c r="C236" s="15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ht="15.75" customHeight="1">
      <c r="C237" s="15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ht="15.75" customHeight="1">
      <c r="C238" s="15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ht="15.75" customHeight="1">
      <c r="C239" s="15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ht="15.75" customHeight="1">
      <c r="C240" s="15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ht="15.75" customHeight="1">
      <c r="C241" s="15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ht="15.75" customHeight="1">
      <c r="C242" s="15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ht="15.75" customHeight="1">
      <c r="C243" s="15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ht="15.75" customHeight="1">
      <c r="C244" s="15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ht="15.75" customHeight="1">
      <c r="C245" s="15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ht="15.75" customHeight="1">
      <c r="C246" s="15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ht="15.75" customHeight="1">
      <c r="C247" s="15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ht="15.75" customHeight="1">
      <c r="C248" s="15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ht="15.75" customHeight="1">
      <c r="C249" s="15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ht="15.75" customHeight="1">
      <c r="C250" s="15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ht="15.75" customHeight="1">
      <c r="C251" s="15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ht="15.75" customHeight="1">
      <c r="C252" s="15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ht="15.75" customHeight="1">
      <c r="C253" s="15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ht="15.75" customHeight="1">
      <c r="C254" s="15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ht="15.75" customHeight="1">
      <c r="C255" s="15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ht="15.75" customHeight="1">
      <c r="C256" s="15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ht="15.75" customHeight="1">
      <c r="C257" s="15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ht="15.75" customHeight="1">
      <c r="C258" s="15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ht="15.75" customHeight="1">
      <c r="C259" s="15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ht="15.75" customHeight="1">
      <c r="C260" s="15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ht="15.75" customHeight="1">
      <c r="C261" s="15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ht="15.75" customHeight="1">
      <c r="C262" s="15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ht="15.75" customHeight="1">
      <c r="C263" s="15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ht="15.75" customHeight="1">
      <c r="C264" s="15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ht="15.75" customHeight="1">
      <c r="C265" s="15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ht="15.75" customHeight="1">
      <c r="C266" s="15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ht="15.75" customHeight="1">
      <c r="C267" s="15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ht="15.75" customHeight="1">
      <c r="C268" s="15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ht="15.75" customHeight="1">
      <c r="C269" s="15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ht="15.75" customHeight="1">
      <c r="C270" s="15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ht="15.75" customHeight="1">
      <c r="C271" s="15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ht="15.75" customHeight="1">
      <c r="C272" s="15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ht="15.75" customHeight="1">
      <c r="C273" s="15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ht="15.75" customHeight="1">
      <c r="C274" s="15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ht="15.75" customHeight="1">
      <c r="C275" s="15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ht="15.75" customHeight="1">
      <c r="C276" s="15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ht="15.75" customHeight="1">
      <c r="C277" s="15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ht="15.75" customHeight="1">
      <c r="C278" s="15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ht="15.75" customHeight="1">
      <c r="C279" s="15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ht="15.75" customHeight="1">
      <c r="C280" s="15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ht="15.75" customHeight="1">
      <c r="C281" s="15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ht="15.75" customHeight="1">
      <c r="C282" s="15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ht="15.75" customHeight="1">
      <c r="C283" s="15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ht="15.75" customHeight="1">
      <c r="C284" s="15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ht="15.75" customHeight="1">
      <c r="C285" s="15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ht="15.75" customHeight="1">
      <c r="C286" s="15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ht="15.75" customHeight="1">
      <c r="C287" s="15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ht="15.75" customHeight="1">
      <c r="C288" s="15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ht="15.75" customHeight="1">
      <c r="C289" s="15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ht="15.75" customHeight="1">
      <c r="C290" s="15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ht="15.75" customHeight="1">
      <c r="C291" s="15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ht="15.75" customHeight="1">
      <c r="C292" s="15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ht="15.75" customHeight="1">
      <c r="C293" s="15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ht="15.75" customHeight="1">
      <c r="C294" s="15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ht="15.75" customHeight="1">
      <c r="C295" s="15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ht="15.75" customHeight="1">
      <c r="C296" s="15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ht="15.75" customHeight="1">
      <c r="C297" s="15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ht="15.75" customHeight="1">
      <c r="C298" s="15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ht="15.75" customHeight="1">
      <c r="C299" s="15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ht="15.75" customHeight="1">
      <c r="C300" s="15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D1:F1"/>
    <mergeCell ref="G1:I1"/>
    <mergeCell ref="J1:L1"/>
    <mergeCell ref="M1:O1"/>
    <mergeCell ref="P1:R1"/>
    <mergeCell ref="S1:U1"/>
    <mergeCell ref="V1:X1"/>
    <mergeCell ref="AT1:AV1"/>
    <mergeCell ref="AW1:AY1"/>
    <mergeCell ref="AZ1:BB1"/>
    <mergeCell ref="BC1:BE1"/>
    <mergeCell ref="BF1:BH1"/>
    <mergeCell ref="Y1:AA1"/>
    <mergeCell ref="AB1:AD1"/>
    <mergeCell ref="AE1:AG1"/>
    <mergeCell ref="AH1:AJ1"/>
    <mergeCell ref="AK1:AM1"/>
    <mergeCell ref="AN1:AP1"/>
    <mergeCell ref="AQ1:AS1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0"/>
  <cols>
    <col customWidth="1" min="1" max="1" width="27.63"/>
    <col customWidth="1" min="2" max="2" width="8.0"/>
    <col customWidth="1" min="3" max="3" width="9.0"/>
    <col customWidth="1" min="4" max="4" width="13.88"/>
    <col customWidth="1" min="5" max="5" width="15.13"/>
    <col customWidth="1" min="6" max="7" width="13.75"/>
    <col customWidth="1" min="8" max="8" width="15.38"/>
    <col customWidth="1" min="9" max="9" width="13.75"/>
    <col customWidth="1" min="13" max="13" width="13.38"/>
    <col customWidth="1" min="14" max="14" width="17.75"/>
    <col customWidth="1" min="17" max="17" width="14.38"/>
    <col customWidth="1" min="20" max="20" width="13.88"/>
    <col customWidth="1" min="23" max="23" width="14.13"/>
    <col customWidth="1" min="25" max="25" width="13.88"/>
    <col customWidth="1" min="26" max="26" width="14.25"/>
    <col customWidth="1" min="28" max="28" width="13.75"/>
    <col customWidth="1" min="29" max="29" width="14.38"/>
    <col customWidth="1" min="31" max="31" width="14.0"/>
    <col customWidth="1" min="32" max="32" width="15.0"/>
    <col customWidth="1" min="35" max="35" width="13.25"/>
    <col customWidth="1" min="37" max="37" width="15.25"/>
    <col customWidth="1" min="38" max="38" width="16.38"/>
    <col customWidth="1" min="39" max="39" width="13.88"/>
    <col customWidth="1" min="41" max="41" width="14.38"/>
    <col customWidth="1" min="43" max="43" width="13.38"/>
    <col customWidth="1" min="44" max="44" width="14.13"/>
    <col customWidth="1" min="47" max="47" width="15.38"/>
    <col customWidth="1" min="49" max="49" width="14.88"/>
    <col customWidth="1" min="50" max="50" width="16.88"/>
    <col customWidth="1" min="52" max="52" width="14.75"/>
    <col customWidth="1" min="53" max="53" width="15.88"/>
    <col customWidth="1" min="62" max="62" width="17.38"/>
    <col customWidth="1" min="63" max="63" width="16.75"/>
    <col customWidth="1" min="64" max="64" width="16.63"/>
    <col customWidth="1" min="66" max="66" width="28.88"/>
    <col customWidth="1" min="67" max="69" width="17.38"/>
    <col customWidth="1" min="70" max="70" width="15.25"/>
  </cols>
  <sheetData>
    <row r="1" ht="15.75" customHeight="1">
      <c r="A1" s="1" t="s">
        <v>0</v>
      </c>
      <c r="B1" s="1" t="s">
        <v>212</v>
      </c>
      <c r="C1" s="15" t="s">
        <v>235</v>
      </c>
      <c r="D1" s="3" t="s">
        <v>2</v>
      </c>
      <c r="G1" s="3" t="s">
        <v>3</v>
      </c>
      <c r="J1" s="3" t="s">
        <v>4</v>
      </c>
      <c r="M1" s="3" t="s">
        <v>5</v>
      </c>
      <c r="P1" s="3" t="s">
        <v>6</v>
      </c>
      <c r="S1" s="3" t="s">
        <v>7</v>
      </c>
      <c r="V1" s="3" t="s">
        <v>8</v>
      </c>
      <c r="Y1" s="3" t="s">
        <v>9</v>
      </c>
      <c r="AB1" s="3" t="s">
        <v>10</v>
      </c>
      <c r="AE1" s="3" t="s">
        <v>11</v>
      </c>
      <c r="AH1" s="3" t="s">
        <v>12</v>
      </c>
      <c r="AK1" s="3" t="s">
        <v>13</v>
      </c>
      <c r="AN1" s="3" t="s">
        <v>14</v>
      </c>
      <c r="AQ1" s="3" t="s">
        <v>15</v>
      </c>
      <c r="AT1" s="3" t="s">
        <v>16</v>
      </c>
      <c r="AW1" s="3" t="s">
        <v>17</v>
      </c>
      <c r="AZ1" s="3" t="s">
        <v>18</v>
      </c>
      <c r="BC1" s="3" t="s">
        <v>19</v>
      </c>
      <c r="BF1" s="3" t="s">
        <v>20</v>
      </c>
      <c r="BI1" s="1"/>
      <c r="BK1" s="1"/>
      <c r="BL1" s="1"/>
      <c r="BM1" s="1"/>
      <c r="BN1" s="1"/>
      <c r="BO1" s="1"/>
      <c r="BP1" s="1"/>
      <c r="BS1" s="1"/>
      <c r="BT1" s="1"/>
      <c r="BU1" s="1"/>
    </row>
    <row r="2" ht="15.75" customHeight="1">
      <c r="A2" s="1"/>
      <c r="B2" s="1"/>
      <c r="C2" s="15"/>
      <c r="D2" s="1" t="s">
        <v>260</v>
      </c>
      <c r="E2" s="1" t="s">
        <v>261</v>
      </c>
      <c r="F2" s="4" t="s">
        <v>262</v>
      </c>
      <c r="G2" s="1" t="s">
        <v>263</v>
      </c>
      <c r="H2" s="1" t="s">
        <v>264</v>
      </c>
      <c r="I2" s="4" t="s">
        <v>265</v>
      </c>
      <c r="J2" s="1" t="s">
        <v>27</v>
      </c>
      <c r="K2" s="1" t="s">
        <v>28</v>
      </c>
      <c r="L2" s="5" t="s">
        <v>29</v>
      </c>
      <c r="M2" s="1" t="s">
        <v>30</v>
      </c>
      <c r="N2" s="1" t="s">
        <v>31</v>
      </c>
      <c r="O2" s="5" t="s">
        <v>32</v>
      </c>
      <c r="P2" s="1" t="s">
        <v>266</v>
      </c>
      <c r="Q2" s="1" t="s">
        <v>267</v>
      </c>
      <c r="R2" s="5" t="s">
        <v>268</v>
      </c>
      <c r="S2" s="1" t="s">
        <v>269</v>
      </c>
      <c r="T2" s="1" t="s">
        <v>270</v>
      </c>
      <c r="U2" s="5" t="s">
        <v>271</v>
      </c>
      <c r="V2" s="1" t="s">
        <v>39</v>
      </c>
      <c r="W2" s="1" t="s">
        <v>40</v>
      </c>
      <c r="X2" s="5" t="s">
        <v>41</v>
      </c>
      <c r="Y2" s="1" t="s">
        <v>42</v>
      </c>
      <c r="Z2" s="1" t="s">
        <v>43</v>
      </c>
      <c r="AA2" s="5" t="s">
        <v>44</v>
      </c>
      <c r="AB2" s="1" t="s">
        <v>272</v>
      </c>
      <c r="AC2" s="1" t="s">
        <v>273</v>
      </c>
      <c r="AD2" s="5" t="s">
        <v>274</v>
      </c>
      <c r="AE2" s="1" t="s">
        <v>275</v>
      </c>
      <c r="AF2" s="1" t="s">
        <v>276</v>
      </c>
      <c r="AG2" s="5" t="s">
        <v>277</v>
      </c>
      <c r="AH2" s="1" t="s">
        <v>51</v>
      </c>
      <c r="AI2" s="1" t="s">
        <v>52</v>
      </c>
      <c r="AJ2" s="5" t="s">
        <v>53</v>
      </c>
      <c r="AK2" s="1" t="s">
        <v>54</v>
      </c>
      <c r="AL2" s="1" t="s">
        <v>55</v>
      </c>
      <c r="AM2" s="5" t="s">
        <v>56</v>
      </c>
      <c r="AN2" s="1" t="s">
        <v>278</v>
      </c>
      <c r="AO2" s="1" t="s">
        <v>279</v>
      </c>
      <c r="AP2" s="5" t="s">
        <v>280</v>
      </c>
      <c r="AQ2" s="1" t="s">
        <v>281</v>
      </c>
      <c r="AR2" s="1" t="s">
        <v>282</v>
      </c>
      <c r="AS2" s="5" t="s">
        <v>283</v>
      </c>
      <c r="AT2" s="1" t="s">
        <v>63</v>
      </c>
      <c r="AU2" s="1" t="s">
        <v>64</v>
      </c>
      <c r="AV2" s="5" t="s">
        <v>65</v>
      </c>
      <c r="AW2" s="1" t="s">
        <v>66</v>
      </c>
      <c r="AX2" s="1" t="s">
        <v>67</v>
      </c>
      <c r="AY2" s="5" t="s">
        <v>68</v>
      </c>
      <c r="AZ2" s="1" t="s">
        <v>284</v>
      </c>
      <c r="BA2" s="1" t="s">
        <v>285</v>
      </c>
      <c r="BB2" s="5" t="s">
        <v>286</v>
      </c>
      <c r="BC2" s="1" t="s">
        <v>72</v>
      </c>
      <c r="BD2" s="1" t="s">
        <v>73</v>
      </c>
      <c r="BE2" s="5" t="s">
        <v>74</v>
      </c>
      <c r="BF2" s="1" t="s">
        <v>75</v>
      </c>
      <c r="BG2" s="1" t="s">
        <v>76</v>
      </c>
      <c r="BH2" s="5" t="s">
        <v>77</v>
      </c>
      <c r="BI2" s="1"/>
      <c r="BJ2" s="1" t="s">
        <v>213</v>
      </c>
      <c r="BK2" s="1" t="s">
        <v>214</v>
      </c>
      <c r="BL2" s="1" t="s">
        <v>215</v>
      </c>
      <c r="BM2" s="1"/>
      <c r="BN2" s="1" t="s">
        <v>216</v>
      </c>
      <c r="BO2" s="1" t="s">
        <v>294</v>
      </c>
      <c r="BP2" s="1" t="s">
        <v>295</v>
      </c>
      <c r="BS2" s="1"/>
      <c r="BT2" s="1"/>
      <c r="BU2" s="1"/>
    </row>
    <row r="3" ht="15.75" customHeight="1">
      <c r="A3" s="1" t="s">
        <v>84</v>
      </c>
      <c r="B3" s="17">
        <v>1460.0</v>
      </c>
      <c r="C3" s="17">
        <v>10.0</v>
      </c>
      <c r="D3" s="9" t="s">
        <v>85</v>
      </c>
      <c r="E3" s="9" t="s">
        <v>85</v>
      </c>
      <c r="F3" s="9" t="s">
        <v>85</v>
      </c>
      <c r="G3" s="9" t="s">
        <v>85</v>
      </c>
      <c r="H3" s="9" t="s">
        <v>85</v>
      </c>
      <c r="I3" s="9" t="s">
        <v>85</v>
      </c>
      <c r="J3" s="9" t="s">
        <v>85</v>
      </c>
      <c r="K3" s="9">
        <v>0.56</v>
      </c>
      <c r="L3" s="9" t="s">
        <v>85</v>
      </c>
      <c r="M3" s="9" t="s">
        <v>85</v>
      </c>
      <c r="N3" s="9">
        <v>0.6</v>
      </c>
      <c r="O3" s="9" t="s">
        <v>85</v>
      </c>
      <c r="P3" s="9" t="s">
        <v>85</v>
      </c>
      <c r="Q3" s="9" t="s">
        <v>85</v>
      </c>
      <c r="R3" s="9" t="s">
        <v>85</v>
      </c>
      <c r="S3" s="9" t="s">
        <v>85</v>
      </c>
      <c r="T3" s="9" t="s">
        <v>85</v>
      </c>
      <c r="U3" s="9" t="s">
        <v>85</v>
      </c>
      <c r="V3" s="9" t="s">
        <v>85</v>
      </c>
      <c r="W3" s="9">
        <v>0.5</v>
      </c>
      <c r="X3" s="9" t="s">
        <v>85</v>
      </c>
      <c r="Y3" s="9" t="s">
        <v>85</v>
      </c>
      <c r="Z3" s="9">
        <v>0.42</v>
      </c>
      <c r="AA3" s="9" t="s">
        <v>85</v>
      </c>
      <c r="AB3" s="9" t="s">
        <v>85</v>
      </c>
      <c r="AC3" s="9" t="s">
        <v>85</v>
      </c>
      <c r="AD3" s="9" t="s">
        <v>85</v>
      </c>
      <c r="AE3" s="9" t="s">
        <v>85</v>
      </c>
      <c r="AF3" s="9" t="s">
        <v>85</v>
      </c>
      <c r="AG3" s="9" t="s">
        <v>85</v>
      </c>
      <c r="AH3" s="9" t="s">
        <v>85</v>
      </c>
      <c r="AI3" s="9">
        <v>0.48</v>
      </c>
      <c r="AJ3" s="9" t="s">
        <v>85</v>
      </c>
      <c r="AK3" s="9" t="s">
        <v>85</v>
      </c>
      <c r="AL3" s="9">
        <v>0.47</v>
      </c>
      <c r="AM3" s="9" t="s">
        <v>85</v>
      </c>
      <c r="AN3" s="9" t="s">
        <v>85</v>
      </c>
      <c r="AO3" s="9" t="s">
        <v>85</v>
      </c>
      <c r="AP3" s="9" t="s">
        <v>85</v>
      </c>
      <c r="AQ3" s="9" t="s">
        <v>85</v>
      </c>
      <c r="AR3" s="9" t="s">
        <v>85</v>
      </c>
      <c r="AS3" s="9" t="s">
        <v>85</v>
      </c>
      <c r="AT3" s="9" t="s">
        <v>85</v>
      </c>
      <c r="AU3" s="9">
        <v>0.43</v>
      </c>
      <c r="AV3" s="9" t="s">
        <v>85</v>
      </c>
      <c r="AW3" s="9" t="s">
        <v>85</v>
      </c>
      <c r="AX3" s="9">
        <v>0.35</v>
      </c>
      <c r="AY3" s="9" t="s">
        <v>85</v>
      </c>
      <c r="AZ3" s="9" t="s">
        <v>85</v>
      </c>
      <c r="BA3" s="9" t="s">
        <v>85</v>
      </c>
      <c r="BB3" s="9" t="s">
        <v>85</v>
      </c>
      <c r="BC3" s="10" t="s">
        <v>85</v>
      </c>
      <c r="BD3" s="10" t="s">
        <v>85</v>
      </c>
      <c r="BE3" s="9" t="s">
        <v>85</v>
      </c>
      <c r="BF3" s="10" t="s">
        <v>85</v>
      </c>
      <c r="BG3" s="10" t="s">
        <v>85</v>
      </c>
      <c r="BH3" s="9" t="s">
        <v>85</v>
      </c>
      <c r="BI3" s="6"/>
      <c r="BJ3" s="6" t="str">
        <f t="shared" ref="BJ3:BJ100" si="1">INDEX($D$2:$BH$2,0,MATCH(MAX(D3:BH3),D3:BH3,0))</f>
        <v>5VB_Fold_Median</v>
      </c>
      <c r="BK3" s="6" t="str">
        <f t="shared" ref="BK3:BK100" si="2">INDEX($D$2:$BH$2,0,MATCH(LARGE(D3:BH3,2),D3:BH3,0))</f>
        <v>5V_Fold_Median</v>
      </c>
      <c r="BL3" s="6" t="str">
        <f t="shared" ref="BL3:BL100" si="3">INDEX($D$2:$BH$2,0,MATCH(LARGE(D3:BH3,3),D3:BH3,0))</f>
        <v>8V_Fold_Median</v>
      </c>
      <c r="BM3" s="6"/>
      <c r="BN3" s="6">
        <f>COUNTA(BJ3:BL100)</f>
        <v>294</v>
      </c>
      <c r="BO3" s="6">
        <f>COUNTIF($BJ$3:$BL$100,"*V_*")</f>
        <v>185</v>
      </c>
      <c r="BP3" s="6">
        <f>COUNTIF($BJ$3:$BL$100,"*VB_*")</f>
        <v>109</v>
      </c>
      <c r="BR3" s="6"/>
      <c r="BS3" s="6"/>
      <c r="BT3" s="6"/>
      <c r="BU3" s="6"/>
    </row>
    <row r="4" ht="15.75" customHeight="1">
      <c r="A4" s="1" t="s">
        <v>89</v>
      </c>
      <c r="B4" s="17">
        <v>176.0</v>
      </c>
      <c r="C4" s="17">
        <v>37.0</v>
      </c>
      <c r="D4" s="9" t="s">
        <v>85</v>
      </c>
      <c r="E4" s="9" t="s">
        <v>85</v>
      </c>
      <c r="F4" s="9" t="s">
        <v>85</v>
      </c>
      <c r="G4" s="9" t="s">
        <v>85</v>
      </c>
      <c r="H4" s="9" t="s">
        <v>85</v>
      </c>
      <c r="I4" s="9" t="s">
        <v>85</v>
      </c>
      <c r="J4" s="9" t="s">
        <v>85</v>
      </c>
      <c r="K4" s="9">
        <v>0.186701</v>
      </c>
      <c r="L4" s="9" t="s">
        <v>85</v>
      </c>
      <c r="M4" s="9" t="s">
        <v>85</v>
      </c>
      <c r="N4" s="9">
        <v>0.074169</v>
      </c>
      <c r="O4" s="9" t="s">
        <v>85</v>
      </c>
      <c r="P4" s="9" t="s">
        <v>85</v>
      </c>
      <c r="Q4" s="9" t="s">
        <v>85</v>
      </c>
      <c r="R4" s="9" t="s">
        <v>85</v>
      </c>
      <c r="S4" s="9" t="s">
        <v>85</v>
      </c>
      <c r="T4" s="9" t="s">
        <v>85</v>
      </c>
      <c r="U4" s="9" t="s">
        <v>85</v>
      </c>
      <c r="V4" s="9" t="s">
        <v>85</v>
      </c>
      <c r="W4" s="9">
        <v>0.199488</v>
      </c>
      <c r="X4" s="9" t="s">
        <v>85</v>
      </c>
      <c r="Y4" s="9" t="s">
        <v>85</v>
      </c>
      <c r="Z4" s="9">
        <v>0.219949</v>
      </c>
      <c r="AA4" s="9" t="s">
        <v>85</v>
      </c>
      <c r="AB4" s="9" t="s">
        <v>85</v>
      </c>
      <c r="AC4" s="9" t="s">
        <v>85</v>
      </c>
      <c r="AD4" s="9" t="s">
        <v>85</v>
      </c>
      <c r="AE4" s="9" t="s">
        <v>85</v>
      </c>
      <c r="AF4" s="9" t="s">
        <v>85</v>
      </c>
      <c r="AG4" s="9" t="s">
        <v>85</v>
      </c>
      <c r="AH4" s="9" t="s">
        <v>85</v>
      </c>
      <c r="AI4" s="9">
        <v>0.069054</v>
      </c>
      <c r="AJ4" s="9" t="s">
        <v>85</v>
      </c>
      <c r="AK4" s="9" t="s">
        <v>85</v>
      </c>
      <c r="AL4" s="9">
        <v>0.150895</v>
      </c>
      <c r="AM4" s="9" t="s">
        <v>85</v>
      </c>
      <c r="AN4" s="9" t="s">
        <v>85</v>
      </c>
      <c r="AO4" s="9" t="s">
        <v>85</v>
      </c>
      <c r="AP4" s="9" t="s">
        <v>85</v>
      </c>
      <c r="AQ4" s="9" t="s">
        <v>85</v>
      </c>
      <c r="AR4" s="9" t="s">
        <v>85</v>
      </c>
      <c r="AS4" s="9" t="s">
        <v>85</v>
      </c>
      <c r="AT4" s="9" t="s">
        <v>85</v>
      </c>
      <c r="AU4" s="9">
        <v>0.063939</v>
      </c>
      <c r="AV4" s="9" t="s">
        <v>85</v>
      </c>
      <c r="AW4" s="9" t="s">
        <v>85</v>
      </c>
      <c r="AX4" s="9">
        <v>0.140665</v>
      </c>
      <c r="AY4" s="9" t="s">
        <v>85</v>
      </c>
      <c r="AZ4" s="9" t="s">
        <v>85</v>
      </c>
      <c r="BA4" s="9" t="s">
        <v>85</v>
      </c>
      <c r="BB4" s="9" t="s">
        <v>85</v>
      </c>
      <c r="BC4" s="10" t="s">
        <v>85</v>
      </c>
      <c r="BD4" s="10" t="s">
        <v>85</v>
      </c>
      <c r="BE4" s="9" t="s">
        <v>85</v>
      </c>
      <c r="BF4" s="10" t="s">
        <v>85</v>
      </c>
      <c r="BG4" s="10" t="s">
        <v>85</v>
      </c>
      <c r="BH4" s="9" t="s">
        <v>85</v>
      </c>
      <c r="BI4" s="6"/>
      <c r="BJ4" s="6" t="str">
        <f t="shared" si="1"/>
        <v>8VB_Fold_Median</v>
      </c>
      <c r="BK4" s="6" t="str">
        <f t="shared" si="2"/>
        <v>8V_Fold_Median</v>
      </c>
      <c r="BL4" s="6" t="str">
        <f t="shared" si="3"/>
        <v>5V_Fold_Median</v>
      </c>
      <c r="BM4" s="6"/>
      <c r="BN4" s="6"/>
      <c r="BO4" s="6"/>
      <c r="BP4" s="6"/>
      <c r="BQ4" s="6"/>
      <c r="BR4" s="6"/>
      <c r="BS4" s="6"/>
      <c r="BT4" s="6"/>
      <c r="BU4" s="6"/>
    </row>
    <row r="5" ht="15.75" customHeight="1">
      <c r="A5" s="1" t="s">
        <v>91</v>
      </c>
      <c r="B5" s="17">
        <v>251.0</v>
      </c>
      <c r="C5" s="17">
        <v>3.0</v>
      </c>
      <c r="D5" s="9" t="s">
        <v>85</v>
      </c>
      <c r="E5" s="9" t="s">
        <v>85</v>
      </c>
      <c r="F5" s="9" t="s">
        <v>85</v>
      </c>
      <c r="G5" s="9" t="s">
        <v>85</v>
      </c>
      <c r="H5" s="9" t="s">
        <v>85</v>
      </c>
      <c r="I5" s="9" t="s">
        <v>85</v>
      </c>
      <c r="J5" s="9" t="s">
        <v>85</v>
      </c>
      <c r="K5" s="9">
        <v>0.668571</v>
      </c>
      <c r="L5" s="9" t="s">
        <v>85</v>
      </c>
      <c r="M5" s="9" t="s">
        <v>85</v>
      </c>
      <c r="N5" s="9">
        <v>0.68</v>
      </c>
      <c r="O5" s="9" t="s">
        <v>85</v>
      </c>
      <c r="P5" s="9" t="s">
        <v>85</v>
      </c>
      <c r="Q5" s="9" t="s">
        <v>85</v>
      </c>
      <c r="R5" s="9" t="s">
        <v>85</v>
      </c>
      <c r="S5" s="9" t="s">
        <v>85</v>
      </c>
      <c r="T5" s="9" t="s">
        <v>85</v>
      </c>
      <c r="U5" s="9" t="s">
        <v>85</v>
      </c>
      <c r="V5" s="9" t="s">
        <v>85</v>
      </c>
      <c r="W5" s="9">
        <v>0.68</v>
      </c>
      <c r="X5" s="9" t="s">
        <v>85</v>
      </c>
      <c r="Y5" s="9" t="s">
        <v>85</v>
      </c>
      <c r="Z5" s="9">
        <v>0.697143</v>
      </c>
      <c r="AA5" s="9" t="s">
        <v>85</v>
      </c>
      <c r="AB5" s="9" t="s">
        <v>85</v>
      </c>
      <c r="AC5" s="9" t="s">
        <v>85</v>
      </c>
      <c r="AD5" s="9" t="s">
        <v>85</v>
      </c>
      <c r="AE5" s="9" t="s">
        <v>85</v>
      </c>
      <c r="AF5" s="9" t="s">
        <v>85</v>
      </c>
      <c r="AG5" s="9" t="s">
        <v>85</v>
      </c>
      <c r="AH5" s="9" t="s">
        <v>85</v>
      </c>
      <c r="AI5" s="9">
        <v>0.6</v>
      </c>
      <c r="AJ5" s="9" t="s">
        <v>85</v>
      </c>
      <c r="AK5" s="9" t="s">
        <v>85</v>
      </c>
      <c r="AL5" s="9">
        <v>0.691429</v>
      </c>
      <c r="AM5" s="9" t="s">
        <v>85</v>
      </c>
      <c r="AN5" s="9" t="s">
        <v>85</v>
      </c>
      <c r="AO5" s="9" t="s">
        <v>85</v>
      </c>
      <c r="AP5" s="9" t="s">
        <v>85</v>
      </c>
      <c r="AQ5" s="9" t="s">
        <v>85</v>
      </c>
      <c r="AR5" s="9" t="s">
        <v>85</v>
      </c>
      <c r="AS5" s="9" t="s">
        <v>85</v>
      </c>
      <c r="AT5" s="9" t="s">
        <v>85</v>
      </c>
      <c r="AU5" s="9">
        <v>0.714286</v>
      </c>
      <c r="AV5" s="9" t="s">
        <v>85</v>
      </c>
      <c r="AW5" s="9" t="s">
        <v>85</v>
      </c>
      <c r="AX5" s="9">
        <v>0.737143</v>
      </c>
      <c r="AY5" s="9" t="s">
        <v>85</v>
      </c>
      <c r="AZ5" s="9" t="s">
        <v>85</v>
      </c>
      <c r="BA5" s="9" t="s">
        <v>85</v>
      </c>
      <c r="BB5" s="9" t="s">
        <v>85</v>
      </c>
      <c r="BC5" s="10" t="s">
        <v>85</v>
      </c>
      <c r="BD5" s="10" t="s">
        <v>85</v>
      </c>
      <c r="BE5" s="9" t="s">
        <v>85</v>
      </c>
      <c r="BF5" s="10" t="s">
        <v>85</v>
      </c>
      <c r="BG5" s="10" t="s">
        <v>85</v>
      </c>
      <c r="BH5" s="9" t="s">
        <v>85</v>
      </c>
      <c r="BI5" s="6"/>
      <c r="BJ5" s="6" t="str">
        <f t="shared" si="1"/>
        <v>12VB_Fold_Median</v>
      </c>
      <c r="BK5" s="6" t="str">
        <f t="shared" si="2"/>
        <v>12V_Fold_Median</v>
      </c>
      <c r="BL5" s="6" t="str">
        <f t="shared" si="3"/>
        <v>8VB_Fold_Median</v>
      </c>
      <c r="BM5" s="6"/>
      <c r="BN5" s="1" t="s">
        <v>248</v>
      </c>
      <c r="BQ5" s="6"/>
      <c r="BR5" s="6"/>
      <c r="BS5" s="6"/>
      <c r="BT5" s="6"/>
      <c r="BU5" s="6"/>
    </row>
    <row r="6" ht="15.75" customHeight="1">
      <c r="A6" s="1" t="s">
        <v>93</v>
      </c>
      <c r="B6" s="17">
        <v>470.0</v>
      </c>
      <c r="C6" s="17">
        <v>5.0</v>
      </c>
      <c r="D6" s="9" t="s">
        <v>85</v>
      </c>
      <c r="E6" s="9" t="s">
        <v>85</v>
      </c>
      <c r="F6" s="9" t="s">
        <v>85</v>
      </c>
      <c r="G6" s="9" t="s">
        <v>85</v>
      </c>
      <c r="H6" s="9" t="s">
        <v>85</v>
      </c>
      <c r="I6" s="9" t="s">
        <v>85</v>
      </c>
      <c r="J6" s="9" t="s">
        <v>85</v>
      </c>
      <c r="K6" s="9">
        <v>0.366667</v>
      </c>
      <c r="L6" s="9" t="s">
        <v>85</v>
      </c>
      <c r="M6" s="9" t="s">
        <v>85</v>
      </c>
      <c r="N6" s="9">
        <v>0.333333</v>
      </c>
      <c r="O6" s="9" t="s">
        <v>85</v>
      </c>
      <c r="P6" s="9" t="s">
        <v>85</v>
      </c>
      <c r="Q6" s="9" t="s">
        <v>85</v>
      </c>
      <c r="R6" s="9" t="s">
        <v>85</v>
      </c>
      <c r="S6" s="9" t="s">
        <v>85</v>
      </c>
      <c r="T6" s="9" t="s">
        <v>85</v>
      </c>
      <c r="U6" s="9" t="s">
        <v>85</v>
      </c>
      <c r="V6" s="9" t="s">
        <v>85</v>
      </c>
      <c r="W6" s="9">
        <v>0.4</v>
      </c>
      <c r="X6" s="9" t="s">
        <v>85</v>
      </c>
      <c r="Y6" s="9" t="s">
        <v>85</v>
      </c>
      <c r="Z6" s="9">
        <v>0.466667</v>
      </c>
      <c r="AA6" s="9" t="s">
        <v>85</v>
      </c>
      <c r="AB6" s="9" t="s">
        <v>85</v>
      </c>
      <c r="AC6" s="9" t="s">
        <v>85</v>
      </c>
      <c r="AD6" s="9" t="s">
        <v>85</v>
      </c>
      <c r="AE6" s="9" t="s">
        <v>85</v>
      </c>
      <c r="AF6" s="9" t="s">
        <v>85</v>
      </c>
      <c r="AG6" s="9" t="s">
        <v>85</v>
      </c>
      <c r="AH6" s="9" t="s">
        <v>85</v>
      </c>
      <c r="AI6" s="9">
        <v>0.466667</v>
      </c>
      <c r="AJ6" s="9" t="s">
        <v>85</v>
      </c>
      <c r="AK6" s="9" t="s">
        <v>85</v>
      </c>
      <c r="AL6" s="9">
        <v>0.433333</v>
      </c>
      <c r="AM6" s="9" t="s">
        <v>85</v>
      </c>
      <c r="AN6" s="9" t="s">
        <v>85</v>
      </c>
      <c r="AO6" s="9" t="s">
        <v>85</v>
      </c>
      <c r="AP6" s="9" t="s">
        <v>85</v>
      </c>
      <c r="AQ6" s="9" t="s">
        <v>85</v>
      </c>
      <c r="AR6" s="9" t="s">
        <v>85</v>
      </c>
      <c r="AS6" s="9" t="s">
        <v>85</v>
      </c>
      <c r="AT6" s="9" t="s">
        <v>85</v>
      </c>
      <c r="AU6" s="9">
        <v>0.4</v>
      </c>
      <c r="AV6" s="9" t="s">
        <v>85</v>
      </c>
      <c r="AW6" s="9" t="s">
        <v>85</v>
      </c>
      <c r="AX6" s="9">
        <v>0.4</v>
      </c>
      <c r="AY6" s="9" t="s">
        <v>85</v>
      </c>
      <c r="AZ6" s="9" t="s">
        <v>85</v>
      </c>
      <c r="BA6" s="9" t="s">
        <v>85</v>
      </c>
      <c r="BB6" s="9" t="s">
        <v>85</v>
      </c>
      <c r="BC6" s="10" t="s">
        <v>85</v>
      </c>
      <c r="BD6" s="10" t="s">
        <v>85</v>
      </c>
      <c r="BE6" s="9" t="s">
        <v>85</v>
      </c>
      <c r="BF6" s="10" t="s">
        <v>85</v>
      </c>
      <c r="BG6" s="10" t="s">
        <v>85</v>
      </c>
      <c r="BH6" s="9" t="s">
        <v>85</v>
      </c>
      <c r="BI6" s="6"/>
      <c r="BJ6" s="6" t="str">
        <f t="shared" si="1"/>
        <v>8VB_Fold_Median</v>
      </c>
      <c r="BK6" s="6" t="str">
        <f t="shared" si="2"/>
        <v>8VB_Fold_Median</v>
      </c>
      <c r="BL6" s="6" t="str">
        <f t="shared" si="3"/>
        <v>10VB_Fold_Median</v>
      </c>
      <c r="BM6" s="6"/>
      <c r="BN6" s="1" t="s">
        <v>213</v>
      </c>
      <c r="BO6" s="6" t="s">
        <v>249</v>
      </c>
      <c r="BP6" s="6"/>
      <c r="BQ6" s="6"/>
      <c r="BR6" s="6"/>
      <c r="BS6" s="6"/>
      <c r="BT6" s="6"/>
      <c r="BU6" s="6"/>
    </row>
    <row r="7" ht="15.75" customHeight="1">
      <c r="A7" s="1" t="s">
        <v>95</v>
      </c>
      <c r="B7" s="17">
        <v>512.0</v>
      </c>
      <c r="C7" s="17">
        <v>2.0</v>
      </c>
      <c r="D7" s="9" t="s">
        <v>85</v>
      </c>
      <c r="E7" s="9" t="s">
        <v>85</v>
      </c>
      <c r="F7" s="9" t="s">
        <v>85</v>
      </c>
      <c r="G7" s="9" t="s">
        <v>85</v>
      </c>
      <c r="H7" s="9" t="s">
        <v>85</v>
      </c>
      <c r="I7" s="9" t="s">
        <v>85</v>
      </c>
      <c r="J7" s="9" t="s">
        <v>85</v>
      </c>
      <c r="K7" s="9">
        <v>0.7</v>
      </c>
      <c r="L7" s="9" t="s">
        <v>85</v>
      </c>
      <c r="M7" s="9" t="s">
        <v>85</v>
      </c>
      <c r="N7" s="9">
        <v>0.75</v>
      </c>
      <c r="O7" s="9" t="s">
        <v>85</v>
      </c>
      <c r="P7" s="9" t="s">
        <v>85</v>
      </c>
      <c r="Q7" s="9" t="s">
        <v>85</v>
      </c>
      <c r="R7" s="9" t="s">
        <v>85</v>
      </c>
      <c r="S7" s="9" t="s">
        <v>85</v>
      </c>
      <c r="T7" s="9" t="s">
        <v>85</v>
      </c>
      <c r="U7" s="9" t="s">
        <v>85</v>
      </c>
      <c r="V7" s="9" t="s">
        <v>85</v>
      </c>
      <c r="W7" s="9">
        <v>0.65</v>
      </c>
      <c r="X7" s="9" t="s">
        <v>85</v>
      </c>
      <c r="Y7" s="9" t="s">
        <v>85</v>
      </c>
      <c r="Z7" s="9">
        <v>0.65</v>
      </c>
      <c r="AA7" s="9" t="s">
        <v>85</v>
      </c>
      <c r="AB7" s="9" t="s">
        <v>85</v>
      </c>
      <c r="AC7" s="9" t="s">
        <v>85</v>
      </c>
      <c r="AD7" s="9" t="s">
        <v>85</v>
      </c>
      <c r="AE7" s="9" t="s">
        <v>85</v>
      </c>
      <c r="AF7" s="9" t="s">
        <v>85</v>
      </c>
      <c r="AG7" s="9" t="s">
        <v>85</v>
      </c>
      <c r="AH7" s="9" t="s">
        <v>85</v>
      </c>
      <c r="AI7" s="9">
        <v>0.65</v>
      </c>
      <c r="AJ7" s="9" t="s">
        <v>85</v>
      </c>
      <c r="AK7" s="9" t="s">
        <v>85</v>
      </c>
      <c r="AL7" s="9">
        <v>0.65</v>
      </c>
      <c r="AM7" s="9" t="s">
        <v>85</v>
      </c>
      <c r="AN7" s="9" t="s">
        <v>85</v>
      </c>
      <c r="AO7" s="9" t="s">
        <v>85</v>
      </c>
      <c r="AP7" s="9" t="s">
        <v>85</v>
      </c>
      <c r="AQ7" s="9" t="s">
        <v>85</v>
      </c>
      <c r="AR7" s="9" t="s">
        <v>85</v>
      </c>
      <c r="AS7" s="9" t="s">
        <v>85</v>
      </c>
      <c r="AT7" s="9" t="s">
        <v>85</v>
      </c>
      <c r="AU7" s="9">
        <v>0.8</v>
      </c>
      <c r="AV7" s="9" t="s">
        <v>85</v>
      </c>
      <c r="AW7" s="9" t="s">
        <v>85</v>
      </c>
      <c r="AX7" s="9">
        <v>0.8</v>
      </c>
      <c r="AY7" s="9" t="s">
        <v>85</v>
      </c>
      <c r="AZ7" s="9" t="s">
        <v>85</v>
      </c>
      <c r="BA7" s="9" t="s">
        <v>85</v>
      </c>
      <c r="BB7" s="9" t="s">
        <v>85</v>
      </c>
      <c r="BC7" s="10" t="s">
        <v>85</v>
      </c>
      <c r="BD7" s="10" t="s">
        <v>85</v>
      </c>
      <c r="BE7" s="9" t="s">
        <v>85</v>
      </c>
      <c r="BF7" s="10" t="s">
        <v>85</v>
      </c>
      <c r="BG7" s="10" t="s">
        <v>85</v>
      </c>
      <c r="BH7" s="9" t="s">
        <v>85</v>
      </c>
      <c r="BI7" s="6"/>
      <c r="BJ7" s="6" t="str">
        <f t="shared" si="1"/>
        <v>12V_Fold_Median</v>
      </c>
      <c r="BK7" s="6" t="str">
        <f t="shared" si="2"/>
        <v>12V_Fold_Median</v>
      </c>
      <c r="BL7" s="6" t="str">
        <f t="shared" si="3"/>
        <v>5VB_Fold_Median</v>
      </c>
      <c r="BM7" s="6"/>
      <c r="BO7" s="6">
        <f>COUNTIF(BJ3:BJ100,"*5*")</f>
        <v>35</v>
      </c>
      <c r="BP7" s="6">
        <f>COUNTIF(BJ3:BJ100,"*8*")</f>
        <v>25</v>
      </c>
      <c r="BQ7" s="6">
        <f>COUNTIF(BJ3:BJ100,"*10*")</f>
        <v>16</v>
      </c>
      <c r="BR7" s="6">
        <f>COUNTIF(BJ3:BJ100,"*12*")</f>
        <v>22</v>
      </c>
      <c r="BS7" s="6">
        <f>COUNTIF(BJ3:BJ100,"*20*")</f>
        <v>0</v>
      </c>
      <c r="BT7" s="6"/>
      <c r="BU7" s="6"/>
    </row>
    <row r="8" ht="15.75" customHeight="1">
      <c r="A8" s="1" t="s">
        <v>97</v>
      </c>
      <c r="B8" s="17">
        <v>512.0</v>
      </c>
      <c r="C8" s="17">
        <v>2.0</v>
      </c>
      <c r="D8" s="9" t="s">
        <v>85</v>
      </c>
      <c r="E8" s="9" t="s">
        <v>85</v>
      </c>
      <c r="F8" s="9" t="s">
        <v>85</v>
      </c>
      <c r="G8" s="9" t="s">
        <v>85</v>
      </c>
      <c r="H8" s="9" t="s">
        <v>85</v>
      </c>
      <c r="I8" s="9" t="s">
        <v>85</v>
      </c>
      <c r="J8" s="9" t="s">
        <v>85</v>
      </c>
      <c r="K8" s="9">
        <v>0.8</v>
      </c>
      <c r="L8" s="9" t="s">
        <v>85</v>
      </c>
      <c r="M8" s="9" t="s">
        <v>85</v>
      </c>
      <c r="N8" s="9">
        <v>0.7</v>
      </c>
      <c r="O8" s="9" t="s">
        <v>85</v>
      </c>
      <c r="P8" s="9" t="s">
        <v>85</v>
      </c>
      <c r="Q8" s="9" t="s">
        <v>85</v>
      </c>
      <c r="R8" s="9" t="s">
        <v>85</v>
      </c>
      <c r="S8" s="9" t="s">
        <v>85</v>
      </c>
      <c r="T8" s="9" t="s">
        <v>85</v>
      </c>
      <c r="U8" s="9" t="s">
        <v>85</v>
      </c>
      <c r="V8" s="9" t="s">
        <v>85</v>
      </c>
      <c r="W8" s="9">
        <v>0.7</v>
      </c>
      <c r="X8" s="9" t="s">
        <v>85</v>
      </c>
      <c r="Y8" s="9" t="s">
        <v>85</v>
      </c>
      <c r="Z8" s="9">
        <v>0.7</v>
      </c>
      <c r="AA8" s="9" t="s">
        <v>85</v>
      </c>
      <c r="AB8" s="9" t="s">
        <v>85</v>
      </c>
      <c r="AC8" s="9" t="s">
        <v>85</v>
      </c>
      <c r="AD8" s="9" t="s">
        <v>85</v>
      </c>
      <c r="AE8" s="9" t="s">
        <v>85</v>
      </c>
      <c r="AF8" s="9" t="s">
        <v>85</v>
      </c>
      <c r="AG8" s="9" t="s">
        <v>85</v>
      </c>
      <c r="AH8" s="9" t="s">
        <v>85</v>
      </c>
      <c r="AI8" s="9">
        <v>0.85</v>
      </c>
      <c r="AJ8" s="9" t="s">
        <v>85</v>
      </c>
      <c r="AK8" s="9" t="s">
        <v>85</v>
      </c>
      <c r="AL8" s="9">
        <v>0.8</v>
      </c>
      <c r="AM8" s="9" t="s">
        <v>85</v>
      </c>
      <c r="AN8" s="9" t="s">
        <v>85</v>
      </c>
      <c r="AO8" s="9" t="s">
        <v>85</v>
      </c>
      <c r="AP8" s="9" t="s">
        <v>85</v>
      </c>
      <c r="AQ8" s="9" t="s">
        <v>85</v>
      </c>
      <c r="AR8" s="9" t="s">
        <v>85</v>
      </c>
      <c r="AS8" s="9" t="s">
        <v>85</v>
      </c>
      <c r="AT8" s="9" t="s">
        <v>85</v>
      </c>
      <c r="AU8" s="9">
        <v>0.7</v>
      </c>
      <c r="AV8" s="9" t="s">
        <v>85</v>
      </c>
      <c r="AW8" s="9" t="s">
        <v>85</v>
      </c>
      <c r="AX8" s="9">
        <v>0.7</v>
      </c>
      <c r="AY8" s="9" t="s">
        <v>85</v>
      </c>
      <c r="AZ8" s="9" t="s">
        <v>85</v>
      </c>
      <c r="BA8" s="9" t="s">
        <v>85</v>
      </c>
      <c r="BB8" s="9" t="s">
        <v>85</v>
      </c>
      <c r="BC8" s="10" t="s">
        <v>85</v>
      </c>
      <c r="BD8" s="10" t="s">
        <v>85</v>
      </c>
      <c r="BE8" s="9" t="s">
        <v>85</v>
      </c>
      <c r="BF8" s="10" t="s">
        <v>85</v>
      </c>
      <c r="BG8" s="10" t="s">
        <v>85</v>
      </c>
      <c r="BH8" s="9" t="s">
        <v>85</v>
      </c>
      <c r="BI8" s="6"/>
      <c r="BJ8" s="6" t="str">
        <f t="shared" si="1"/>
        <v>10V_Fold_Median</v>
      </c>
      <c r="BK8" s="6" t="str">
        <f t="shared" si="2"/>
        <v>5V_Fold_Median</v>
      </c>
      <c r="BL8" s="6" t="str">
        <f t="shared" si="3"/>
        <v>5V_Fold_Median</v>
      </c>
      <c r="BM8" s="6"/>
      <c r="BN8" s="6"/>
      <c r="BO8" s="6" t="s">
        <v>250</v>
      </c>
      <c r="BP8" s="6" t="s">
        <v>251</v>
      </c>
      <c r="BQ8" s="6" t="s">
        <v>252</v>
      </c>
      <c r="BR8" s="6" t="s">
        <v>253</v>
      </c>
      <c r="BS8" s="6" t="s">
        <v>254</v>
      </c>
      <c r="BT8" s="6"/>
      <c r="BU8" s="6"/>
    </row>
    <row r="9" ht="15.75" customHeight="1">
      <c r="A9" s="1" t="s">
        <v>98</v>
      </c>
      <c r="B9" s="17">
        <v>128.0</v>
      </c>
      <c r="C9" s="17">
        <v>3.0</v>
      </c>
      <c r="D9" s="9" t="s">
        <v>85</v>
      </c>
      <c r="E9" s="9" t="s">
        <v>85</v>
      </c>
      <c r="F9" s="9" t="s">
        <v>85</v>
      </c>
      <c r="G9" s="9" t="s">
        <v>85</v>
      </c>
      <c r="H9" s="9" t="s">
        <v>85</v>
      </c>
      <c r="I9" s="9" t="s">
        <v>85</v>
      </c>
      <c r="J9" s="9" t="s">
        <v>85</v>
      </c>
      <c r="K9" s="9">
        <v>0.953333</v>
      </c>
      <c r="L9" s="9" t="s">
        <v>85</v>
      </c>
      <c r="M9" s="9" t="s">
        <v>85</v>
      </c>
      <c r="N9" s="9">
        <v>0.96</v>
      </c>
      <c r="O9" s="9" t="s">
        <v>85</v>
      </c>
      <c r="P9" s="9" t="s">
        <v>85</v>
      </c>
      <c r="Q9" s="9" t="s">
        <v>85</v>
      </c>
      <c r="R9" s="9" t="s">
        <v>85</v>
      </c>
      <c r="S9" s="9" t="s">
        <v>85</v>
      </c>
      <c r="T9" s="9" t="s">
        <v>85</v>
      </c>
      <c r="U9" s="9" t="s">
        <v>85</v>
      </c>
      <c r="V9" s="9" t="s">
        <v>85</v>
      </c>
      <c r="W9" s="9">
        <v>0.92</v>
      </c>
      <c r="X9" s="9" t="s">
        <v>85</v>
      </c>
      <c r="Y9" s="9" t="s">
        <v>85</v>
      </c>
      <c r="Z9" s="9">
        <v>0.953333</v>
      </c>
      <c r="AA9" s="9" t="s">
        <v>85</v>
      </c>
      <c r="AB9" s="9" t="s">
        <v>85</v>
      </c>
      <c r="AC9" s="9" t="s">
        <v>85</v>
      </c>
      <c r="AD9" s="9" t="s">
        <v>85</v>
      </c>
      <c r="AE9" s="9" t="s">
        <v>85</v>
      </c>
      <c r="AF9" s="9" t="s">
        <v>85</v>
      </c>
      <c r="AG9" s="9" t="s">
        <v>85</v>
      </c>
      <c r="AH9" s="9" t="s">
        <v>85</v>
      </c>
      <c r="AI9" s="9">
        <v>0.933333</v>
      </c>
      <c r="AJ9" s="9" t="s">
        <v>85</v>
      </c>
      <c r="AK9" s="9" t="s">
        <v>85</v>
      </c>
      <c r="AL9" s="9">
        <v>0.92</v>
      </c>
      <c r="AM9" s="9" t="s">
        <v>85</v>
      </c>
      <c r="AN9" s="9" t="s">
        <v>85</v>
      </c>
      <c r="AO9" s="9" t="s">
        <v>85</v>
      </c>
      <c r="AP9" s="9" t="s">
        <v>85</v>
      </c>
      <c r="AQ9" s="9" t="s">
        <v>85</v>
      </c>
      <c r="AR9" s="9" t="s">
        <v>85</v>
      </c>
      <c r="AS9" s="9" t="s">
        <v>85</v>
      </c>
      <c r="AT9" s="9" t="s">
        <v>85</v>
      </c>
      <c r="AU9" s="9">
        <v>0.866667</v>
      </c>
      <c r="AV9" s="9" t="s">
        <v>85</v>
      </c>
      <c r="AW9" s="9" t="s">
        <v>85</v>
      </c>
      <c r="AX9" s="9">
        <v>0.906667</v>
      </c>
      <c r="AY9" s="9" t="s">
        <v>85</v>
      </c>
      <c r="AZ9" s="9" t="s">
        <v>85</v>
      </c>
      <c r="BA9" s="9" t="s">
        <v>85</v>
      </c>
      <c r="BB9" s="9" t="s">
        <v>85</v>
      </c>
      <c r="BC9" s="10" t="s">
        <v>85</v>
      </c>
      <c r="BD9" s="10" t="s">
        <v>85</v>
      </c>
      <c r="BE9" s="9" t="s">
        <v>85</v>
      </c>
      <c r="BF9" s="10" t="s">
        <v>85</v>
      </c>
      <c r="BG9" s="10" t="s">
        <v>85</v>
      </c>
      <c r="BH9" s="9" t="s">
        <v>85</v>
      </c>
      <c r="BI9" s="6"/>
      <c r="BJ9" s="6" t="str">
        <f t="shared" si="1"/>
        <v>5VB_Fold_Median</v>
      </c>
      <c r="BK9" s="6" t="str">
        <f t="shared" si="2"/>
        <v>5V_Fold_Median</v>
      </c>
      <c r="BL9" s="6" t="str">
        <f t="shared" si="3"/>
        <v>5V_Fold_Median</v>
      </c>
      <c r="BM9" s="6"/>
      <c r="BN9" s="6" t="s">
        <v>296</v>
      </c>
      <c r="BO9" s="18">
        <f>COUNTIFS($BJ$3:$BJ$100,"*5*",$BJ$3:$BJ$100,"**V_*")</f>
        <v>25</v>
      </c>
      <c r="BP9" s="18">
        <f>COUNTIFS($BJ$3:$BJ$100,"*8*",$BJ$3:$BJ$100,"**V_*")</f>
        <v>17</v>
      </c>
      <c r="BQ9" s="18">
        <f>COUNTIFS($BJ$3:$BJ$100,"*10*",$BJ$3:$BJ$100,"*V_*")</f>
        <v>4</v>
      </c>
      <c r="BR9" s="18">
        <f>COUNTIFS($BJ$3:$BJ$100,"*12*",$BJ$3:$BJ$100,"*V_*")</f>
        <v>11</v>
      </c>
      <c r="BS9" s="18">
        <f>COUNTIFS($BJ$3:$BJ$100,"*20*",$BJ$3:$BJ$100,"*V_*")</f>
        <v>0</v>
      </c>
      <c r="BT9" s="6">
        <f t="shared" ref="BT9:BT10" si="4">SUM(BO9:BS9)</f>
        <v>57</v>
      </c>
      <c r="BU9" s="6"/>
    </row>
    <row r="10" ht="15.75" customHeight="1">
      <c r="A10" s="1" t="s">
        <v>99</v>
      </c>
      <c r="B10" s="17">
        <v>577.0</v>
      </c>
      <c r="C10" s="17">
        <v>4.0</v>
      </c>
      <c r="D10" s="9" t="s">
        <v>85</v>
      </c>
      <c r="E10" s="9" t="s">
        <v>85</v>
      </c>
      <c r="F10" s="9" t="s">
        <v>85</v>
      </c>
      <c r="G10" s="9" t="s">
        <v>85</v>
      </c>
      <c r="H10" s="9" t="s">
        <v>85</v>
      </c>
      <c r="I10" s="9" t="s">
        <v>85</v>
      </c>
      <c r="J10" s="9" t="s">
        <v>85</v>
      </c>
      <c r="K10" s="9">
        <v>0.683333</v>
      </c>
      <c r="L10" s="9" t="s">
        <v>85</v>
      </c>
      <c r="M10" s="9" t="s">
        <v>85</v>
      </c>
      <c r="N10" s="9">
        <v>0.633333</v>
      </c>
      <c r="O10" s="9" t="s">
        <v>85</v>
      </c>
      <c r="P10" s="9" t="s">
        <v>85</v>
      </c>
      <c r="Q10" s="9" t="s">
        <v>85</v>
      </c>
      <c r="R10" s="9" t="s">
        <v>85</v>
      </c>
      <c r="S10" s="9" t="s">
        <v>85</v>
      </c>
      <c r="T10" s="9" t="s">
        <v>85</v>
      </c>
      <c r="U10" s="9" t="s">
        <v>85</v>
      </c>
      <c r="V10" s="9" t="s">
        <v>85</v>
      </c>
      <c r="W10" s="9">
        <v>0.65</v>
      </c>
      <c r="X10" s="9" t="s">
        <v>85</v>
      </c>
      <c r="Y10" s="9" t="s">
        <v>85</v>
      </c>
      <c r="Z10" s="9">
        <v>0.616667</v>
      </c>
      <c r="AA10" s="9" t="s">
        <v>85</v>
      </c>
      <c r="AB10" s="9" t="s">
        <v>85</v>
      </c>
      <c r="AC10" s="9" t="s">
        <v>85</v>
      </c>
      <c r="AD10" s="9" t="s">
        <v>85</v>
      </c>
      <c r="AE10" s="9" t="s">
        <v>85</v>
      </c>
      <c r="AF10" s="9" t="s">
        <v>85</v>
      </c>
      <c r="AG10" s="9" t="s">
        <v>85</v>
      </c>
      <c r="AH10" s="9" t="s">
        <v>85</v>
      </c>
      <c r="AI10" s="9">
        <v>0.633333</v>
      </c>
      <c r="AJ10" s="9" t="s">
        <v>85</v>
      </c>
      <c r="AK10" s="9" t="s">
        <v>85</v>
      </c>
      <c r="AL10" s="9">
        <v>0.666667</v>
      </c>
      <c r="AM10" s="9" t="s">
        <v>85</v>
      </c>
      <c r="AN10" s="9" t="s">
        <v>85</v>
      </c>
      <c r="AO10" s="9" t="s">
        <v>85</v>
      </c>
      <c r="AP10" s="9" t="s">
        <v>85</v>
      </c>
      <c r="AQ10" s="9" t="s">
        <v>85</v>
      </c>
      <c r="AR10" s="9" t="s">
        <v>85</v>
      </c>
      <c r="AS10" s="9" t="s">
        <v>85</v>
      </c>
      <c r="AT10" s="9" t="s">
        <v>85</v>
      </c>
      <c r="AU10" s="9">
        <v>0.633333</v>
      </c>
      <c r="AV10" s="9" t="s">
        <v>85</v>
      </c>
      <c r="AW10" s="9" t="s">
        <v>85</v>
      </c>
      <c r="AX10" s="9">
        <v>0.7</v>
      </c>
      <c r="AY10" s="9" t="s">
        <v>85</v>
      </c>
      <c r="AZ10" s="9" t="s">
        <v>85</v>
      </c>
      <c r="BA10" s="9" t="s">
        <v>85</v>
      </c>
      <c r="BB10" s="9" t="s">
        <v>85</v>
      </c>
      <c r="BC10" s="10" t="s">
        <v>85</v>
      </c>
      <c r="BD10" s="10" t="s">
        <v>85</v>
      </c>
      <c r="BE10" s="9" t="s">
        <v>85</v>
      </c>
      <c r="BF10" s="10" t="s">
        <v>85</v>
      </c>
      <c r="BG10" s="10" t="s">
        <v>85</v>
      </c>
      <c r="BH10" s="9" t="s">
        <v>85</v>
      </c>
      <c r="BI10" s="6"/>
      <c r="BJ10" s="6" t="str">
        <f t="shared" si="1"/>
        <v>12VB_Fold_Median</v>
      </c>
      <c r="BK10" s="6" t="str">
        <f t="shared" si="2"/>
        <v>5V_Fold_Median</v>
      </c>
      <c r="BL10" s="6" t="str">
        <f t="shared" si="3"/>
        <v>10VB_Fold_Median</v>
      </c>
      <c r="BM10" s="6"/>
      <c r="BN10" s="6" t="s">
        <v>297</v>
      </c>
      <c r="BO10" s="18">
        <f>COUNTIFS($BJ$3:$BJ$100,"*5*",$BJ$3:$BJ$100,"*VB_*")</f>
        <v>10</v>
      </c>
      <c r="BP10" s="18">
        <f>COUNTIFS($BJ$3:$BJ$100,"*8*",$BJ$3:$BJ$100,"*VB_*")</f>
        <v>8</v>
      </c>
      <c r="BQ10" s="18">
        <f>COUNTIFS($BJ$3:$BJ$100,"*10*",$BJ$3:$BJ$100,"*VB_*")</f>
        <v>12</v>
      </c>
      <c r="BR10" s="18">
        <f>COUNTIFS($BJ$3:$BJ$100,"*12*",$BJ$3:$BJ$100,"*VB_*")</f>
        <v>11</v>
      </c>
      <c r="BS10" s="18">
        <f>COUNTIFS($BJ$3:$BJ$100,"*20*",$BJ$3:$BJ$100,"*VB_*")</f>
        <v>0</v>
      </c>
      <c r="BT10" s="6">
        <f t="shared" si="4"/>
        <v>41</v>
      </c>
      <c r="BU10" s="6"/>
    </row>
    <row r="11" ht="15.75" customHeight="1">
      <c r="A11" s="1" t="s">
        <v>101</v>
      </c>
      <c r="B11" s="17">
        <v>128.0</v>
      </c>
      <c r="C11" s="17">
        <v>3.0</v>
      </c>
      <c r="D11" s="9" t="s">
        <v>85</v>
      </c>
      <c r="E11" s="9" t="s">
        <v>85</v>
      </c>
      <c r="F11" s="9" t="s">
        <v>85</v>
      </c>
      <c r="G11" s="9" t="s">
        <v>85</v>
      </c>
      <c r="H11" s="9" t="s">
        <v>85</v>
      </c>
      <c r="I11" s="9" t="s">
        <v>85</v>
      </c>
      <c r="J11" s="9" t="s">
        <v>85</v>
      </c>
      <c r="K11" s="9">
        <v>0.958889</v>
      </c>
      <c r="L11" s="9" t="s">
        <v>85</v>
      </c>
      <c r="M11" s="9" t="s">
        <v>85</v>
      </c>
      <c r="N11" s="9">
        <v>0.967778</v>
      </c>
      <c r="O11" s="9" t="s">
        <v>85</v>
      </c>
      <c r="P11" s="9" t="s">
        <v>85</v>
      </c>
      <c r="Q11" s="9" t="s">
        <v>85</v>
      </c>
      <c r="R11" s="9" t="s">
        <v>85</v>
      </c>
      <c r="S11" s="9" t="s">
        <v>85</v>
      </c>
      <c r="T11" s="9" t="s">
        <v>85</v>
      </c>
      <c r="U11" s="9" t="s">
        <v>85</v>
      </c>
      <c r="V11" s="9" t="s">
        <v>85</v>
      </c>
      <c r="W11" s="9">
        <v>0.944444</v>
      </c>
      <c r="X11" s="9" t="s">
        <v>85</v>
      </c>
      <c r="Y11" s="9" t="s">
        <v>85</v>
      </c>
      <c r="Z11" s="9">
        <v>0.932222</v>
      </c>
      <c r="AA11" s="9" t="s">
        <v>85</v>
      </c>
      <c r="AB11" s="9" t="s">
        <v>85</v>
      </c>
      <c r="AC11" s="9" t="s">
        <v>85</v>
      </c>
      <c r="AD11" s="9" t="s">
        <v>85</v>
      </c>
      <c r="AE11" s="9" t="s">
        <v>85</v>
      </c>
      <c r="AF11" s="9" t="s">
        <v>85</v>
      </c>
      <c r="AG11" s="9" t="s">
        <v>85</v>
      </c>
      <c r="AH11" s="9" t="s">
        <v>85</v>
      </c>
      <c r="AI11" s="9">
        <v>0.964444</v>
      </c>
      <c r="AJ11" s="9" t="s">
        <v>85</v>
      </c>
      <c r="AK11" s="9" t="s">
        <v>85</v>
      </c>
      <c r="AL11" s="9">
        <v>0.97</v>
      </c>
      <c r="AM11" s="9" t="s">
        <v>85</v>
      </c>
      <c r="AN11" s="9" t="s">
        <v>85</v>
      </c>
      <c r="AO11" s="9" t="s">
        <v>85</v>
      </c>
      <c r="AP11" s="9" t="s">
        <v>85</v>
      </c>
      <c r="AQ11" s="9" t="s">
        <v>85</v>
      </c>
      <c r="AR11" s="9" t="s">
        <v>85</v>
      </c>
      <c r="AS11" s="9" t="s">
        <v>85</v>
      </c>
      <c r="AT11" s="9" t="s">
        <v>85</v>
      </c>
      <c r="AU11" s="9">
        <v>0.902222</v>
      </c>
      <c r="AV11" s="9" t="s">
        <v>85</v>
      </c>
      <c r="AW11" s="9" t="s">
        <v>85</v>
      </c>
      <c r="AX11" s="9">
        <v>0.938889</v>
      </c>
      <c r="AY11" s="9" t="s">
        <v>85</v>
      </c>
      <c r="AZ11" s="9" t="s">
        <v>85</v>
      </c>
      <c r="BA11" s="9" t="s">
        <v>85</v>
      </c>
      <c r="BB11" s="9" t="s">
        <v>85</v>
      </c>
      <c r="BC11" s="10" t="s">
        <v>85</v>
      </c>
      <c r="BD11" s="10" t="s">
        <v>85</v>
      </c>
      <c r="BE11" s="9" t="s">
        <v>85</v>
      </c>
      <c r="BF11" s="10" t="s">
        <v>85</v>
      </c>
      <c r="BG11" s="10" t="s">
        <v>85</v>
      </c>
      <c r="BH11" s="9" t="s">
        <v>85</v>
      </c>
      <c r="BI11" s="6"/>
      <c r="BJ11" s="6" t="str">
        <f t="shared" si="1"/>
        <v>10VB_Fold_Median</v>
      </c>
      <c r="BK11" s="6" t="str">
        <f t="shared" si="2"/>
        <v>5VB_Fold_Median</v>
      </c>
      <c r="BL11" s="6" t="str">
        <f t="shared" si="3"/>
        <v>10V_Fold_Median</v>
      </c>
      <c r="BM11" s="6"/>
      <c r="BN11" s="6"/>
      <c r="BO11" s="6"/>
      <c r="BQ11" s="6"/>
      <c r="BR11" s="6"/>
      <c r="BS11" s="6"/>
      <c r="BT11" s="6"/>
      <c r="BU11" s="6"/>
    </row>
    <row r="12" ht="15.75" customHeight="1">
      <c r="A12" s="1" t="s">
        <v>103</v>
      </c>
      <c r="B12" s="17">
        <v>24.0</v>
      </c>
      <c r="C12" s="17">
        <v>2.0</v>
      </c>
      <c r="D12" s="9" t="s">
        <v>85</v>
      </c>
      <c r="E12" s="9" t="s">
        <v>85</v>
      </c>
      <c r="F12" s="9" t="s">
        <v>85</v>
      </c>
      <c r="G12" s="9" t="s">
        <v>85</v>
      </c>
      <c r="H12" s="9" t="s">
        <v>85</v>
      </c>
      <c r="I12" s="9" t="s">
        <v>85</v>
      </c>
      <c r="J12" s="9" t="s">
        <v>85</v>
      </c>
      <c r="K12" s="9">
        <v>0.959184</v>
      </c>
      <c r="L12" s="9" t="s">
        <v>85</v>
      </c>
      <c r="M12" s="9" t="s">
        <v>85</v>
      </c>
      <c r="N12" s="9">
        <v>0.965015</v>
      </c>
      <c r="O12" s="9" t="s">
        <v>85</v>
      </c>
      <c r="P12" s="9" t="s">
        <v>85</v>
      </c>
      <c r="Q12" s="9" t="s">
        <v>85</v>
      </c>
      <c r="R12" s="9" t="s">
        <v>85</v>
      </c>
      <c r="S12" s="9" t="s">
        <v>85</v>
      </c>
      <c r="T12" s="9" t="s">
        <v>85</v>
      </c>
      <c r="U12" s="9" t="s">
        <v>85</v>
      </c>
      <c r="V12" s="9" t="s">
        <v>85</v>
      </c>
      <c r="W12" s="9">
        <v>0.953353</v>
      </c>
      <c r="X12" s="9" t="s">
        <v>85</v>
      </c>
      <c r="Y12" s="9" t="s">
        <v>85</v>
      </c>
      <c r="Z12" s="9">
        <v>0.953353</v>
      </c>
      <c r="AA12" s="9" t="s">
        <v>85</v>
      </c>
      <c r="AB12" s="9" t="s">
        <v>85</v>
      </c>
      <c r="AC12" s="9" t="s">
        <v>85</v>
      </c>
      <c r="AD12" s="9" t="s">
        <v>85</v>
      </c>
      <c r="AE12" s="9" t="s">
        <v>85</v>
      </c>
      <c r="AF12" s="9" t="s">
        <v>85</v>
      </c>
      <c r="AG12" s="9" t="s">
        <v>85</v>
      </c>
      <c r="AH12" s="9" t="s">
        <v>85</v>
      </c>
      <c r="AI12" s="9">
        <v>0.938776</v>
      </c>
      <c r="AJ12" s="9" t="s">
        <v>85</v>
      </c>
      <c r="AK12" s="9" t="s">
        <v>85</v>
      </c>
      <c r="AL12" s="9">
        <v>0.941691</v>
      </c>
      <c r="AM12" s="9" t="s">
        <v>85</v>
      </c>
      <c r="AN12" s="9" t="s">
        <v>85</v>
      </c>
      <c r="AO12" s="9" t="s">
        <v>85</v>
      </c>
      <c r="AP12" s="9" t="s">
        <v>85</v>
      </c>
      <c r="AQ12" s="9" t="s">
        <v>85</v>
      </c>
      <c r="AR12" s="9" t="s">
        <v>85</v>
      </c>
      <c r="AS12" s="9" t="s">
        <v>85</v>
      </c>
      <c r="AT12" s="9" t="s">
        <v>85</v>
      </c>
      <c r="AU12" s="9">
        <v>0.941691</v>
      </c>
      <c r="AV12" s="9" t="s">
        <v>85</v>
      </c>
      <c r="AW12" s="9" t="s">
        <v>85</v>
      </c>
      <c r="AX12" s="9">
        <v>0.941691</v>
      </c>
      <c r="AY12" s="9" t="s">
        <v>85</v>
      </c>
      <c r="AZ12" s="9" t="s">
        <v>85</v>
      </c>
      <c r="BA12" s="9" t="s">
        <v>85</v>
      </c>
      <c r="BB12" s="9" t="s">
        <v>85</v>
      </c>
      <c r="BC12" s="10" t="s">
        <v>85</v>
      </c>
      <c r="BD12" s="10" t="s">
        <v>85</v>
      </c>
      <c r="BE12" s="9" t="s">
        <v>85</v>
      </c>
      <c r="BF12" s="10" t="s">
        <v>85</v>
      </c>
      <c r="BG12" s="10" t="s">
        <v>85</v>
      </c>
      <c r="BH12" s="9" t="s">
        <v>85</v>
      </c>
      <c r="BI12" s="6"/>
      <c r="BJ12" s="6" t="str">
        <f t="shared" si="1"/>
        <v>5VB_Fold_Median</v>
      </c>
      <c r="BK12" s="6" t="str">
        <f t="shared" si="2"/>
        <v>5V_Fold_Median</v>
      </c>
      <c r="BL12" s="6" t="str">
        <f t="shared" si="3"/>
        <v>8V_Fold_Median</v>
      </c>
      <c r="BM12" s="6"/>
      <c r="BN12" s="1" t="s">
        <v>213</v>
      </c>
      <c r="BO12" s="26" t="s">
        <v>212</v>
      </c>
      <c r="BP12" s="6"/>
      <c r="BQ12" s="6"/>
      <c r="BR12" s="6"/>
      <c r="BS12" s="6"/>
      <c r="BT12" s="6"/>
      <c r="BU12" s="6"/>
    </row>
    <row r="13" ht="15.75" customHeight="1">
      <c r="A13" s="1" t="s">
        <v>105</v>
      </c>
      <c r="B13" s="17">
        <v>166.0</v>
      </c>
      <c r="C13" s="17">
        <v>3.0</v>
      </c>
      <c r="D13" s="9" t="s">
        <v>85</v>
      </c>
      <c r="E13" s="9" t="s">
        <v>85</v>
      </c>
      <c r="F13" s="9" t="s">
        <v>85</v>
      </c>
      <c r="G13" s="9" t="s">
        <v>85</v>
      </c>
      <c r="H13" s="9" t="s">
        <v>85</v>
      </c>
      <c r="I13" s="9" t="s">
        <v>85</v>
      </c>
      <c r="J13" s="9" t="s">
        <v>85</v>
      </c>
      <c r="K13" s="9">
        <v>0.532552</v>
      </c>
      <c r="L13" s="9" t="s">
        <v>85</v>
      </c>
      <c r="M13" s="9" t="s">
        <v>85</v>
      </c>
      <c r="N13" s="9">
        <v>0.532552</v>
      </c>
      <c r="O13" s="9" t="s">
        <v>85</v>
      </c>
      <c r="P13" s="9" t="s">
        <v>85</v>
      </c>
      <c r="Q13" s="9" t="s">
        <v>85</v>
      </c>
      <c r="R13" s="9" t="s">
        <v>85</v>
      </c>
      <c r="S13" s="9" t="s">
        <v>85</v>
      </c>
      <c r="T13" s="9" t="s">
        <v>85</v>
      </c>
      <c r="U13" s="9" t="s">
        <v>85</v>
      </c>
      <c r="V13" s="9" t="s">
        <v>85</v>
      </c>
      <c r="W13" s="9">
        <v>0.532552</v>
      </c>
      <c r="X13" s="9" t="s">
        <v>85</v>
      </c>
      <c r="Y13" s="9" t="s">
        <v>85</v>
      </c>
      <c r="Z13" s="9">
        <v>0.532552</v>
      </c>
      <c r="AA13" s="9" t="s">
        <v>85</v>
      </c>
      <c r="AB13" s="9" t="s">
        <v>85</v>
      </c>
      <c r="AC13" s="9" t="s">
        <v>85</v>
      </c>
      <c r="AD13" s="9" t="s">
        <v>85</v>
      </c>
      <c r="AE13" s="9" t="s">
        <v>85</v>
      </c>
      <c r="AF13" s="9" t="s">
        <v>85</v>
      </c>
      <c r="AG13" s="9" t="s">
        <v>85</v>
      </c>
      <c r="AH13" s="9" t="s">
        <v>85</v>
      </c>
      <c r="AI13" s="9">
        <v>0.532552</v>
      </c>
      <c r="AJ13" s="9" t="s">
        <v>85</v>
      </c>
      <c r="AK13" s="9" t="s">
        <v>85</v>
      </c>
      <c r="AL13" s="9">
        <v>0.532552</v>
      </c>
      <c r="AM13" s="9" t="s">
        <v>85</v>
      </c>
      <c r="AN13" s="9" t="s">
        <v>85</v>
      </c>
      <c r="AO13" s="9" t="s">
        <v>85</v>
      </c>
      <c r="AP13" s="9" t="s">
        <v>85</v>
      </c>
      <c r="AQ13" s="9" t="s">
        <v>85</v>
      </c>
      <c r="AR13" s="9" t="s">
        <v>85</v>
      </c>
      <c r="AS13" s="9" t="s">
        <v>85</v>
      </c>
      <c r="AT13" s="9" t="s">
        <v>85</v>
      </c>
      <c r="AU13" s="9">
        <v>0.532552</v>
      </c>
      <c r="AV13" s="9" t="s">
        <v>85</v>
      </c>
      <c r="AW13" s="9" t="s">
        <v>85</v>
      </c>
      <c r="AX13" s="9">
        <v>0.532552</v>
      </c>
      <c r="AY13" s="9" t="s">
        <v>85</v>
      </c>
      <c r="AZ13" s="9" t="s">
        <v>85</v>
      </c>
      <c r="BA13" s="9" t="s">
        <v>85</v>
      </c>
      <c r="BB13" s="9" t="s">
        <v>85</v>
      </c>
      <c r="BC13" s="10" t="s">
        <v>85</v>
      </c>
      <c r="BD13" s="10" t="s">
        <v>85</v>
      </c>
      <c r="BE13" s="9" t="s">
        <v>85</v>
      </c>
      <c r="BF13" s="10" t="s">
        <v>85</v>
      </c>
      <c r="BG13" s="10" t="s">
        <v>85</v>
      </c>
      <c r="BH13" s="9" t="s">
        <v>85</v>
      </c>
      <c r="BI13" s="6"/>
      <c r="BJ13" s="6" t="str">
        <f t="shared" si="1"/>
        <v>5V_Fold_Median</v>
      </c>
      <c r="BK13" s="6" t="str">
        <f t="shared" si="2"/>
        <v>5V_Fold_Median</v>
      </c>
      <c r="BL13" s="6" t="str">
        <f t="shared" si="3"/>
        <v>5V_Fold_Median</v>
      </c>
      <c r="BM13" s="6"/>
      <c r="BO13" s="6">
        <f>COUNTIF(C9:C106,"&lt;=100")</f>
        <v>92</v>
      </c>
      <c r="BP13" s="6">
        <f>COUNTIFS(C9:C106,"&gt;100",C9:C106,"&lt;=200")</f>
        <v>0</v>
      </c>
      <c r="BQ13" s="6">
        <f>COUNTIFS(C9:C106,"&gt;200",C9:C106,"&lt;500")</f>
        <v>0</v>
      </c>
      <c r="BR13" s="6">
        <f>COUNTIFS(C9:C106,"&gt;=500",C9:C106,"&lt;1000")</f>
        <v>0</v>
      </c>
      <c r="BS13" s="6">
        <f>COUNTIF(C9:C106,"&gt;=1000")</f>
        <v>0</v>
      </c>
      <c r="BT13" s="6"/>
      <c r="BU13" s="6"/>
    </row>
    <row r="14" ht="15.75" customHeight="1">
      <c r="A14" s="1" t="s">
        <v>107</v>
      </c>
      <c r="B14" s="17">
        <v>1639.0</v>
      </c>
      <c r="C14" s="17">
        <v>4.0</v>
      </c>
      <c r="D14" s="9" t="s">
        <v>85</v>
      </c>
      <c r="E14" s="9" t="s">
        <v>85</v>
      </c>
      <c r="F14" s="9" t="s">
        <v>85</v>
      </c>
      <c r="G14" s="9" t="s">
        <v>85</v>
      </c>
      <c r="H14" s="9" t="s">
        <v>85</v>
      </c>
      <c r="I14" s="9" t="s">
        <v>85</v>
      </c>
      <c r="J14" s="9" t="s">
        <v>85</v>
      </c>
      <c r="K14" s="9">
        <v>0.403623</v>
      </c>
      <c r="L14" s="9" t="s">
        <v>85</v>
      </c>
      <c r="M14" s="9" t="s">
        <v>85</v>
      </c>
      <c r="N14" s="9">
        <v>0.32971</v>
      </c>
      <c r="O14" s="9" t="s">
        <v>85</v>
      </c>
      <c r="P14" s="9" t="s">
        <v>85</v>
      </c>
      <c r="Q14" s="9" t="s">
        <v>85</v>
      </c>
      <c r="R14" s="9" t="s">
        <v>85</v>
      </c>
      <c r="S14" s="9" t="s">
        <v>85</v>
      </c>
      <c r="T14" s="9" t="s">
        <v>85</v>
      </c>
      <c r="U14" s="9" t="s">
        <v>85</v>
      </c>
      <c r="V14" s="9" t="s">
        <v>85</v>
      </c>
      <c r="W14" s="9">
        <v>0.565942</v>
      </c>
      <c r="X14" s="9" t="s">
        <v>85</v>
      </c>
      <c r="Y14" s="9" t="s">
        <v>85</v>
      </c>
      <c r="Z14" s="9">
        <v>0.578986</v>
      </c>
      <c r="AA14" s="9" t="s">
        <v>85</v>
      </c>
      <c r="AB14" s="9" t="s">
        <v>85</v>
      </c>
      <c r="AC14" s="9" t="s">
        <v>85</v>
      </c>
      <c r="AD14" s="9" t="s">
        <v>85</v>
      </c>
      <c r="AE14" s="9" t="s">
        <v>85</v>
      </c>
      <c r="AF14" s="9" t="s">
        <v>85</v>
      </c>
      <c r="AG14" s="9" t="s">
        <v>85</v>
      </c>
      <c r="AH14" s="9" t="s">
        <v>85</v>
      </c>
      <c r="AI14" s="9">
        <v>0.644203</v>
      </c>
      <c r="AJ14" s="9" t="s">
        <v>85</v>
      </c>
      <c r="AK14" s="9" t="s">
        <v>85</v>
      </c>
      <c r="AL14" s="9">
        <v>0.607971</v>
      </c>
      <c r="AM14" s="9" t="s">
        <v>85</v>
      </c>
      <c r="AN14" s="9" t="s">
        <v>85</v>
      </c>
      <c r="AO14" s="9" t="s">
        <v>85</v>
      </c>
      <c r="AP14" s="9" t="s">
        <v>85</v>
      </c>
      <c r="AQ14" s="9" t="s">
        <v>85</v>
      </c>
      <c r="AR14" s="9" t="s">
        <v>85</v>
      </c>
      <c r="AS14" s="9" t="s">
        <v>85</v>
      </c>
      <c r="AT14" s="9" t="s">
        <v>85</v>
      </c>
      <c r="AU14" s="9">
        <v>0.700725</v>
      </c>
      <c r="AV14" s="9" t="s">
        <v>85</v>
      </c>
      <c r="AW14" s="9" t="s">
        <v>85</v>
      </c>
      <c r="AX14" s="9">
        <v>0.693478</v>
      </c>
      <c r="AY14" s="9" t="s">
        <v>85</v>
      </c>
      <c r="AZ14" s="9" t="s">
        <v>85</v>
      </c>
      <c r="BA14" s="9" t="s">
        <v>85</v>
      </c>
      <c r="BB14" s="9" t="s">
        <v>85</v>
      </c>
      <c r="BC14" s="10" t="s">
        <v>85</v>
      </c>
      <c r="BD14" s="10" t="s">
        <v>85</v>
      </c>
      <c r="BE14" s="9" t="s">
        <v>85</v>
      </c>
      <c r="BF14" s="10" t="s">
        <v>85</v>
      </c>
      <c r="BG14" s="10" t="s">
        <v>85</v>
      </c>
      <c r="BH14" s="9" t="s">
        <v>85</v>
      </c>
      <c r="BI14" s="6"/>
      <c r="BJ14" s="6" t="str">
        <f t="shared" si="1"/>
        <v>12V_Fold_Median</v>
      </c>
      <c r="BK14" s="6" t="str">
        <f t="shared" si="2"/>
        <v>12VB_Fold_Median</v>
      </c>
      <c r="BL14" s="6" t="str">
        <f t="shared" si="3"/>
        <v>10V_Fold_Median</v>
      </c>
      <c r="BM14" s="6"/>
      <c r="BN14" s="6"/>
      <c r="BO14" s="6" t="s">
        <v>228</v>
      </c>
      <c r="BP14" s="6" t="s">
        <v>229</v>
      </c>
      <c r="BQ14" s="6" t="s">
        <v>230</v>
      </c>
      <c r="BR14" s="6" t="s">
        <v>231</v>
      </c>
      <c r="BS14" s="6" t="s">
        <v>232</v>
      </c>
      <c r="BT14" s="6"/>
      <c r="BU14" s="6"/>
    </row>
    <row r="15" ht="15.75" customHeight="1">
      <c r="A15" s="1" t="s">
        <v>109</v>
      </c>
      <c r="B15" s="17">
        <v>286.0</v>
      </c>
      <c r="C15" s="17">
        <v>2.0</v>
      </c>
      <c r="D15" s="9" t="s">
        <v>85</v>
      </c>
      <c r="E15" s="9" t="s">
        <v>85</v>
      </c>
      <c r="F15" s="9" t="s">
        <v>85</v>
      </c>
      <c r="G15" s="9" t="s">
        <v>85</v>
      </c>
      <c r="H15" s="9" t="s">
        <v>85</v>
      </c>
      <c r="I15" s="9" t="s">
        <v>85</v>
      </c>
      <c r="J15" s="9" t="s">
        <v>85</v>
      </c>
      <c r="K15" s="9">
        <v>0.821429</v>
      </c>
      <c r="L15" s="9" t="s">
        <v>85</v>
      </c>
      <c r="M15" s="9" t="s">
        <v>85</v>
      </c>
      <c r="N15" s="9">
        <v>0.75</v>
      </c>
      <c r="O15" s="9" t="s">
        <v>85</v>
      </c>
      <c r="P15" s="9" t="s">
        <v>85</v>
      </c>
      <c r="Q15" s="9" t="s">
        <v>85</v>
      </c>
      <c r="R15" s="9" t="s">
        <v>85</v>
      </c>
      <c r="S15" s="9" t="s">
        <v>85</v>
      </c>
      <c r="T15" s="9" t="s">
        <v>85</v>
      </c>
      <c r="U15" s="9" t="s">
        <v>85</v>
      </c>
      <c r="V15" s="9" t="s">
        <v>85</v>
      </c>
      <c r="W15" s="9">
        <v>1.0</v>
      </c>
      <c r="X15" s="9" t="s">
        <v>85</v>
      </c>
      <c r="Y15" s="9" t="s">
        <v>85</v>
      </c>
      <c r="Z15" s="9">
        <v>1.0</v>
      </c>
      <c r="AA15" s="9" t="s">
        <v>85</v>
      </c>
      <c r="AB15" s="9" t="s">
        <v>85</v>
      </c>
      <c r="AC15" s="9" t="s">
        <v>85</v>
      </c>
      <c r="AD15" s="9" t="s">
        <v>85</v>
      </c>
      <c r="AE15" s="9" t="s">
        <v>85</v>
      </c>
      <c r="AF15" s="9" t="s">
        <v>85</v>
      </c>
      <c r="AG15" s="9" t="s">
        <v>85</v>
      </c>
      <c r="AH15" s="9" t="s">
        <v>85</v>
      </c>
      <c r="AI15" s="9">
        <v>0.857143</v>
      </c>
      <c r="AJ15" s="9" t="s">
        <v>85</v>
      </c>
      <c r="AK15" s="9" t="s">
        <v>85</v>
      </c>
      <c r="AL15" s="9">
        <v>0.857143</v>
      </c>
      <c r="AM15" s="9" t="s">
        <v>85</v>
      </c>
      <c r="AN15" s="9" t="s">
        <v>85</v>
      </c>
      <c r="AO15" s="9" t="s">
        <v>85</v>
      </c>
      <c r="AP15" s="9" t="s">
        <v>85</v>
      </c>
      <c r="AQ15" s="9" t="s">
        <v>85</v>
      </c>
      <c r="AR15" s="9" t="s">
        <v>85</v>
      </c>
      <c r="AS15" s="9" t="s">
        <v>85</v>
      </c>
      <c r="AT15" s="9" t="s">
        <v>85</v>
      </c>
      <c r="AU15" s="9">
        <v>0.964286</v>
      </c>
      <c r="AV15" s="9" t="s">
        <v>85</v>
      </c>
      <c r="AW15" s="9" t="s">
        <v>85</v>
      </c>
      <c r="AX15" s="9">
        <v>0.928571</v>
      </c>
      <c r="AY15" s="9" t="s">
        <v>85</v>
      </c>
      <c r="AZ15" s="9" t="s">
        <v>85</v>
      </c>
      <c r="BA15" s="9" t="s">
        <v>85</v>
      </c>
      <c r="BB15" s="9" t="s">
        <v>85</v>
      </c>
      <c r="BC15" s="10" t="s">
        <v>85</v>
      </c>
      <c r="BD15" s="10" t="s">
        <v>85</v>
      </c>
      <c r="BE15" s="9" t="s">
        <v>85</v>
      </c>
      <c r="BF15" s="10" t="s">
        <v>85</v>
      </c>
      <c r="BG15" s="10" t="s">
        <v>85</v>
      </c>
      <c r="BH15" s="9" t="s">
        <v>85</v>
      </c>
      <c r="BI15" s="6"/>
      <c r="BJ15" s="6" t="str">
        <f t="shared" si="1"/>
        <v>8V_Fold_Median</v>
      </c>
      <c r="BK15" s="6" t="str">
        <f t="shared" si="2"/>
        <v>8V_Fold_Median</v>
      </c>
      <c r="BL15" s="6" t="str">
        <f t="shared" si="3"/>
        <v>12V_Fold_Median</v>
      </c>
      <c r="BM15" s="6"/>
      <c r="BN15" s="6" t="s">
        <v>296</v>
      </c>
      <c r="BO15" s="18">
        <f>COUNTIFS($B$3:$B$100,"&lt;=100",$BJ$3:$BJ$100,"**V_*")</f>
        <v>13</v>
      </c>
      <c r="BP15" s="18">
        <f>COUNTIFS($B$3:$B$100,"&gt;100",$B$3:$B$100,"&lt;=200",$BJ$3:$BJ$100,"**V_*")</f>
        <v>10</v>
      </c>
      <c r="BQ15" s="18">
        <f>COUNTIFS($B$3:$B$100,"&lt;500",$B$3:$B$100,"&gt;200",$BJ$3:$BJ$100,"**V_*")</f>
        <v>9</v>
      </c>
      <c r="BR15" s="18">
        <f>COUNTIFS($B$3:$B$100,"&gt;=500",$B$3:$B$100,"&lt;1000",$BJ$3:$BJ$100,"**V_*")</f>
        <v>17</v>
      </c>
      <c r="BS15" s="18">
        <f>COUNTIFS($B$3:$B$100,"&gt;=1000",$BJ$3:$BJ$100,"**V_*")</f>
        <v>8</v>
      </c>
      <c r="BT15" s="6">
        <f t="shared" ref="BT15:BT16" si="5">SUM(BO15:BS15)</f>
        <v>57</v>
      </c>
      <c r="BU15" s="6"/>
    </row>
    <row r="16" ht="15.75" customHeight="1">
      <c r="A16" s="1" t="s">
        <v>110</v>
      </c>
      <c r="B16" s="17">
        <v>720.0</v>
      </c>
      <c r="C16" s="17">
        <v>2.0</v>
      </c>
      <c r="D16" s="9" t="s">
        <v>85</v>
      </c>
      <c r="E16" s="9" t="s">
        <v>85</v>
      </c>
      <c r="F16" s="9" t="s">
        <v>85</v>
      </c>
      <c r="G16" s="9" t="s">
        <v>85</v>
      </c>
      <c r="H16" s="9" t="s">
        <v>85</v>
      </c>
      <c r="I16" s="9" t="s">
        <v>85</v>
      </c>
      <c r="J16" s="9" t="s">
        <v>85</v>
      </c>
      <c r="K16" s="9">
        <v>0.672</v>
      </c>
      <c r="L16" s="9" t="s">
        <v>85</v>
      </c>
      <c r="M16" s="9" t="s">
        <v>85</v>
      </c>
      <c r="N16" s="9">
        <v>0.676</v>
      </c>
      <c r="O16" s="9" t="s">
        <v>85</v>
      </c>
      <c r="P16" s="9" t="s">
        <v>85</v>
      </c>
      <c r="Q16" s="9" t="s">
        <v>85</v>
      </c>
      <c r="R16" s="9" t="s">
        <v>85</v>
      </c>
      <c r="S16" s="9" t="s">
        <v>85</v>
      </c>
      <c r="T16" s="9" t="s">
        <v>85</v>
      </c>
      <c r="U16" s="9" t="s">
        <v>85</v>
      </c>
      <c r="V16" s="9" t="s">
        <v>85</v>
      </c>
      <c r="W16" s="9">
        <v>0.704</v>
      </c>
      <c r="X16" s="9" t="s">
        <v>85</v>
      </c>
      <c r="Y16" s="9" t="s">
        <v>85</v>
      </c>
      <c r="Z16" s="9">
        <v>0.688</v>
      </c>
      <c r="AA16" s="9" t="s">
        <v>85</v>
      </c>
      <c r="AB16" s="9" t="s">
        <v>85</v>
      </c>
      <c r="AC16" s="9" t="s">
        <v>85</v>
      </c>
      <c r="AD16" s="9" t="s">
        <v>85</v>
      </c>
      <c r="AE16" s="9" t="s">
        <v>85</v>
      </c>
      <c r="AF16" s="9" t="s">
        <v>85</v>
      </c>
      <c r="AG16" s="9" t="s">
        <v>85</v>
      </c>
      <c r="AH16" s="9" t="s">
        <v>85</v>
      </c>
      <c r="AI16" s="9">
        <v>0.66</v>
      </c>
      <c r="AJ16" s="9" t="s">
        <v>85</v>
      </c>
      <c r="AK16" s="9" t="s">
        <v>85</v>
      </c>
      <c r="AL16" s="9">
        <v>0.656</v>
      </c>
      <c r="AM16" s="9" t="s">
        <v>85</v>
      </c>
      <c r="AN16" s="9" t="s">
        <v>85</v>
      </c>
      <c r="AO16" s="9" t="s">
        <v>85</v>
      </c>
      <c r="AP16" s="9" t="s">
        <v>85</v>
      </c>
      <c r="AQ16" s="9" t="s">
        <v>85</v>
      </c>
      <c r="AR16" s="9" t="s">
        <v>85</v>
      </c>
      <c r="AS16" s="9" t="s">
        <v>85</v>
      </c>
      <c r="AT16" s="9" t="s">
        <v>85</v>
      </c>
      <c r="AU16" s="9">
        <v>0.672</v>
      </c>
      <c r="AV16" s="9" t="s">
        <v>85</v>
      </c>
      <c r="AW16" s="9" t="s">
        <v>85</v>
      </c>
      <c r="AX16" s="9">
        <v>0.632</v>
      </c>
      <c r="AY16" s="9" t="s">
        <v>85</v>
      </c>
      <c r="AZ16" s="9" t="s">
        <v>85</v>
      </c>
      <c r="BA16" s="9" t="s">
        <v>85</v>
      </c>
      <c r="BB16" s="9" t="s">
        <v>85</v>
      </c>
      <c r="BC16" s="10" t="s">
        <v>85</v>
      </c>
      <c r="BD16" s="10" t="s">
        <v>85</v>
      </c>
      <c r="BE16" s="9" t="s">
        <v>85</v>
      </c>
      <c r="BF16" s="10" t="s">
        <v>85</v>
      </c>
      <c r="BG16" s="10" t="s">
        <v>85</v>
      </c>
      <c r="BH16" s="9" t="s">
        <v>85</v>
      </c>
      <c r="BI16" s="6"/>
      <c r="BJ16" s="6" t="str">
        <f t="shared" si="1"/>
        <v>8V_Fold_Median</v>
      </c>
      <c r="BK16" s="6" t="str">
        <f t="shared" si="2"/>
        <v>8VB_Fold_Median</v>
      </c>
      <c r="BL16" s="6" t="str">
        <f t="shared" si="3"/>
        <v>5VB_Fold_Median</v>
      </c>
      <c r="BM16" s="6"/>
      <c r="BN16" s="6" t="s">
        <v>297</v>
      </c>
      <c r="BO16" s="18">
        <f>COUNTIFS($B$3:$B$100,"&lt;=100",$BJ$3:$BJ$100,"*VB_*")</f>
        <v>9</v>
      </c>
      <c r="BP16" s="18">
        <f>COUNTIFS($B$3:$B$100,"&gt;100",$B$3:$B$100,"&lt;=200",$BJ$3:$BJ$100,"*VB_*")</f>
        <v>7</v>
      </c>
      <c r="BQ16" s="18">
        <f>COUNTIFS($B$3:$B$100,"&lt;500",$B$3:$B$100,"&gt;200",$BJ$3:$BJ$100,"*VB_*")</f>
        <v>12</v>
      </c>
      <c r="BR16" s="18">
        <f>COUNTIFS($B$3:$B$100,"&gt;=500",$B$3:$B$100,"&lt;1000",$BJ$3:$BJ$100,"*VB_*")</f>
        <v>3</v>
      </c>
      <c r="BS16" s="18">
        <f>COUNTIFS($B$3:$B$100,"&gt;=1000",$BJ$3:$BJ$100,"*VB_*")</f>
        <v>10</v>
      </c>
      <c r="BT16" s="6">
        <f t="shared" si="5"/>
        <v>41</v>
      </c>
      <c r="BU16" s="6"/>
    </row>
    <row r="17" ht="15.75" customHeight="1">
      <c r="A17" s="1" t="s">
        <v>111</v>
      </c>
      <c r="B17" s="17">
        <v>46.0</v>
      </c>
      <c r="C17" s="17">
        <v>24.0</v>
      </c>
      <c r="D17" s="9" t="s">
        <v>85</v>
      </c>
      <c r="E17" s="9" t="s">
        <v>85</v>
      </c>
      <c r="F17" s="9" t="s">
        <v>85</v>
      </c>
      <c r="G17" s="9" t="s">
        <v>85</v>
      </c>
      <c r="H17" s="9" t="s">
        <v>85</v>
      </c>
      <c r="I17" s="9" t="s">
        <v>85</v>
      </c>
      <c r="J17" s="9" t="s">
        <v>85</v>
      </c>
      <c r="K17" s="9">
        <v>0.399048</v>
      </c>
      <c r="L17" s="9" t="s">
        <v>85</v>
      </c>
      <c r="M17" s="9" t="s">
        <v>85</v>
      </c>
      <c r="N17" s="9">
        <v>0.451548</v>
      </c>
      <c r="O17" s="9" t="s">
        <v>85</v>
      </c>
      <c r="P17" s="9" t="s">
        <v>85</v>
      </c>
      <c r="Q17" s="9" t="s">
        <v>85</v>
      </c>
      <c r="R17" s="9" t="s">
        <v>85</v>
      </c>
      <c r="S17" s="9" t="s">
        <v>85</v>
      </c>
      <c r="T17" s="9" t="s">
        <v>85</v>
      </c>
      <c r="U17" s="9" t="s">
        <v>85</v>
      </c>
      <c r="V17" s="9" t="s">
        <v>85</v>
      </c>
      <c r="W17" s="9">
        <v>0.35625</v>
      </c>
      <c r="X17" s="9" t="s">
        <v>85</v>
      </c>
      <c r="Y17" s="9" t="s">
        <v>85</v>
      </c>
      <c r="Z17" s="9">
        <v>0.4275</v>
      </c>
      <c r="AA17" s="9" t="s">
        <v>85</v>
      </c>
      <c r="AB17" s="9" t="s">
        <v>85</v>
      </c>
      <c r="AC17" s="9" t="s">
        <v>85</v>
      </c>
      <c r="AD17" s="9" t="s">
        <v>85</v>
      </c>
      <c r="AE17" s="9" t="s">
        <v>85</v>
      </c>
      <c r="AF17" s="9" t="s">
        <v>85</v>
      </c>
      <c r="AG17" s="9" t="s">
        <v>85</v>
      </c>
      <c r="AH17" s="9" t="s">
        <v>85</v>
      </c>
      <c r="AI17" s="9">
        <v>0.236786</v>
      </c>
      <c r="AJ17" s="9" t="s">
        <v>85</v>
      </c>
      <c r="AK17" s="9" t="s">
        <v>85</v>
      </c>
      <c r="AL17" s="9">
        <v>0.207679</v>
      </c>
      <c r="AM17" s="9" t="s">
        <v>85</v>
      </c>
      <c r="AN17" s="9" t="s">
        <v>85</v>
      </c>
      <c r="AO17" s="9" t="s">
        <v>85</v>
      </c>
      <c r="AP17" s="9" t="s">
        <v>85</v>
      </c>
      <c r="AQ17" s="9" t="s">
        <v>85</v>
      </c>
      <c r="AR17" s="9" t="s">
        <v>85</v>
      </c>
      <c r="AS17" s="9" t="s">
        <v>85</v>
      </c>
      <c r="AT17" s="9" t="s">
        <v>85</v>
      </c>
      <c r="AU17" s="9">
        <v>0.363512</v>
      </c>
      <c r="AV17" s="9" t="s">
        <v>85</v>
      </c>
      <c r="AW17" s="9" t="s">
        <v>85</v>
      </c>
      <c r="AX17" s="9">
        <v>0.317976</v>
      </c>
      <c r="AY17" s="9" t="s">
        <v>85</v>
      </c>
      <c r="AZ17" s="9" t="s">
        <v>85</v>
      </c>
      <c r="BA17" s="9" t="s">
        <v>85</v>
      </c>
      <c r="BB17" s="9" t="s">
        <v>85</v>
      </c>
      <c r="BC17" s="10" t="s">
        <v>85</v>
      </c>
      <c r="BD17" s="10" t="s">
        <v>85</v>
      </c>
      <c r="BE17" s="9" t="s">
        <v>85</v>
      </c>
      <c r="BF17" s="10" t="s">
        <v>85</v>
      </c>
      <c r="BG17" s="10" t="s">
        <v>85</v>
      </c>
      <c r="BH17" s="9" t="s">
        <v>85</v>
      </c>
      <c r="BI17" s="6"/>
      <c r="BJ17" s="6" t="str">
        <f t="shared" si="1"/>
        <v>5VB_Fold_Median</v>
      </c>
      <c r="BK17" s="6" t="str">
        <f t="shared" si="2"/>
        <v>8VB_Fold_Median</v>
      </c>
      <c r="BL17" s="6" t="str">
        <f t="shared" si="3"/>
        <v>5V_Fold_Median</v>
      </c>
      <c r="BM17" s="6"/>
      <c r="BN17" s="6"/>
      <c r="BO17" s="6"/>
      <c r="BQ17" s="6"/>
      <c r="BR17" s="6"/>
      <c r="BS17" s="6"/>
      <c r="BT17" s="6"/>
      <c r="BU17" s="6"/>
    </row>
    <row r="18" ht="15.75" customHeight="1">
      <c r="A18" s="1" t="s">
        <v>112</v>
      </c>
      <c r="B18" s="17">
        <v>345.0</v>
      </c>
      <c r="C18" s="17">
        <v>4.0</v>
      </c>
      <c r="D18" s="9" t="s">
        <v>85</v>
      </c>
      <c r="E18" s="9" t="s">
        <v>85</v>
      </c>
      <c r="F18" s="9" t="s">
        <v>85</v>
      </c>
      <c r="G18" s="9" t="s">
        <v>85</v>
      </c>
      <c r="H18" s="9" t="s">
        <v>85</v>
      </c>
      <c r="I18" s="9" t="s">
        <v>85</v>
      </c>
      <c r="J18" s="9" t="s">
        <v>85</v>
      </c>
      <c r="K18" s="9">
        <v>0.885621</v>
      </c>
      <c r="L18" s="9" t="s">
        <v>85</v>
      </c>
      <c r="M18" s="9" t="s">
        <v>85</v>
      </c>
      <c r="N18" s="9">
        <v>0.843137</v>
      </c>
      <c r="O18" s="9" t="s">
        <v>85</v>
      </c>
      <c r="P18" s="9" t="s">
        <v>85</v>
      </c>
      <c r="Q18" s="9" t="s">
        <v>85</v>
      </c>
      <c r="R18" s="9" t="s">
        <v>85</v>
      </c>
      <c r="S18" s="9" t="s">
        <v>85</v>
      </c>
      <c r="T18" s="9" t="s">
        <v>85</v>
      </c>
      <c r="U18" s="9" t="s">
        <v>85</v>
      </c>
      <c r="V18" s="9" t="s">
        <v>85</v>
      </c>
      <c r="W18" s="9">
        <v>0.892157</v>
      </c>
      <c r="X18" s="9" t="s">
        <v>85</v>
      </c>
      <c r="Y18" s="9" t="s">
        <v>85</v>
      </c>
      <c r="Z18" s="9">
        <v>0.892157</v>
      </c>
      <c r="AA18" s="9" t="s">
        <v>85</v>
      </c>
      <c r="AB18" s="9" t="s">
        <v>85</v>
      </c>
      <c r="AC18" s="9" t="s">
        <v>85</v>
      </c>
      <c r="AD18" s="9" t="s">
        <v>85</v>
      </c>
      <c r="AE18" s="9" t="s">
        <v>85</v>
      </c>
      <c r="AF18" s="9" t="s">
        <v>85</v>
      </c>
      <c r="AG18" s="9" t="s">
        <v>85</v>
      </c>
      <c r="AH18" s="9" t="s">
        <v>85</v>
      </c>
      <c r="AI18" s="9">
        <v>0.888889</v>
      </c>
      <c r="AJ18" s="9" t="s">
        <v>85</v>
      </c>
      <c r="AK18" s="9" t="s">
        <v>85</v>
      </c>
      <c r="AL18" s="9">
        <v>0.892157</v>
      </c>
      <c r="AM18" s="9" t="s">
        <v>85</v>
      </c>
      <c r="AN18" s="9" t="s">
        <v>85</v>
      </c>
      <c r="AO18" s="9" t="s">
        <v>85</v>
      </c>
      <c r="AP18" s="9" t="s">
        <v>85</v>
      </c>
      <c r="AQ18" s="9" t="s">
        <v>85</v>
      </c>
      <c r="AR18" s="9" t="s">
        <v>85</v>
      </c>
      <c r="AS18" s="9" t="s">
        <v>85</v>
      </c>
      <c r="AT18" s="9" t="s">
        <v>85</v>
      </c>
      <c r="AU18" s="9">
        <v>0.875817</v>
      </c>
      <c r="AV18" s="9" t="s">
        <v>85</v>
      </c>
      <c r="AW18" s="9" t="s">
        <v>85</v>
      </c>
      <c r="AX18" s="9">
        <v>0.888889</v>
      </c>
      <c r="AY18" s="9" t="s">
        <v>85</v>
      </c>
      <c r="AZ18" s="9" t="s">
        <v>85</v>
      </c>
      <c r="BA18" s="9" t="s">
        <v>85</v>
      </c>
      <c r="BB18" s="9" t="s">
        <v>85</v>
      </c>
      <c r="BC18" s="10" t="s">
        <v>85</v>
      </c>
      <c r="BD18" s="10" t="s">
        <v>85</v>
      </c>
      <c r="BE18" s="9" t="s">
        <v>85</v>
      </c>
      <c r="BF18" s="10" t="s">
        <v>85</v>
      </c>
      <c r="BG18" s="10" t="s">
        <v>85</v>
      </c>
      <c r="BH18" s="9" t="s">
        <v>85</v>
      </c>
      <c r="BI18" s="6"/>
      <c r="BJ18" s="6" t="str">
        <f t="shared" si="1"/>
        <v>8V_Fold_Median</v>
      </c>
      <c r="BK18" s="6" t="str">
        <f t="shared" si="2"/>
        <v>8V_Fold_Median</v>
      </c>
      <c r="BL18" s="6" t="str">
        <f t="shared" si="3"/>
        <v>8V_Fold_Median</v>
      </c>
      <c r="BM18" s="6"/>
      <c r="BN18" s="6"/>
      <c r="BO18" s="18">
        <f>COUNTIFS(BJ11:BJ108,"*V*",C11:C108,"&lt;=100")</f>
        <v>90</v>
      </c>
      <c r="BP18" s="19">
        <f>COUNTIFS(BJ11:BJ108,"*V*",C11:C108,"&gt;100",C11:C108,"&lt;=200")</f>
        <v>0</v>
      </c>
      <c r="BQ18" s="18">
        <f>COUNTIFS(BJ11:BJ108,"*V*",C11:C108,"&gt;200",C11:C108,"&lt;500")</f>
        <v>0</v>
      </c>
      <c r="BR18" s="18">
        <f>COUNTIFS(BJ11:BJ108,"*V*",C11:C108,"&gt;=500",C11:C108,"&lt;1000")</f>
        <v>0</v>
      </c>
      <c r="BS18" s="18">
        <f>COUNTIFS(BJ11:BJ108,"*V*",C11:C108,"&gt;=1000")</f>
        <v>0</v>
      </c>
      <c r="BT18" s="6"/>
      <c r="BU18" s="6"/>
    </row>
    <row r="19" ht="15.75" customHeight="1">
      <c r="A19" s="1" t="s">
        <v>113</v>
      </c>
      <c r="B19" s="17">
        <v>80.0</v>
      </c>
      <c r="C19" s="17">
        <v>3.0</v>
      </c>
      <c r="D19" s="9" t="s">
        <v>85</v>
      </c>
      <c r="E19" s="9" t="s">
        <v>85</v>
      </c>
      <c r="F19" s="9" t="s">
        <v>85</v>
      </c>
      <c r="G19" s="9" t="s">
        <v>85</v>
      </c>
      <c r="H19" s="9" t="s">
        <v>85</v>
      </c>
      <c r="I19" s="9" t="s">
        <v>85</v>
      </c>
      <c r="J19" s="9" t="s">
        <v>85</v>
      </c>
      <c r="K19" s="9">
        <v>0.741007</v>
      </c>
      <c r="L19" s="9" t="s">
        <v>85</v>
      </c>
      <c r="M19" s="9" t="s">
        <v>85</v>
      </c>
      <c r="N19" s="9">
        <v>0.733813</v>
      </c>
      <c r="O19" s="9" t="s">
        <v>85</v>
      </c>
      <c r="P19" s="9" t="s">
        <v>85</v>
      </c>
      <c r="Q19" s="9" t="s">
        <v>85</v>
      </c>
      <c r="R19" s="9" t="s">
        <v>85</v>
      </c>
      <c r="S19" s="9" t="s">
        <v>85</v>
      </c>
      <c r="T19" s="9" t="s">
        <v>85</v>
      </c>
      <c r="U19" s="9" t="s">
        <v>85</v>
      </c>
      <c r="V19" s="9" t="s">
        <v>85</v>
      </c>
      <c r="W19" s="9">
        <v>0.683453</v>
      </c>
      <c r="X19" s="9" t="s">
        <v>85</v>
      </c>
      <c r="Y19" s="9" t="s">
        <v>85</v>
      </c>
      <c r="Z19" s="9">
        <v>0.683453</v>
      </c>
      <c r="AA19" s="9" t="s">
        <v>85</v>
      </c>
      <c r="AB19" s="9" t="s">
        <v>85</v>
      </c>
      <c r="AC19" s="9" t="s">
        <v>85</v>
      </c>
      <c r="AD19" s="9" t="s">
        <v>85</v>
      </c>
      <c r="AE19" s="9" t="s">
        <v>85</v>
      </c>
      <c r="AF19" s="9" t="s">
        <v>85</v>
      </c>
      <c r="AG19" s="9" t="s">
        <v>85</v>
      </c>
      <c r="AH19" s="9" t="s">
        <v>85</v>
      </c>
      <c r="AI19" s="9">
        <v>0.705036</v>
      </c>
      <c r="AJ19" s="9" t="s">
        <v>85</v>
      </c>
      <c r="AK19" s="9" t="s">
        <v>85</v>
      </c>
      <c r="AL19" s="9">
        <v>0.683453</v>
      </c>
      <c r="AM19" s="9" t="s">
        <v>85</v>
      </c>
      <c r="AN19" s="9" t="s">
        <v>85</v>
      </c>
      <c r="AO19" s="9" t="s">
        <v>85</v>
      </c>
      <c r="AP19" s="9" t="s">
        <v>85</v>
      </c>
      <c r="AQ19" s="9" t="s">
        <v>85</v>
      </c>
      <c r="AR19" s="9" t="s">
        <v>85</v>
      </c>
      <c r="AS19" s="9" t="s">
        <v>85</v>
      </c>
      <c r="AT19" s="9" t="s">
        <v>85</v>
      </c>
      <c r="AU19" s="9">
        <v>0.683453</v>
      </c>
      <c r="AV19" s="9" t="s">
        <v>85</v>
      </c>
      <c r="AW19" s="9" t="s">
        <v>85</v>
      </c>
      <c r="AX19" s="9">
        <v>0.683453</v>
      </c>
      <c r="AY19" s="9" t="s">
        <v>85</v>
      </c>
      <c r="AZ19" s="9" t="s">
        <v>85</v>
      </c>
      <c r="BA19" s="9" t="s">
        <v>85</v>
      </c>
      <c r="BB19" s="9" t="s">
        <v>85</v>
      </c>
      <c r="BC19" s="10" t="s">
        <v>85</v>
      </c>
      <c r="BD19" s="10" t="s">
        <v>85</v>
      </c>
      <c r="BE19" s="9" t="s">
        <v>85</v>
      </c>
      <c r="BF19" s="10" t="s">
        <v>85</v>
      </c>
      <c r="BG19" s="10" t="s">
        <v>85</v>
      </c>
      <c r="BH19" s="9" t="s">
        <v>85</v>
      </c>
      <c r="BI19" s="6"/>
      <c r="BJ19" s="6" t="str">
        <f t="shared" si="1"/>
        <v>5V_Fold_Median</v>
      </c>
      <c r="BK19" s="6" t="str">
        <f t="shared" si="2"/>
        <v>5VB_Fold_Median</v>
      </c>
      <c r="BL19" s="6" t="str">
        <f t="shared" si="3"/>
        <v>10V_Fold_Median</v>
      </c>
      <c r="BM19" s="6"/>
      <c r="BN19" s="6"/>
      <c r="BO19" s="6"/>
      <c r="BQ19" s="6"/>
      <c r="BR19" s="6"/>
      <c r="BS19" s="6"/>
      <c r="BT19" s="6"/>
      <c r="BU19" s="6"/>
    </row>
    <row r="20" ht="15.75" customHeight="1">
      <c r="A20" s="1" t="s">
        <v>114</v>
      </c>
      <c r="B20" s="17">
        <v>80.0</v>
      </c>
      <c r="C20" s="17">
        <v>2.0</v>
      </c>
      <c r="D20" s="9" t="s">
        <v>85</v>
      </c>
      <c r="E20" s="9" t="s">
        <v>85</v>
      </c>
      <c r="F20" s="9" t="s">
        <v>85</v>
      </c>
      <c r="G20" s="9" t="s">
        <v>85</v>
      </c>
      <c r="H20" s="9" t="s">
        <v>85</v>
      </c>
      <c r="I20" s="9" t="s">
        <v>85</v>
      </c>
      <c r="J20" s="9" t="s">
        <v>85</v>
      </c>
      <c r="K20" s="9">
        <v>0.75</v>
      </c>
      <c r="L20" s="9" t="s">
        <v>85</v>
      </c>
      <c r="M20" s="9" t="s">
        <v>85</v>
      </c>
      <c r="N20" s="9">
        <v>0.75</v>
      </c>
      <c r="O20" s="9" t="s">
        <v>85</v>
      </c>
      <c r="P20" s="9" t="s">
        <v>85</v>
      </c>
      <c r="Q20" s="9" t="s">
        <v>85</v>
      </c>
      <c r="R20" s="9" t="s">
        <v>85</v>
      </c>
      <c r="S20" s="9" t="s">
        <v>85</v>
      </c>
      <c r="T20" s="9" t="s">
        <v>85</v>
      </c>
      <c r="U20" s="9" t="s">
        <v>85</v>
      </c>
      <c r="V20" s="9" t="s">
        <v>85</v>
      </c>
      <c r="W20" s="9">
        <v>0.757246</v>
      </c>
      <c r="X20" s="9" t="s">
        <v>85</v>
      </c>
      <c r="Y20" s="9" t="s">
        <v>85</v>
      </c>
      <c r="Z20" s="9">
        <v>0.757246</v>
      </c>
      <c r="AA20" s="9" t="s">
        <v>85</v>
      </c>
      <c r="AB20" s="9" t="s">
        <v>85</v>
      </c>
      <c r="AC20" s="9" t="s">
        <v>85</v>
      </c>
      <c r="AD20" s="9" t="s">
        <v>85</v>
      </c>
      <c r="AE20" s="9" t="s">
        <v>85</v>
      </c>
      <c r="AF20" s="9" t="s">
        <v>85</v>
      </c>
      <c r="AG20" s="9" t="s">
        <v>85</v>
      </c>
      <c r="AH20" s="9" t="s">
        <v>85</v>
      </c>
      <c r="AI20" s="9">
        <v>0.735507</v>
      </c>
      <c r="AJ20" s="9" t="s">
        <v>85</v>
      </c>
      <c r="AK20" s="9" t="s">
        <v>85</v>
      </c>
      <c r="AL20" s="9">
        <v>0.724638</v>
      </c>
      <c r="AM20" s="9" t="s">
        <v>85</v>
      </c>
      <c r="AN20" s="9" t="s">
        <v>85</v>
      </c>
      <c r="AO20" s="9" t="s">
        <v>85</v>
      </c>
      <c r="AP20" s="9" t="s">
        <v>85</v>
      </c>
      <c r="AQ20" s="9" t="s">
        <v>85</v>
      </c>
      <c r="AR20" s="9" t="s">
        <v>85</v>
      </c>
      <c r="AS20" s="9" t="s">
        <v>85</v>
      </c>
      <c r="AT20" s="9" t="s">
        <v>85</v>
      </c>
      <c r="AU20" s="9">
        <v>0.764493</v>
      </c>
      <c r="AV20" s="9" t="s">
        <v>85</v>
      </c>
      <c r="AW20" s="9" t="s">
        <v>85</v>
      </c>
      <c r="AX20" s="9">
        <v>0.764493</v>
      </c>
      <c r="AY20" s="9" t="s">
        <v>85</v>
      </c>
      <c r="AZ20" s="9" t="s">
        <v>85</v>
      </c>
      <c r="BA20" s="9" t="s">
        <v>85</v>
      </c>
      <c r="BB20" s="9" t="s">
        <v>85</v>
      </c>
      <c r="BC20" s="10" t="s">
        <v>85</v>
      </c>
      <c r="BD20" s="10" t="s">
        <v>85</v>
      </c>
      <c r="BE20" s="9" t="s">
        <v>85</v>
      </c>
      <c r="BF20" s="10" t="s">
        <v>85</v>
      </c>
      <c r="BG20" s="10" t="s">
        <v>85</v>
      </c>
      <c r="BH20" s="9" t="s">
        <v>85</v>
      </c>
      <c r="BI20" s="6"/>
      <c r="BJ20" s="6" t="str">
        <f t="shared" si="1"/>
        <v>12V_Fold_Median</v>
      </c>
      <c r="BK20" s="6" t="str">
        <f t="shared" si="2"/>
        <v>12V_Fold_Median</v>
      </c>
      <c r="BL20" s="6" t="str">
        <f t="shared" si="3"/>
        <v>8V_Fold_Median</v>
      </c>
      <c r="BM20" s="6"/>
      <c r="BN20" s="6"/>
      <c r="BO20" s="6"/>
      <c r="BQ20" s="6"/>
      <c r="BR20" s="6"/>
      <c r="BS20" s="6"/>
      <c r="BT20" s="6"/>
      <c r="BU20" s="6"/>
    </row>
    <row r="21" ht="15.75" customHeight="1">
      <c r="A21" s="1" t="s">
        <v>115</v>
      </c>
      <c r="B21" s="17">
        <v>80.0</v>
      </c>
      <c r="C21" s="17">
        <v>6.0</v>
      </c>
      <c r="D21" s="9" t="s">
        <v>85</v>
      </c>
      <c r="E21" s="9" t="s">
        <v>85</v>
      </c>
      <c r="F21" s="9" t="s">
        <v>85</v>
      </c>
      <c r="G21" s="9" t="s">
        <v>85</v>
      </c>
      <c r="H21" s="9" t="s">
        <v>85</v>
      </c>
      <c r="I21" s="9" t="s">
        <v>85</v>
      </c>
      <c r="J21" s="9" t="s">
        <v>85</v>
      </c>
      <c r="K21" s="9">
        <v>0.669065</v>
      </c>
      <c r="L21" s="9" t="s">
        <v>85</v>
      </c>
      <c r="M21" s="9" t="s">
        <v>85</v>
      </c>
      <c r="N21" s="9">
        <v>0.654676</v>
      </c>
      <c r="O21" s="9" t="s">
        <v>85</v>
      </c>
      <c r="P21" s="9" t="s">
        <v>85</v>
      </c>
      <c r="Q21" s="9" t="s">
        <v>85</v>
      </c>
      <c r="R21" s="9" t="s">
        <v>85</v>
      </c>
      <c r="S21" s="9" t="s">
        <v>85</v>
      </c>
      <c r="T21" s="9" t="s">
        <v>85</v>
      </c>
      <c r="U21" s="9" t="s">
        <v>85</v>
      </c>
      <c r="V21" s="9" t="s">
        <v>85</v>
      </c>
      <c r="W21" s="9">
        <v>0.66187</v>
      </c>
      <c r="X21" s="9" t="s">
        <v>85</v>
      </c>
      <c r="Y21" s="9" t="s">
        <v>85</v>
      </c>
      <c r="Z21" s="9">
        <v>0.669065</v>
      </c>
      <c r="AA21" s="9" t="s">
        <v>85</v>
      </c>
      <c r="AB21" s="9" t="s">
        <v>85</v>
      </c>
      <c r="AC21" s="9" t="s">
        <v>85</v>
      </c>
      <c r="AD21" s="9" t="s">
        <v>85</v>
      </c>
      <c r="AE21" s="9" t="s">
        <v>85</v>
      </c>
      <c r="AF21" s="9" t="s">
        <v>85</v>
      </c>
      <c r="AG21" s="9" t="s">
        <v>85</v>
      </c>
      <c r="AH21" s="9" t="s">
        <v>85</v>
      </c>
      <c r="AI21" s="9">
        <v>0.633094</v>
      </c>
      <c r="AJ21" s="9" t="s">
        <v>85</v>
      </c>
      <c r="AK21" s="9" t="s">
        <v>85</v>
      </c>
      <c r="AL21" s="9">
        <v>0.647482</v>
      </c>
      <c r="AM21" s="9" t="s">
        <v>85</v>
      </c>
      <c r="AN21" s="9" t="s">
        <v>85</v>
      </c>
      <c r="AO21" s="9" t="s">
        <v>85</v>
      </c>
      <c r="AP21" s="9" t="s">
        <v>85</v>
      </c>
      <c r="AQ21" s="9" t="s">
        <v>85</v>
      </c>
      <c r="AR21" s="9" t="s">
        <v>85</v>
      </c>
      <c r="AS21" s="9" t="s">
        <v>85</v>
      </c>
      <c r="AT21" s="9" t="s">
        <v>85</v>
      </c>
      <c r="AU21" s="9">
        <v>0.654676</v>
      </c>
      <c r="AV21" s="9" t="s">
        <v>85</v>
      </c>
      <c r="AW21" s="9" t="s">
        <v>85</v>
      </c>
      <c r="AX21" s="9">
        <v>0.654676</v>
      </c>
      <c r="AY21" s="9" t="s">
        <v>85</v>
      </c>
      <c r="AZ21" s="9" t="s">
        <v>85</v>
      </c>
      <c r="BA21" s="9" t="s">
        <v>85</v>
      </c>
      <c r="BB21" s="9" t="s">
        <v>85</v>
      </c>
      <c r="BC21" s="10" t="s">
        <v>85</v>
      </c>
      <c r="BD21" s="10" t="s">
        <v>85</v>
      </c>
      <c r="BE21" s="9" t="s">
        <v>85</v>
      </c>
      <c r="BF21" s="10" t="s">
        <v>85</v>
      </c>
      <c r="BG21" s="10" t="s">
        <v>85</v>
      </c>
      <c r="BH21" s="9" t="s">
        <v>85</v>
      </c>
      <c r="BI21" s="6"/>
      <c r="BJ21" s="6" t="str">
        <f t="shared" si="1"/>
        <v>5V_Fold_Median</v>
      </c>
      <c r="BK21" s="6" t="str">
        <f t="shared" si="2"/>
        <v>5V_Fold_Median</v>
      </c>
      <c r="BL21" s="6" t="str">
        <f t="shared" si="3"/>
        <v>8V_Fold_Median</v>
      </c>
      <c r="BM21" s="6"/>
      <c r="BN21" s="6"/>
      <c r="BO21" s="6"/>
      <c r="BP21" s="6"/>
      <c r="BQ21" s="6"/>
      <c r="BR21" s="6"/>
      <c r="BS21" s="6"/>
      <c r="BT21" s="6"/>
      <c r="BU21" s="6"/>
    </row>
    <row r="22" ht="15.75" customHeight="1">
      <c r="A22" s="1" t="s">
        <v>116</v>
      </c>
      <c r="B22" s="17">
        <v>512.0</v>
      </c>
      <c r="C22" s="17">
        <v>2.0</v>
      </c>
      <c r="D22" s="9" t="s">
        <v>85</v>
      </c>
      <c r="E22" s="9" t="s">
        <v>85</v>
      </c>
      <c r="F22" s="9" t="s">
        <v>85</v>
      </c>
      <c r="G22" s="9" t="s">
        <v>85</v>
      </c>
      <c r="H22" s="9" t="s">
        <v>85</v>
      </c>
      <c r="I22" s="9" t="s">
        <v>85</v>
      </c>
      <c r="J22" s="9" t="s">
        <v>85</v>
      </c>
      <c r="K22" s="9">
        <v>0.748201</v>
      </c>
      <c r="L22" s="9" t="s">
        <v>85</v>
      </c>
      <c r="M22" s="9" t="s">
        <v>85</v>
      </c>
      <c r="N22" s="9">
        <v>0.748201</v>
      </c>
      <c r="O22" s="9" t="s">
        <v>85</v>
      </c>
      <c r="P22" s="9" t="s">
        <v>85</v>
      </c>
      <c r="Q22" s="9" t="s">
        <v>85</v>
      </c>
      <c r="R22" s="9" t="s">
        <v>85</v>
      </c>
      <c r="S22" s="9" t="s">
        <v>85</v>
      </c>
      <c r="T22" s="9" t="s">
        <v>85</v>
      </c>
      <c r="U22" s="9" t="s">
        <v>85</v>
      </c>
      <c r="V22" s="9" t="s">
        <v>85</v>
      </c>
      <c r="W22" s="9">
        <v>0.748201</v>
      </c>
      <c r="X22" s="9" t="s">
        <v>85</v>
      </c>
      <c r="Y22" s="9" t="s">
        <v>85</v>
      </c>
      <c r="Z22" s="9">
        <v>0.748201</v>
      </c>
      <c r="AA22" s="9" t="s">
        <v>85</v>
      </c>
      <c r="AB22" s="9" t="s">
        <v>85</v>
      </c>
      <c r="AC22" s="9" t="s">
        <v>85</v>
      </c>
      <c r="AD22" s="9" t="s">
        <v>85</v>
      </c>
      <c r="AE22" s="9" t="s">
        <v>85</v>
      </c>
      <c r="AF22" s="9" t="s">
        <v>85</v>
      </c>
      <c r="AG22" s="9" t="s">
        <v>85</v>
      </c>
      <c r="AH22" s="9" t="s">
        <v>85</v>
      </c>
      <c r="AI22" s="9">
        <v>0.748201</v>
      </c>
      <c r="AJ22" s="9" t="s">
        <v>85</v>
      </c>
      <c r="AK22" s="9" t="s">
        <v>85</v>
      </c>
      <c r="AL22" s="9">
        <v>0.748201</v>
      </c>
      <c r="AM22" s="9" t="s">
        <v>85</v>
      </c>
      <c r="AN22" s="9" t="s">
        <v>85</v>
      </c>
      <c r="AO22" s="9" t="s">
        <v>85</v>
      </c>
      <c r="AP22" s="9" t="s">
        <v>85</v>
      </c>
      <c r="AQ22" s="9" t="s">
        <v>85</v>
      </c>
      <c r="AR22" s="9" t="s">
        <v>85</v>
      </c>
      <c r="AS22" s="9" t="s">
        <v>85</v>
      </c>
      <c r="AT22" s="9" t="s">
        <v>85</v>
      </c>
      <c r="AU22" s="9">
        <v>0.748201</v>
      </c>
      <c r="AV22" s="9" t="s">
        <v>85</v>
      </c>
      <c r="AW22" s="9" t="s">
        <v>85</v>
      </c>
      <c r="AX22" s="9">
        <v>0.748201</v>
      </c>
      <c r="AY22" s="9" t="s">
        <v>85</v>
      </c>
      <c r="AZ22" s="9" t="s">
        <v>85</v>
      </c>
      <c r="BA22" s="9" t="s">
        <v>85</v>
      </c>
      <c r="BB22" s="9" t="s">
        <v>85</v>
      </c>
      <c r="BC22" s="10" t="s">
        <v>85</v>
      </c>
      <c r="BD22" s="10" t="s">
        <v>85</v>
      </c>
      <c r="BE22" s="9" t="s">
        <v>85</v>
      </c>
      <c r="BF22" s="10" t="s">
        <v>85</v>
      </c>
      <c r="BG22" s="10" t="s">
        <v>85</v>
      </c>
      <c r="BH22" s="9" t="s">
        <v>85</v>
      </c>
      <c r="BI22" s="6"/>
      <c r="BJ22" s="6" t="str">
        <f t="shared" si="1"/>
        <v>5V_Fold_Median</v>
      </c>
      <c r="BK22" s="6" t="str">
        <f t="shared" si="2"/>
        <v>5V_Fold_Median</v>
      </c>
      <c r="BL22" s="6" t="str">
        <f t="shared" si="3"/>
        <v>5V_Fold_Median</v>
      </c>
      <c r="BM22" s="6"/>
      <c r="BN22" s="6"/>
      <c r="BO22" s="6"/>
      <c r="BP22" s="6"/>
      <c r="BQ22" s="6"/>
      <c r="BR22" s="6"/>
      <c r="BS22" s="6"/>
      <c r="BT22" s="6"/>
      <c r="BU22" s="6"/>
    </row>
    <row r="23" ht="15.75" customHeight="1">
      <c r="A23" s="1" t="s">
        <v>117</v>
      </c>
      <c r="B23" s="17">
        <v>96.0</v>
      </c>
      <c r="C23" s="17">
        <v>2.0</v>
      </c>
      <c r="D23" s="9" t="s">
        <v>85</v>
      </c>
      <c r="E23" s="9" t="s">
        <v>85</v>
      </c>
      <c r="F23" s="9" t="s">
        <v>85</v>
      </c>
      <c r="G23" s="9" t="s">
        <v>85</v>
      </c>
      <c r="H23" s="9" t="s">
        <v>85</v>
      </c>
      <c r="I23" s="9" t="s">
        <v>85</v>
      </c>
      <c r="J23" s="9" t="s">
        <v>85</v>
      </c>
      <c r="K23" s="9">
        <v>0.64</v>
      </c>
      <c r="L23" s="9" t="s">
        <v>85</v>
      </c>
      <c r="M23" s="9" t="s">
        <v>85</v>
      </c>
      <c r="N23" s="9">
        <v>0.64</v>
      </c>
      <c r="O23" s="9" t="s">
        <v>85</v>
      </c>
      <c r="P23" s="9" t="s">
        <v>85</v>
      </c>
      <c r="Q23" s="9" t="s">
        <v>85</v>
      </c>
      <c r="R23" s="9" t="s">
        <v>85</v>
      </c>
      <c r="S23" s="9" t="s">
        <v>85</v>
      </c>
      <c r="T23" s="9" t="s">
        <v>85</v>
      </c>
      <c r="U23" s="9" t="s">
        <v>85</v>
      </c>
      <c r="V23" s="9" t="s">
        <v>85</v>
      </c>
      <c r="W23" s="9">
        <v>0.64</v>
      </c>
      <c r="X23" s="9" t="s">
        <v>85</v>
      </c>
      <c r="Y23" s="9" t="s">
        <v>85</v>
      </c>
      <c r="Z23" s="9">
        <v>0.64</v>
      </c>
      <c r="AA23" s="9" t="s">
        <v>85</v>
      </c>
      <c r="AB23" s="9" t="s">
        <v>85</v>
      </c>
      <c r="AC23" s="9" t="s">
        <v>85</v>
      </c>
      <c r="AD23" s="9" t="s">
        <v>85</v>
      </c>
      <c r="AE23" s="9" t="s">
        <v>85</v>
      </c>
      <c r="AF23" s="9" t="s">
        <v>85</v>
      </c>
      <c r="AG23" s="9" t="s">
        <v>85</v>
      </c>
      <c r="AH23" s="9" t="s">
        <v>85</v>
      </c>
      <c r="AI23" s="9">
        <v>0.64</v>
      </c>
      <c r="AJ23" s="9" t="s">
        <v>85</v>
      </c>
      <c r="AK23" s="9" t="s">
        <v>85</v>
      </c>
      <c r="AL23" s="9">
        <v>0.64</v>
      </c>
      <c r="AM23" s="9" t="s">
        <v>85</v>
      </c>
      <c r="AN23" s="9" t="s">
        <v>85</v>
      </c>
      <c r="AO23" s="9" t="s">
        <v>85</v>
      </c>
      <c r="AP23" s="9" t="s">
        <v>85</v>
      </c>
      <c r="AQ23" s="9" t="s">
        <v>85</v>
      </c>
      <c r="AR23" s="9" t="s">
        <v>85</v>
      </c>
      <c r="AS23" s="9" t="s">
        <v>85</v>
      </c>
      <c r="AT23" s="9" t="s">
        <v>85</v>
      </c>
      <c r="AU23" s="9">
        <v>0.64</v>
      </c>
      <c r="AV23" s="9" t="s">
        <v>85</v>
      </c>
      <c r="AW23" s="9" t="s">
        <v>85</v>
      </c>
      <c r="AX23" s="9">
        <v>0.64</v>
      </c>
      <c r="AY23" s="9" t="s">
        <v>85</v>
      </c>
      <c r="AZ23" s="9" t="s">
        <v>85</v>
      </c>
      <c r="BA23" s="9" t="s">
        <v>85</v>
      </c>
      <c r="BB23" s="9" t="s">
        <v>85</v>
      </c>
      <c r="BC23" s="10" t="s">
        <v>85</v>
      </c>
      <c r="BD23" s="10" t="s">
        <v>85</v>
      </c>
      <c r="BE23" s="9" t="s">
        <v>85</v>
      </c>
      <c r="BF23" s="10" t="s">
        <v>85</v>
      </c>
      <c r="BG23" s="10" t="s">
        <v>85</v>
      </c>
      <c r="BH23" s="9" t="s">
        <v>85</v>
      </c>
      <c r="BI23" s="6"/>
      <c r="BJ23" s="6" t="str">
        <f t="shared" si="1"/>
        <v>5V_Fold_Median</v>
      </c>
      <c r="BK23" s="6" t="str">
        <f t="shared" si="2"/>
        <v>5V_Fold_Median</v>
      </c>
      <c r="BL23" s="6" t="str">
        <f t="shared" si="3"/>
        <v>5V_Fold_Median</v>
      </c>
      <c r="BM23" s="6"/>
      <c r="BN23" s="6"/>
      <c r="BO23" s="6"/>
      <c r="BP23" s="6"/>
      <c r="BQ23" s="6"/>
      <c r="BR23" s="6"/>
      <c r="BS23" s="6"/>
      <c r="BT23" s="6"/>
      <c r="BU23" s="6"/>
    </row>
    <row r="24" ht="15.75" customHeight="1">
      <c r="A24" s="1" t="s">
        <v>118</v>
      </c>
      <c r="B24" s="17">
        <v>140.0</v>
      </c>
      <c r="C24" s="17">
        <v>5.0</v>
      </c>
      <c r="D24" s="9" t="s">
        <v>85</v>
      </c>
      <c r="E24" s="9" t="s">
        <v>85</v>
      </c>
      <c r="F24" s="9" t="s">
        <v>85</v>
      </c>
      <c r="G24" s="9" t="s">
        <v>85</v>
      </c>
      <c r="H24" s="9" t="s">
        <v>85</v>
      </c>
      <c r="I24" s="9" t="s">
        <v>85</v>
      </c>
      <c r="J24" s="9" t="s">
        <v>85</v>
      </c>
      <c r="K24" s="9">
        <v>0.917556</v>
      </c>
      <c r="L24" s="9" t="s">
        <v>85</v>
      </c>
      <c r="M24" s="9" t="s">
        <v>85</v>
      </c>
      <c r="N24" s="9">
        <v>0.915111</v>
      </c>
      <c r="O24" s="9" t="s">
        <v>85</v>
      </c>
      <c r="P24" s="9" t="s">
        <v>85</v>
      </c>
      <c r="Q24" s="9" t="s">
        <v>85</v>
      </c>
      <c r="R24" s="9" t="s">
        <v>85</v>
      </c>
      <c r="S24" s="9" t="s">
        <v>85</v>
      </c>
      <c r="T24" s="9" t="s">
        <v>85</v>
      </c>
      <c r="U24" s="9" t="s">
        <v>85</v>
      </c>
      <c r="V24" s="9" t="s">
        <v>85</v>
      </c>
      <c r="W24" s="9">
        <v>0.921333</v>
      </c>
      <c r="X24" s="9" t="s">
        <v>85</v>
      </c>
      <c r="Y24" s="9" t="s">
        <v>85</v>
      </c>
      <c r="Z24" s="9">
        <v>0.920222</v>
      </c>
      <c r="AA24" s="9" t="s">
        <v>85</v>
      </c>
      <c r="AB24" s="9" t="s">
        <v>85</v>
      </c>
      <c r="AC24" s="9" t="s">
        <v>85</v>
      </c>
      <c r="AD24" s="9" t="s">
        <v>85</v>
      </c>
      <c r="AE24" s="9" t="s">
        <v>85</v>
      </c>
      <c r="AF24" s="9" t="s">
        <v>85</v>
      </c>
      <c r="AG24" s="9" t="s">
        <v>85</v>
      </c>
      <c r="AH24" s="9" t="s">
        <v>85</v>
      </c>
      <c r="AI24" s="9">
        <v>0.920444</v>
      </c>
      <c r="AJ24" s="9" t="s">
        <v>85</v>
      </c>
      <c r="AK24" s="9" t="s">
        <v>85</v>
      </c>
      <c r="AL24" s="9">
        <v>0.920889</v>
      </c>
      <c r="AM24" s="9" t="s">
        <v>85</v>
      </c>
      <c r="AN24" s="9" t="s">
        <v>85</v>
      </c>
      <c r="AO24" s="9" t="s">
        <v>85</v>
      </c>
      <c r="AP24" s="9" t="s">
        <v>85</v>
      </c>
      <c r="AQ24" s="9" t="s">
        <v>85</v>
      </c>
      <c r="AR24" s="9" t="s">
        <v>85</v>
      </c>
      <c r="AS24" s="9" t="s">
        <v>85</v>
      </c>
      <c r="AT24" s="9" t="s">
        <v>85</v>
      </c>
      <c r="AU24" s="9">
        <v>0.920667</v>
      </c>
      <c r="AV24" s="9" t="s">
        <v>85</v>
      </c>
      <c r="AW24" s="9" t="s">
        <v>85</v>
      </c>
      <c r="AX24" s="9">
        <v>0.920444</v>
      </c>
      <c r="AY24" s="9" t="s">
        <v>85</v>
      </c>
      <c r="AZ24" s="9" t="s">
        <v>85</v>
      </c>
      <c r="BA24" s="9" t="s">
        <v>85</v>
      </c>
      <c r="BB24" s="9" t="s">
        <v>85</v>
      </c>
      <c r="BC24" s="10" t="s">
        <v>85</v>
      </c>
      <c r="BD24" s="10" t="s">
        <v>85</v>
      </c>
      <c r="BE24" s="9" t="s">
        <v>85</v>
      </c>
      <c r="BF24" s="10" t="s">
        <v>85</v>
      </c>
      <c r="BG24" s="10" t="s">
        <v>85</v>
      </c>
      <c r="BH24" s="9" t="s">
        <v>85</v>
      </c>
      <c r="BI24" s="6"/>
      <c r="BJ24" s="6" t="str">
        <f t="shared" si="1"/>
        <v>8V_Fold_Median</v>
      </c>
      <c r="BK24" s="6" t="str">
        <f t="shared" si="2"/>
        <v>10VB_Fold_Median</v>
      </c>
      <c r="BL24" s="6" t="str">
        <f t="shared" si="3"/>
        <v>12V_Fold_Median</v>
      </c>
      <c r="BM24" s="6"/>
      <c r="BO24" s="6"/>
      <c r="BP24" s="6"/>
      <c r="BQ24" s="6"/>
      <c r="BR24" s="6"/>
      <c r="BS24" s="6"/>
      <c r="BT24" s="6"/>
      <c r="BU24" s="6"/>
    </row>
    <row r="25" ht="15.75" customHeight="1">
      <c r="A25" s="1" t="s">
        <v>119</v>
      </c>
      <c r="B25" s="17">
        <v>136.0</v>
      </c>
      <c r="C25" s="17">
        <v>2.0</v>
      </c>
      <c r="D25" s="9" t="s">
        <v>85</v>
      </c>
      <c r="E25" s="9" t="s">
        <v>85</v>
      </c>
      <c r="F25" s="9" t="s">
        <v>85</v>
      </c>
      <c r="G25" s="9" t="s">
        <v>85</v>
      </c>
      <c r="H25" s="9" t="s">
        <v>85</v>
      </c>
      <c r="I25" s="9" t="s">
        <v>85</v>
      </c>
      <c r="J25" s="9" t="s">
        <v>85</v>
      </c>
      <c r="K25" s="9">
        <v>0.888502</v>
      </c>
      <c r="L25" s="9" t="s">
        <v>85</v>
      </c>
      <c r="M25" s="9" t="s">
        <v>85</v>
      </c>
      <c r="N25" s="9">
        <v>0.878049</v>
      </c>
      <c r="O25" s="9" t="s">
        <v>85</v>
      </c>
      <c r="P25" s="9" t="s">
        <v>85</v>
      </c>
      <c r="Q25" s="9" t="s">
        <v>85</v>
      </c>
      <c r="R25" s="9" t="s">
        <v>85</v>
      </c>
      <c r="S25" s="9" t="s">
        <v>85</v>
      </c>
      <c r="T25" s="9" t="s">
        <v>85</v>
      </c>
      <c r="U25" s="9" t="s">
        <v>85</v>
      </c>
      <c r="V25" s="9" t="s">
        <v>85</v>
      </c>
      <c r="W25" s="9">
        <v>0.858304</v>
      </c>
      <c r="X25" s="9" t="s">
        <v>85</v>
      </c>
      <c r="Y25" s="9" t="s">
        <v>85</v>
      </c>
      <c r="Z25" s="9">
        <v>0.826945</v>
      </c>
      <c r="AA25" s="9" t="s">
        <v>85</v>
      </c>
      <c r="AB25" s="9" t="s">
        <v>85</v>
      </c>
      <c r="AC25" s="9" t="s">
        <v>85</v>
      </c>
      <c r="AD25" s="9" t="s">
        <v>85</v>
      </c>
      <c r="AE25" s="9" t="s">
        <v>85</v>
      </c>
      <c r="AF25" s="9" t="s">
        <v>85</v>
      </c>
      <c r="AG25" s="9" t="s">
        <v>85</v>
      </c>
      <c r="AH25" s="9" t="s">
        <v>85</v>
      </c>
      <c r="AI25" s="9">
        <v>0.68525</v>
      </c>
      <c r="AJ25" s="9" t="s">
        <v>85</v>
      </c>
      <c r="AK25" s="9" t="s">
        <v>85</v>
      </c>
      <c r="AL25" s="9">
        <v>0.627178</v>
      </c>
      <c r="AM25" s="9" t="s">
        <v>85</v>
      </c>
      <c r="AN25" s="9" t="s">
        <v>85</v>
      </c>
      <c r="AO25" s="9" t="s">
        <v>85</v>
      </c>
      <c r="AP25" s="9" t="s">
        <v>85</v>
      </c>
      <c r="AQ25" s="9" t="s">
        <v>85</v>
      </c>
      <c r="AR25" s="9" t="s">
        <v>85</v>
      </c>
      <c r="AS25" s="9" t="s">
        <v>85</v>
      </c>
      <c r="AT25" s="9" t="s">
        <v>85</v>
      </c>
      <c r="AU25" s="9">
        <v>0.810685</v>
      </c>
      <c r="AV25" s="9" t="s">
        <v>85</v>
      </c>
      <c r="AW25" s="9" t="s">
        <v>85</v>
      </c>
      <c r="AX25" s="9">
        <v>0.829268</v>
      </c>
      <c r="AY25" s="9" t="s">
        <v>85</v>
      </c>
      <c r="AZ25" s="9" t="s">
        <v>85</v>
      </c>
      <c r="BA25" s="9" t="s">
        <v>85</v>
      </c>
      <c r="BB25" s="9" t="s">
        <v>85</v>
      </c>
      <c r="BC25" s="10" t="s">
        <v>85</v>
      </c>
      <c r="BD25" s="10" t="s">
        <v>85</v>
      </c>
      <c r="BE25" s="9" t="s">
        <v>85</v>
      </c>
      <c r="BF25" s="10" t="s">
        <v>85</v>
      </c>
      <c r="BG25" s="10" t="s">
        <v>85</v>
      </c>
      <c r="BH25" s="9" t="s">
        <v>85</v>
      </c>
      <c r="BI25" s="6"/>
      <c r="BJ25" s="6" t="str">
        <f t="shared" si="1"/>
        <v>5V_Fold_Median</v>
      </c>
      <c r="BK25" s="6" t="str">
        <f t="shared" si="2"/>
        <v>5VB_Fold_Median</v>
      </c>
      <c r="BL25" s="6" t="str">
        <f t="shared" si="3"/>
        <v>8V_Fold_Median</v>
      </c>
      <c r="BM25" s="6"/>
      <c r="BO25" s="6"/>
      <c r="BP25" s="6"/>
      <c r="BQ25" s="6"/>
      <c r="BR25" s="6"/>
      <c r="BS25" s="6"/>
      <c r="BT25" s="6"/>
      <c r="BU25" s="6"/>
    </row>
    <row r="26" ht="15.75" customHeight="1">
      <c r="A26" s="1" t="s">
        <v>120</v>
      </c>
      <c r="B26" s="17">
        <v>96.0</v>
      </c>
      <c r="C26" s="17">
        <v>7.0</v>
      </c>
      <c r="D26" s="9" t="s">
        <v>85</v>
      </c>
      <c r="E26" s="9" t="s">
        <v>85</v>
      </c>
      <c r="F26" s="9" t="s">
        <v>85</v>
      </c>
      <c r="G26" s="9" t="s">
        <v>85</v>
      </c>
      <c r="H26" s="9" t="s">
        <v>85</v>
      </c>
      <c r="I26" s="9" t="s">
        <v>85</v>
      </c>
      <c r="J26" s="9" t="s">
        <v>85</v>
      </c>
      <c r="K26" s="9">
        <v>0.628712</v>
      </c>
      <c r="L26" s="9" t="s">
        <v>85</v>
      </c>
      <c r="M26" s="9" t="s">
        <v>85</v>
      </c>
      <c r="N26" s="9">
        <v>0.637012</v>
      </c>
      <c r="O26" s="9" t="s">
        <v>85</v>
      </c>
      <c r="P26" s="9" t="s">
        <v>85</v>
      </c>
      <c r="Q26" s="9" t="s">
        <v>85</v>
      </c>
      <c r="R26" s="9" t="s">
        <v>85</v>
      </c>
      <c r="S26" s="9" t="s">
        <v>85</v>
      </c>
      <c r="T26" s="9" t="s">
        <v>85</v>
      </c>
      <c r="U26" s="9" t="s">
        <v>85</v>
      </c>
      <c r="V26" s="9" t="s">
        <v>85</v>
      </c>
      <c r="W26" s="9">
        <v>0.635975</v>
      </c>
      <c r="X26" s="9" t="s">
        <v>85</v>
      </c>
      <c r="Y26" s="9" t="s">
        <v>85</v>
      </c>
      <c r="Z26" s="9">
        <v>0.651277</v>
      </c>
      <c r="AA26" s="9" t="s">
        <v>85</v>
      </c>
      <c r="AB26" s="9" t="s">
        <v>85</v>
      </c>
      <c r="AC26" s="9" t="s">
        <v>85</v>
      </c>
      <c r="AD26" s="9" t="s">
        <v>85</v>
      </c>
      <c r="AE26" s="9" t="s">
        <v>85</v>
      </c>
      <c r="AF26" s="9" t="s">
        <v>85</v>
      </c>
      <c r="AG26" s="9" t="s">
        <v>85</v>
      </c>
      <c r="AH26" s="9" t="s">
        <v>85</v>
      </c>
      <c r="AI26" s="9">
        <v>0.651018</v>
      </c>
      <c r="AJ26" s="9" t="s">
        <v>85</v>
      </c>
      <c r="AK26" s="9" t="s">
        <v>85</v>
      </c>
      <c r="AL26" s="9">
        <v>0.638698</v>
      </c>
      <c r="AM26" s="9" t="s">
        <v>85</v>
      </c>
      <c r="AN26" s="9" t="s">
        <v>85</v>
      </c>
      <c r="AO26" s="9" t="s">
        <v>85</v>
      </c>
      <c r="AP26" s="9" t="s">
        <v>85</v>
      </c>
      <c r="AQ26" s="9" t="s">
        <v>85</v>
      </c>
      <c r="AR26" s="9" t="s">
        <v>85</v>
      </c>
      <c r="AS26" s="9" t="s">
        <v>85</v>
      </c>
      <c r="AT26" s="9" t="s">
        <v>85</v>
      </c>
      <c r="AU26" s="9">
        <v>0.631436</v>
      </c>
      <c r="AV26" s="9" t="s">
        <v>85</v>
      </c>
      <c r="AW26" s="9" t="s">
        <v>85</v>
      </c>
      <c r="AX26" s="9">
        <v>0.638179</v>
      </c>
      <c r="AY26" s="9" t="s">
        <v>85</v>
      </c>
      <c r="AZ26" s="9" t="s">
        <v>85</v>
      </c>
      <c r="BA26" s="9" t="s">
        <v>85</v>
      </c>
      <c r="BB26" s="9" t="s">
        <v>85</v>
      </c>
      <c r="BC26" s="10" t="s">
        <v>85</v>
      </c>
      <c r="BD26" s="10" t="s">
        <v>85</v>
      </c>
      <c r="BE26" s="9" t="s">
        <v>85</v>
      </c>
      <c r="BF26" s="10" t="s">
        <v>85</v>
      </c>
      <c r="BG26" s="10" t="s">
        <v>85</v>
      </c>
      <c r="BH26" s="9" t="s">
        <v>85</v>
      </c>
      <c r="BI26" s="6"/>
      <c r="BJ26" s="6" t="str">
        <f t="shared" si="1"/>
        <v>8VB_Fold_Median</v>
      </c>
      <c r="BK26" s="6" t="str">
        <f t="shared" si="2"/>
        <v>10V_Fold_Median</v>
      </c>
      <c r="BL26" s="6" t="str">
        <f t="shared" si="3"/>
        <v>10VB_Fold_Median</v>
      </c>
      <c r="BM26" s="6"/>
      <c r="BN26" s="6"/>
      <c r="BO26" s="6"/>
      <c r="BP26" s="6"/>
      <c r="BQ26" s="6"/>
      <c r="BR26" s="6"/>
      <c r="BS26" s="6"/>
      <c r="BT26" s="6"/>
      <c r="BU26" s="6"/>
    </row>
    <row r="27" ht="15.75" customHeight="1">
      <c r="A27" s="1" t="s">
        <v>121</v>
      </c>
      <c r="B27" s="17">
        <v>1751.0</v>
      </c>
      <c r="C27" s="17">
        <v>4.0</v>
      </c>
      <c r="D27" s="9" t="s">
        <v>85</v>
      </c>
      <c r="E27" s="9" t="s">
        <v>85</v>
      </c>
      <c r="F27" s="9" t="s">
        <v>85</v>
      </c>
      <c r="G27" s="9" t="s">
        <v>85</v>
      </c>
      <c r="H27" s="9" t="s">
        <v>85</v>
      </c>
      <c r="I27" s="9" t="s">
        <v>85</v>
      </c>
      <c r="J27" s="9" t="s">
        <v>85</v>
      </c>
      <c r="K27" s="9">
        <v>0.25</v>
      </c>
      <c r="L27" s="9" t="s">
        <v>85</v>
      </c>
      <c r="M27" s="9" t="s">
        <v>85</v>
      </c>
      <c r="N27" s="9">
        <v>0.248</v>
      </c>
      <c r="O27" s="9" t="s">
        <v>85</v>
      </c>
      <c r="P27" s="9" t="s">
        <v>85</v>
      </c>
      <c r="Q27" s="9" t="s">
        <v>85</v>
      </c>
      <c r="R27" s="9" t="s">
        <v>85</v>
      </c>
      <c r="S27" s="9" t="s">
        <v>85</v>
      </c>
      <c r="T27" s="9" t="s">
        <v>85</v>
      </c>
      <c r="U27" s="9" t="s">
        <v>85</v>
      </c>
      <c r="V27" s="9" t="s">
        <v>85</v>
      </c>
      <c r="W27" s="9">
        <v>0.252</v>
      </c>
      <c r="X27" s="9" t="s">
        <v>85</v>
      </c>
      <c r="Y27" s="9" t="s">
        <v>85</v>
      </c>
      <c r="Z27" s="9">
        <v>0.252</v>
      </c>
      <c r="AA27" s="9" t="s">
        <v>85</v>
      </c>
      <c r="AB27" s="9" t="s">
        <v>85</v>
      </c>
      <c r="AC27" s="9" t="s">
        <v>85</v>
      </c>
      <c r="AD27" s="9" t="s">
        <v>85</v>
      </c>
      <c r="AE27" s="9" t="s">
        <v>85</v>
      </c>
      <c r="AF27" s="9" t="s">
        <v>85</v>
      </c>
      <c r="AG27" s="9" t="s">
        <v>85</v>
      </c>
      <c r="AH27" s="9" t="s">
        <v>85</v>
      </c>
      <c r="AI27" s="9">
        <v>0.294</v>
      </c>
      <c r="AJ27" s="9" t="s">
        <v>85</v>
      </c>
      <c r="AK27" s="9" t="s">
        <v>85</v>
      </c>
      <c r="AL27" s="9">
        <v>0.356</v>
      </c>
      <c r="AM27" s="9" t="s">
        <v>85</v>
      </c>
      <c r="AN27" s="9" t="s">
        <v>85</v>
      </c>
      <c r="AO27" s="9" t="s">
        <v>85</v>
      </c>
      <c r="AP27" s="9" t="s">
        <v>85</v>
      </c>
      <c r="AQ27" s="9" t="s">
        <v>85</v>
      </c>
      <c r="AR27" s="9" t="s">
        <v>85</v>
      </c>
      <c r="AS27" s="9" t="s">
        <v>85</v>
      </c>
      <c r="AT27" s="9" t="s">
        <v>85</v>
      </c>
      <c r="AU27" s="9">
        <v>0.248</v>
      </c>
      <c r="AV27" s="9" t="s">
        <v>85</v>
      </c>
      <c r="AW27" s="9" t="s">
        <v>85</v>
      </c>
      <c r="AX27" s="9">
        <v>0.248</v>
      </c>
      <c r="AY27" s="9" t="s">
        <v>85</v>
      </c>
      <c r="AZ27" s="9" t="s">
        <v>85</v>
      </c>
      <c r="BA27" s="9" t="s">
        <v>85</v>
      </c>
      <c r="BB27" s="9" t="s">
        <v>85</v>
      </c>
      <c r="BC27" s="10" t="s">
        <v>85</v>
      </c>
      <c r="BD27" s="10" t="s">
        <v>85</v>
      </c>
      <c r="BE27" s="9" t="s">
        <v>85</v>
      </c>
      <c r="BF27" s="10" t="s">
        <v>85</v>
      </c>
      <c r="BG27" s="10" t="s">
        <v>85</v>
      </c>
      <c r="BH27" s="9" t="s">
        <v>85</v>
      </c>
      <c r="BI27" s="6"/>
      <c r="BJ27" s="6" t="str">
        <f t="shared" si="1"/>
        <v>10VB_Fold_Median</v>
      </c>
      <c r="BK27" s="6" t="str">
        <f t="shared" si="2"/>
        <v>10V_Fold_Median</v>
      </c>
      <c r="BL27" s="6" t="str">
        <f t="shared" si="3"/>
        <v>8V_Fold_Median</v>
      </c>
      <c r="BM27" s="6"/>
      <c r="BN27" s="6"/>
      <c r="BO27" s="6"/>
      <c r="BP27" s="6"/>
      <c r="BQ27" s="6"/>
      <c r="BR27" s="6"/>
      <c r="BS27" s="6"/>
      <c r="BT27" s="6"/>
      <c r="BU27" s="6"/>
    </row>
    <row r="28" ht="15.75" customHeight="1">
      <c r="A28" s="1" t="s">
        <v>122</v>
      </c>
      <c r="B28" s="17">
        <v>131.0</v>
      </c>
      <c r="C28" s="17">
        <v>14.0</v>
      </c>
      <c r="D28" s="9" t="s">
        <v>85</v>
      </c>
      <c r="E28" s="9" t="s">
        <v>85</v>
      </c>
      <c r="F28" s="9" t="s">
        <v>85</v>
      </c>
      <c r="G28" s="9" t="s">
        <v>85</v>
      </c>
      <c r="H28" s="9" t="s">
        <v>85</v>
      </c>
      <c r="I28" s="9" t="s">
        <v>85</v>
      </c>
      <c r="J28" s="9" t="s">
        <v>85</v>
      </c>
      <c r="K28" s="9">
        <v>0.554438</v>
      </c>
      <c r="L28" s="9" t="s">
        <v>85</v>
      </c>
      <c r="M28" s="9" t="s">
        <v>85</v>
      </c>
      <c r="N28" s="9">
        <v>0.36568</v>
      </c>
      <c r="O28" s="9" t="s">
        <v>85</v>
      </c>
      <c r="P28" s="9" t="s">
        <v>85</v>
      </c>
      <c r="Q28" s="9" t="s">
        <v>85</v>
      </c>
      <c r="R28" s="9" t="s">
        <v>85</v>
      </c>
      <c r="S28" s="9" t="s">
        <v>85</v>
      </c>
      <c r="T28" s="9" t="s">
        <v>85</v>
      </c>
      <c r="U28" s="9" t="s">
        <v>85</v>
      </c>
      <c r="V28" s="9" t="s">
        <v>85</v>
      </c>
      <c r="W28" s="9">
        <v>0.523077</v>
      </c>
      <c r="X28" s="9" t="s">
        <v>85</v>
      </c>
      <c r="Y28" s="9" t="s">
        <v>85</v>
      </c>
      <c r="Z28" s="9">
        <v>0.443787</v>
      </c>
      <c r="AA28" s="9" t="s">
        <v>85</v>
      </c>
      <c r="AB28" s="9" t="s">
        <v>85</v>
      </c>
      <c r="AC28" s="9" t="s">
        <v>85</v>
      </c>
      <c r="AD28" s="9" t="s">
        <v>85</v>
      </c>
      <c r="AE28" s="9" t="s">
        <v>85</v>
      </c>
      <c r="AF28" s="9" t="s">
        <v>85</v>
      </c>
      <c r="AG28" s="9" t="s">
        <v>85</v>
      </c>
      <c r="AH28" s="9" t="s">
        <v>85</v>
      </c>
      <c r="AI28" s="9">
        <v>0.550888</v>
      </c>
      <c r="AJ28" s="9" t="s">
        <v>85</v>
      </c>
      <c r="AK28" s="9" t="s">
        <v>85</v>
      </c>
      <c r="AL28" s="9">
        <v>0.374556</v>
      </c>
      <c r="AM28" s="9" t="s">
        <v>85</v>
      </c>
      <c r="AN28" s="9" t="s">
        <v>85</v>
      </c>
      <c r="AO28" s="9" t="s">
        <v>85</v>
      </c>
      <c r="AP28" s="9" t="s">
        <v>85</v>
      </c>
      <c r="AQ28" s="9" t="s">
        <v>85</v>
      </c>
      <c r="AR28" s="9" t="s">
        <v>85</v>
      </c>
      <c r="AS28" s="9" t="s">
        <v>85</v>
      </c>
      <c r="AT28" s="9" t="s">
        <v>85</v>
      </c>
      <c r="AU28" s="9">
        <v>0.420118</v>
      </c>
      <c r="AV28" s="9" t="s">
        <v>85</v>
      </c>
      <c r="AW28" s="9" t="s">
        <v>85</v>
      </c>
      <c r="AX28" s="9">
        <v>0.46568</v>
      </c>
      <c r="AY28" s="9" t="s">
        <v>85</v>
      </c>
      <c r="AZ28" s="9" t="s">
        <v>85</v>
      </c>
      <c r="BA28" s="9" t="s">
        <v>85</v>
      </c>
      <c r="BB28" s="9" t="s">
        <v>85</v>
      </c>
      <c r="BC28" s="10" t="s">
        <v>85</v>
      </c>
      <c r="BD28" s="10" t="s">
        <v>85</v>
      </c>
      <c r="BE28" s="9" t="s">
        <v>85</v>
      </c>
      <c r="BF28" s="10" t="s">
        <v>85</v>
      </c>
      <c r="BG28" s="10" t="s">
        <v>85</v>
      </c>
      <c r="BH28" s="9" t="s">
        <v>85</v>
      </c>
      <c r="BI28" s="6"/>
      <c r="BJ28" s="6" t="str">
        <f t="shared" si="1"/>
        <v>5V_Fold_Median</v>
      </c>
      <c r="BK28" s="6" t="str">
        <f t="shared" si="2"/>
        <v>10V_Fold_Median</v>
      </c>
      <c r="BL28" s="6" t="str">
        <f t="shared" si="3"/>
        <v>8V_Fold_Median</v>
      </c>
      <c r="BM28" s="6"/>
      <c r="BN28" s="6"/>
      <c r="BO28" s="6"/>
      <c r="BQ28" s="6"/>
      <c r="BR28" s="6"/>
      <c r="BS28" s="6"/>
      <c r="BT28" s="6"/>
      <c r="BU28" s="6"/>
    </row>
    <row r="29" ht="15.75" customHeight="1">
      <c r="A29" s="1" t="s">
        <v>123</v>
      </c>
      <c r="B29" s="17">
        <v>350.0</v>
      </c>
      <c r="C29" s="17">
        <v>4.0</v>
      </c>
      <c r="D29" s="9" t="s">
        <v>85</v>
      </c>
      <c r="E29" s="9" t="s">
        <v>85</v>
      </c>
      <c r="F29" s="9" t="s">
        <v>85</v>
      </c>
      <c r="G29" s="9" t="s">
        <v>85</v>
      </c>
      <c r="H29" s="9" t="s">
        <v>85</v>
      </c>
      <c r="I29" s="9" t="s">
        <v>85</v>
      </c>
      <c r="J29" s="9" t="s">
        <v>85</v>
      </c>
      <c r="K29" s="9">
        <v>0.522727</v>
      </c>
      <c r="L29" s="9" t="s">
        <v>85</v>
      </c>
      <c r="M29" s="9" t="s">
        <v>85</v>
      </c>
      <c r="N29" s="9">
        <v>0.545455</v>
      </c>
      <c r="O29" s="9" t="s">
        <v>85</v>
      </c>
      <c r="P29" s="9" t="s">
        <v>85</v>
      </c>
      <c r="Q29" s="9" t="s">
        <v>85</v>
      </c>
      <c r="R29" s="9" t="s">
        <v>85</v>
      </c>
      <c r="S29" s="9" t="s">
        <v>85</v>
      </c>
      <c r="T29" s="9" t="s">
        <v>85</v>
      </c>
      <c r="U29" s="9" t="s">
        <v>85</v>
      </c>
      <c r="V29" s="9" t="s">
        <v>85</v>
      </c>
      <c r="W29" s="9">
        <v>0.715909</v>
      </c>
      <c r="X29" s="9" t="s">
        <v>85</v>
      </c>
      <c r="Y29" s="9" t="s">
        <v>85</v>
      </c>
      <c r="Z29" s="9">
        <v>0.602273</v>
      </c>
      <c r="AA29" s="9" t="s">
        <v>85</v>
      </c>
      <c r="AB29" s="9" t="s">
        <v>85</v>
      </c>
      <c r="AC29" s="9" t="s">
        <v>85</v>
      </c>
      <c r="AD29" s="9" t="s">
        <v>85</v>
      </c>
      <c r="AE29" s="9" t="s">
        <v>85</v>
      </c>
      <c r="AF29" s="9" t="s">
        <v>85</v>
      </c>
      <c r="AG29" s="9" t="s">
        <v>85</v>
      </c>
      <c r="AH29" s="9" t="s">
        <v>85</v>
      </c>
      <c r="AI29" s="9">
        <v>0.556818</v>
      </c>
      <c r="AJ29" s="9" t="s">
        <v>85</v>
      </c>
      <c r="AK29" s="9" t="s">
        <v>85</v>
      </c>
      <c r="AL29" s="9">
        <v>0.625</v>
      </c>
      <c r="AM29" s="9" t="s">
        <v>85</v>
      </c>
      <c r="AN29" s="9" t="s">
        <v>85</v>
      </c>
      <c r="AO29" s="9" t="s">
        <v>85</v>
      </c>
      <c r="AP29" s="9" t="s">
        <v>85</v>
      </c>
      <c r="AQ29" s="9" t="s">
        <v>85</v>
      </c>
      <c r="AR29" s="9" t="s">
        <v>85</v>
      </c>
      <c r="AS29" s="9" t="s">
        <v>85</v>
      </c>
      <c r="AT29" s="9" t="s">
        <v>85</v>
      </c>
      <c r="AU29" s="9">
        <v>0.545455</v>
      </c>
      <c r="AV29" s="9" t="s">
        <v>85</v>
      </c>
      <c r="AW29" s="9" t="s">
        <v>85</v>
      </c>
      <c r="AX29" s="9">
        <v>0.602273</v>
      </c>
      <c r="AY29" s="9" t="s">
        <v>85</v>
      </c>
      <c r="AZ29" s="9" t="s">
        <v>85</v>
      </c>
      <c r="BA29" s="9" t="s">
        <v>85</v>
      </c>
      <c r="BB29" s="9" t="s">
        <v>85</v>
      </c>
      <c r="BC29" s="10" t="s">
        <v>85</v>
      </c>
      <c r="BD29" s="10" t="s">
        <v>85</v>
      </c>
      <c r="BE29" s="9" t="s">
        <v>85</v>
      </c>
      <c r="BF29" s="10" t="s">
        <v>85</v>
      </c>
      <c r="BG29" s="10" t="s">
        <v>85</v>
      </c>
      <c r="BH29" s="9" t="s">
        <v>85</v>
      </c>
      <c r="BI29" s="6"/>
      <c r="BJ29" s="6" t="str">
        <f t="shared" si="1"/>
        <v>8V_Fold_Median</v>
      </c>
      <c r="BK29" s="6" t="str">
        <f t="shared" si="2"/>
        <v>10VB_Fold_Median</v>
      </c>
      <c r="BL29" s="6" t="str">
        <f t="shared" si="3"/>
        <v>8VB_Fold_Median</v>
      </c>
      <c r="BM29" s="6"/>
      <c r="BN29" s="6"/>
      <c r="BO29" s="6"/>
      <c r="BQ29" s="6"/>
      <c r="BR29" s="6"/>
      <c r="BS29" s="6"/>
      <c r="BT29" s="6"/>
      <c r="BU29" s="6"/>
    </row>
    <row r="30" ht="15.75" customHeight="1">
      <c r="A30" s="1" t="s">
        <v>124</v>
      </c>
      <c r="B30" s="17">
        <v>131.0</v>
      </c>
      <c r="C30" s="17">
        <v>14.0</v>
      </c>
      <c r="D30" s="9" t="s">
        <v>85</v>
      </c>
      <c r="E30" s="9" t="s">
        <v>85</v>
      </c>
      <c r="F30" s="9" t="s">
        <v>85</v>
      </c>
      <c r="G30" s="9" t="s">
        <v>85</v>
      </c>
      <c r="H30" s="9" t="s">
        <v>85</v>
      </c>
      <c r="I30" s="9" t="s">
        <v>85</v>
      </c>
      <c r="J30" s="9" t="s">
        <v>85</v>
      </c>
      <c r="K30" s="9">
        <v>0.581951</v>
      </c>
      <c r="L30" s="9" t="s">
        <v>85</v>
      </c>
      <c r="M30" s="9" t="s">
        <v>85</v>
      </c>
      <c r="N30" s="9">
        <v>0.556585</v>
      </c>
      <c r="O30" s="9" t="s">
        <v>85</v>
      </c>
      <c r="P30" s="9" t="s">
        <v>85</v>
      </c>
      <c r="Q30" s="9" t="s">
        <v>85</v>
      </c>
      <c r="R30" s="9" t="s">
        <v>85</v>
      </c>
      <c r="S30" s="9" t="s">
        <v>85</v>
      </c>
      <c r="T30" s="9" t="s">
        <v>85</v>
      </c>
      <c r="U30" s="9" t="s">
        <v>85</v>
      </c>
      <c r="V30" s="9" t="s">
        <v>85</v>
      </c>
      <c r="W30" s="9">
        <v>0.61122</v>
      </c>
      <c r="X30" s="9" t="s">
        <v>85</v>
      </c>
      <c r="Y30" s="9" t="s">
        <v>85</v>
      </c>
      <c r="Z30" s="9">
        <v>0.583902</v>
      </c>
      <c r="AA30" s="9" t="s">
        <v>85</v>
      </c>
      <c r="AB30" s="9" t="s">
        <v>85</v>
      </c>
      <c r="AC30" s="9" t="s">
        <v>85</v>
      </c>
      <c r="AD30" s="9" t="s">
        <v>85</v>
      </c>
      <c r="AE30" s="9" t="s">
        <v>85</v>
      </c>
      <c r="AF30" s="9" t="s">
        <v>85</v>
      </c>
      <c r="AG30" s="9" t="s">
        <v>85</v>
      </c>
      <c r="AH30" s="9" t="s">
        <v>85</v>
      </c>
      <c r="AI30" s="9">
        <v>0.537073</v>
      </c>
      <c r="AJ30" s="9" t="s">
        <v>85</v>
      </c>
      <c r="AK30" s="9" t="s">
        <v>85</v>
      </c>
      <c r="AL30" s="9">
        <v>0.581463</v>
      </c>
      <c r="AM30" s="9" t="s">
        <v>85</v>
      </c>
      <c r="AN30" s="9" t="s">
        <v>85</v>
      </c>
      <c r="AO30" s="9" t="s">
        <v>85</v>
      </c>
      <c r="AP30" s="9" t="s">
        <v>85</v>
      </c>
      <c r="AQ30" s="9" t="s">
        <v>85</v>
      </c>
      <c r="AR30" s="9" t="s">
        <v>85</v>
      </c>
      <c r="AS30" s="9" t="s">
        <v>85</v>
      </c>
      <c r="AT30" s="9" t="s">
        <v>85</v>
      </c>
      <c r="AU30" s="9">
        <v>0.565366</v>
      </c>
      <c r="AV30" s="9" t="s">
        <v>85</v>
      </c>
      <c r="AW30" s="9" t="s">
        <v>85</v>
      </c>
      <c r="AX30" s="9">
        <v>0.61122</v>
      </c>
      <c r="AY30" s="9" t="s">
        <v>85</v>
      </c>
      <c r="AZ30" s="9" t="s">
        <v>85</v>
      </c>
      <c r="BA30" s="9" t="s">
        <v>85</v>
      </c>
      <c r="BB30" s="9" t="s">
        <v>85</v>
      </c>
      <c r="BC30" s="10" t="s">
        <v>85</v>
      </c>
      <c r="BD30" s="10" t="s">
        <v>85</v>
      </c>
      <c r="BE30" s="9" t="s">
        <v>85</v>
      </c>
      <c r="BF30" s="10" t="s">
        <v>85</v>
      </c>
      <c r="BG30" s="10" t="s">
        <v>85</v>
      </c>
      <c r="BH30" s="9" t="s">
        <v>85</v>
      </c>
      <c r="BI30" s="6"/>
      <c r="BJ30" s="6" t="str">
        <f t="shared" si="1"/>
        <v>8V_Fold_Median</v>
      </c>
      <c r="BK30" s="6" t="str">
        <f t="shared" si="2"/>
        <v>8V_Fold_Median</v>
      </c>
      <c r="BL30" s="6" t="str">
        <f t="shared" si="3"/>
        <v>8VB_Fold_Median</v>
      </c>
      <c r="BM30" s="6"/>
      <c r="BN30" s="24"/>
      <c r="BO30" s="24"/>
      <c r="BP30" s="24"/>
      <c r="BQ30" s="24"/>
      <c r="BR30" s="6"/>
      <c r="BS30" s="6"/>
      <c r="BT30" s="6"/>
      <c r="BU30" s="6"/>
    </row>
    <row r="31" ht="15.75" customHeight="1">
      <c r="A31" s="1" t="s">
        <v>125</v>
      </c>
      <c r="B31" s="17">
        <v>270.0</v>
      </c>
      <c r="C31" s="17">
        <v>50.0</v>
      </c>
      <c r="D31" s="9" t="s">
        <v>85</v>
      </c>
      <c r="E31" s="9" t="s">
        <v>85</v>
      </c>
      <c r="F31" s="9" t="s">
        <v>85</v>
      </c>
      <c r="G31" s="9" t="s">
        <v>85</v>
      </c>
      <c r="H31" s="9" t="s">
        <v>85</v>
      </c>
      <c r="I31" s="9" t="s">
        <v>85</v>
      </c>
      <c r="J31" s="9" t="s">
        <v>85</v>
      </c>
      <c r="K31" s="9">
        <v>0.386813</v>
      </c>
      <c r="L31" s="9" t="s">
        <v>85</v>
      </c>
      <c r="M31" s="9" t="s">
        <v>85</v>
      </c>
      <c r="N31" s="9">
        <v>0.373626</v>
      </c>
      <c r="O31" s="9" t="s">
        <v>85</v>
      </c>
      <c r="P31" s="9" t="s">
        <v>85</v>
      </c>
      <c r="Q31" s="9" t="s">
        <v>85</v>
      </c>
      <c r="R31" s="9" t="s">
        <v>85</v>
      </c>
      <c r="S31" s="9" t="s">
        <v>85</v>
      </c>
      <c r="T31" s="9" t="s">
        <v>85</v>
      </c>
      <c r="U31" s="9" t="s">
        <v>85</v>
      </c>
      <c r="V31" s="9" t="s">
        <v>85</v>
      </c>
      <c r="W31" s="9">
        <v>0.397802</v>
      </c>
      <c r="X31" s="9" t="s">
        <v>85</v>
      </c>
      <c r="Y31" s="9" t="s">
        <v>85</v>
      </c>
      <c r="Z31" s="9">
        <v>0.378022</v>
      </c>
      <c r="AA31" s="9" t="s">
        <v>85</v>
      </c>
      <c r="AB31" s="9" t="s">
        <v>85</v>
      </c>
      <c r="AC31" s="9" t="s">
        <v>85</v>
      </c>
      <c r="AD31" s="9" t="s">
        <v>85</v>
      </c>
      <c r="AE31" s="9" t="s">
        <v>85</v>
      </c>
      <c r="AF31" s="9" t="s">
        <v>85</v>
      </c>
      <c r="AG31" s="9" t="s">
        <v>85</v>
      </c>
      <c r="AH31" s="9" t="s">
        <v>85</v>
      </c>
      <c r="AI31" s="9">
        <v>0.259341</v>
      </c>
      <c r="AJ31" s="9" t="s">
        <v>85</v>
      </c>
      <c r="AK31" s="9" t="s">
        <v>85</v>
      </c>
      <c r="AL31" s="9">
        <v>0.424176</v>
      </c>
      <c r="AM31" s="9" t="s">
        <v>85</v>
      </c>
      <c r="AN31" s="9" t="s">
        <v>85</v>
      </c>
      <c r="AO31" s="9" t="s">
        <v>85</v>
      </c>
      <c r="AP31" s="9" t="s">
        <v>85</v>
      </c>
      <c r="AQ31" s="9" t="s">
        <v>85</v>
      </c>
      <c r="AR31" s="9" t="s">
        <v>85</v>
      </c>
      <c r="AS31" s="9" t="s">
        <v>85</v>
      </c>
      <c r="AT31" s="9" t="s">
        <v>85</v>
      </c>
      <c r="AU31" s="9">
        <v>0.342857</v>
      </c>
      <c r="AV31" s="9" t="s">
        <v>85</v>
      </c>
      <c r="AW31" s="9" t="s">
        <v>85</v>
      </c>
      <c r="AX31" s="9">
        <v>0.336264</v>
      </c>
      <c r="AY31" s="9" t="s">
        <v>85</v>
      </c>
      <c r="AZ31" s="9" t="s">
        <v>85</v>
      </c>
      <c r="BA31" s="9" t="s">
        <v>85</v>
      </c>
      <c r="BB31" s="9" t="s">
        <v>85</v>
      </c>
      <c r="BC31" s="10" t="s">
        <v>85</v>
      </c>
      <c r="BD31" s="10" t="s">
        <v>85</v>
      </c>
      <c r="BE31" s="9" t="s">
        <v>85</v>
      </c>
      <c r="BF31" s="10" t="s">
        <v>85</v>
      </c>
      <c r="BG31" s="10" t="s">
        <v>85</v>
      </c>
      <c r="BH31" s="9" t="s">
        <v>85</v>
      </c>
      <c r="BI31" s="6"/>
      <c r="BJ31" s="6" t="str">
        <f t="shared" si="1"/>
        <v>10VB_Fold_Median</v>
      </c>
      <c r="BK31" s="6" t="str">
        <f t="shared" si="2"/>
        <v>8V_Fold_Median</v>
      </c>
      <c r="BL31" s="6" t="str">
        <f t="shared" si="3"/>
        <v>5V_Fold_Median</v>
      </c>
      <c r="BM31" s="6"/>
      <c r="BN31" s="24"/>
      <c r="BO31" s="24"/>
      <c r="BP31" s="24"/>
      <c r="BQ31" s="24"/>
      <c r="BR31" s="6"/>
      <c r="BS31" s="6"/>
      <c r="BT31" s="6"/>
      <c r="BU31" s="6"/>
    </row>
    <row r="32" ht="15.75" customHeight="1">
      <c r="A32" s="1" t="s">
        <v>126</v>
      </c>
      <c r="B32" s="17">
        <v>463.0</v>
      </c>
      <c r="C32" s="17">
        <v>7.0</v>
      </c>
      <c r="D32" s="9" t="s">
        <v>85</v>
      </c>
      <c r="E32" s="9" t="s">
        <v>85</v>
      </c>
      <c r="F32" s="9" t="s">
        <v>85</v>
      </c>
      <c r="G32" s="9" t="s">
        <v>85</v>
      </c>
      <c r="H32" s="9" t="s">
        <v>85</v>
      </c>
      <c r="I32" s="9" t="s">
        <v>85</v>
      </c>
      <c r="J32" s="9" t="s">
        <v>85</v>
      </c>
      <c r="K32" s="9">
        <v>0.68</v>
      </c>
      <c r="L32" s="9" t="s">
        <v>85</v>
      </c>
      <c r="M32" s="9" t="s">
        <v>85</v>
      </c>
      <c r="N32" s="9">
        <v>0.651429</v>
      </c>
      <c r="O32" s="9" t="s">
        <v>85</v>
      </c>
      <c r="P32" s="9" t="s">
        <v>85</v>
      </c>
      <c r="Q32" s="9" t="s">
        <v>85</v>
      </c>
      <c r="R32" s="9" t="s">
        <v>85</v>
      </c>
      <c r="S32" s="9" t="s">
        <v>85</v>
      </c>
      <c r="T32" s="9" t="s">
        <v>85</v>
      </c>
      <c r="U32" s="9" t="s">
        <v>85</v>
      </c>
      <c r="V32" s="9" t="s">
        <v>85</v>
      </c>
      <c r="W32" s="9">
        <v>0.691429</v>
      </c>
      <c r="X32" s="9" t="s">
        <v>85</v>
      </c>
      <c r="Y32" s="9" t="s">
        <v>85</v>
      </c>
      <c r="Z32" s="9">
        <v>0.64</v>
      </c>
      <c r="AA32" s="9" t="s">
        <v>85</v>
      </c>
      <c r="AB32" s="9" t="s">
        <v>85</v>
      </c>
      <c r="AC32" s="9" t="s">
        <v>85</v>
      </c>
      <c r="AD32" s="9" t="s">
        <v>85</v>
      </c>
      <c r="AE32" s="9" t="s">
        <v>85</v>
      </c>
      <c r="AF32" s="9" t="s">
        <v>85</v>
      </c>
      <c r="AG32" s="9" t="s">
        <v>85</v>
      </c>
      <c r="AH32" s="9" t="s">
        <v>85</v>
      </c>
      <c r="AI32" s="9">
        <v>0.611429</v>
      </c>
      <c r="AJ32" s="9" t="s">
        <v>85</v>
      </c>
      <c r="AK32" s="9" t="s">
        <v>85</v>
      </c>
      <c r="AL32" s="9">
        <v>0.537143</v>
      </c>
      <c r="AM32" s="9" t="s">
        <v>85</v>
      </c>
      <c r="AN32" s="9" t="s">
        <v>85</v>
      </c>
      <c r="AO32" s="9" t="s">
        <v>85</v>
      </c>
      <c r="AP32" s="9" t="s">
        <v>85</v>
      </c>
      <c r="AQ32" s="9" t="s">
        <v>85</v>
      </c>
      <c r="AR32" s="9" t="s">
        <v>85</v>
      </c>
      <c r="AS32" s="9" t="s">
        <v>85</v>
      </c>
      <c r="AT32" s="9" t="s">
        <v>85</v>
      </c>
      <c r="AU32" s="9">
        <v>0.571429</v>
      </c>
      <c r="AV32" s="9" t="s">
        <v>85</v>
      </c>
      <c r="AW32" s="9" t="s">
        <v>85</v>
      </c>
      <c r="AX32" s="9">
        <v>0.537143</v>
      </c>
      <c r="AY32" s="9" t="s">
        <v>85</v>
      </c>
      <c r="AZ32" s="9" t="s">
        <v>85</v>
      </c>
      <c r="BA32" s="9" t="s">
        <v>85</v>
      </c>
      <c r="BB32" s="9" t="s">
        <v>85</v>
      </c>
      <c r="BC32" s="10" t="s">
        <v>85</v>
      </c>
      <c r="BD32" s="10" t="s">
        <v>85</v>
      </c>
      <c r="BE32" s="9" t="s">
        <v>85</v>
      </c>
      <c r="BF32" s="10" t="s">
        <v>85</v>
      </c>
      <c r="BG32" s="10" t="s">
        <v>85</v>
      </c>
      <c r="BH32" s="9" t="s">
        <v>85</v>
      </c>
      <c r="BI32" s="6"/>
      <c r="BJ32" s="6" t="str">
        <f t="shared" si="1"/>
        <v>8V_Fold_Median</v>
      </c>
      <c r="BK32" s="6" t="str">
        <f t="shared" si="2"/>
        <v>5V_Fold_Median</v>
      </c>
      <c r="BL32" s="6" t="str">
        <f t="shared" si="3"/>
        <v>5VB_Fold_Median</v>
      </c>
      <c r="BM32" s="6"/>
      <c r="BN32" s="24"/>
      <c r="BO32" s="24"/>
      <c r="BP32" s="24"/>
      <c r="BQ32" s="24"/>
      <c r="BR32" s="6"/>
      <c r="BS32" s="6"/>
      <c r="BT32" s="6"/>
      <c r="BU32" s="6"/>
    </row>
    <row r="33" ht="15.75" customHeight="1">
      <c r="A33" s="1" t="s">
        <v>127</v>
      </c>
      <c r="B33" s="17">
        <v>500.0</v>
      </c>
      <c r="C33" s="17">
        <v>2.0</v>
      </c>
      <c r="D33" s="9" t="s">
        <v>85</v>
      </c>
      <c r="E33" s="9" t="s">
        <v>85</v>
      </c>
      <c r="F33" s="9" t="s">
        <v>85</v>
      </c>
      <c r="G33" s="9" t="s">
        <v>85</v>
      </c>
      <c r="H33" s="9" t="s">
        <v>85</v>
      </c>
      <c r="I33" s="9" t="s">
        <v>85</v>
      </c>
      <c r="J33" s="9" t="s">
        <v>85</v>
      </c>
      <c r="K33" s="9">
        <v>0.484091</v>
      </c>
      <c r="L33" s="9" t="s">
        <v>85</v>
      </c>
      <c r="M33" s="9" t="s">
        <v>85</v>
      </c>
      <c r="N33" s="9">
        <v>0.484091</v>
      </c>
      <c r="O33" s="9" t="s">
        <v>85</v>
      </c>
      <c r="P33" s="9" t="s">
        <v>85</v>
      </c>
      <c r="Q33" s="9" t="s">
        <v>85</v>
      </c>
      <c r="R33" s="9" t="s">
        <v>85</v>
      </c>
      <c r="S33" s="9" t="s">
        <v>85</v>
      </c>
      <c r="T33" s="9" t="s">
        <v>85</v>
      </c>
      <c r="U33" s="9" t="s">
        <v>85</v>
      </c>
      <c r="V33" s="9" t="s">
        <v>85</v>
      </c>
      <c r="W33" s="9">
        <v>0.484091</v>
      </c>
      <c r="X33" s="9" t="s">
        <v>85</v>
      </c>
      <c r="Y33" s="9" t="s">
        <v>85</v>
      </c>
      <c r="Z33" s="9">
        <v>0.484091</v>
      </c>
      <c r="AA33" s="9" t="s">
        <v>85</v>
      </c>
      <c r="AB33" s="9" t="s">
        <v>85</v>
      </c>
      <c r="AC33" s="9" t="s">
        <v>85</v>
      </c>
      <c r="AD33" s="9" t="s">
        <v>85</v>
      </c>
      <c r="AE33" s="9" t="s">
        <v>85</v>
      </c>
      <c r="AF33" s="9" t="s">
        <v>85</v>
      </c>
      <c r="AG33" s="9" t="s">
        <v>85</v>
      </c>
      <c r="AH33" s="9" t="s">
        <v>85</v>
      </c>
      <c r="AI33" s="9">
        <v>0.484091</v>
      </c>
      <c r="AJ33" s="9" t="s">
        <v>85</v>
      </c>
      <c r="AK33" s="9" t="s">
        <v>85</v>
      </c>
      <c r="AL33" s="9">
        <v>0.484091</v>
      </c>
      <c r="AM33" s="9" t="s">
        <v>85</v>
      </c>
      <c r="AN33" s="9" t="s">
        <v>85</v>
      </c>
      <c r="AO33" s="9" t="s">
        <v>85</v>
      </c>
      <c r="AP33" s="9" t="s">
        <v>85</v>
      </c>
      <c r="AQ33" s="9" t="s">
        <v>85</v>
      </c>
      <c r="AR33" s="9" t="s">
        <v>85</v>
      </c>
      <c r="AS33" s="9" t="s">
        <v>85</v>
      </c>
      <c r="AT33" s="9" t="s">
        <v>85</v>
      </c>
      <c r="AU33" s="9">
        <v>0.484091</v>
      </c>
      <c r="AV33" s="9" t="s">
        <v>85</v>
      </c>
      <c r="AW33" s="9" t="s">
        <v>85</v>
      </c>
      <c r="AX33" s="9">
        <v>0.484091</v>
      </c>
      <c r="AY33" s="9" t="s">
        <v>85</v>
      </c>
      <c r="AZ33" s="9" t="s">
        <v>85</v>
      </c>
      <c r="BA33" s="9" t="s">
        <v>85</v>
      </c>
      <c r="BB33" s="9" t="s">
        <v>85</v>
      </c>
      <c r="BC33" s="10" t="s">
        <v>85</v>
      </c>
      <c r="BD33" s="10" t="s">
        <v>85</v>
      </c>
      <c r="BE33" s="9" t="s">
        <v>85</v>
      </c>
      <c r="BF33" s="10" t="s">
        <v>85</v>
      </c>
      <c r="BG33" s="10" t="s">
        <v>85</v>
      </c>
      <c r="BH33" s="9" t="s">
        <v>85</v>
      </c>
      <c r="BI33" s="6"/>
      <c r="BJ33" s="6" t="str">
        <f t="shared" si="1"/>
        <v>5V_Fold_Median</v>
      </c>
      <c r="BK33" s="6" t="str">
        <f t="shared" si="2"/>
        <v>5V_Fold_Median</v>
      </c>
      <c r="BL33" s="6" t="str">
        <f t="shared" si="3"/>
        <v>5V_Fold_Median</v>
      </c>
      <c r="BM33" s="6"/>
      <c r="BN33" s="24"/>
      <c r="BO33" s="24"/>
      <c r="BP33" s="24"/>
      <c r="BQ33" s="24"/>
      <c r="BR33" s="6"/>
      <c r="BS33" s="6"/>
      <c r="BT33" s="6"/>
      <c r="BU33" s="6"/>
    </row>
    <row r="34" ht="15.75" customHeight="1">
      <c r="A34" s="14" t="s">
        <v>128</v>
      </c>
      <c r="B34" s="17">
        <v>500.0</v>
      </c>
      <c r="C34" s="17">
        <v>2.0</v>
      </c>
      <c r="D34" s="9" t="s">
        <v>85</v>
      </c>
      <c r="E34" s="9" t="s">
        <v>85</v>
      </c>
      <c r="F34" s="9" t="s">
        <v>85</v>
      </c>
      <c r="G34" s="9" t="s">
        <v>85</v>
      </c>
      <c r="H34" s="9" t="s">
        <v>85</v>
      </c>
      <c r="I34" s="9" t="s">
        <v>85</v>
      </c>
      <c r="J34" s="9" t="s">
        <v>85</v>
      </c>
      <c r="K34" s="9">
        <v>0.504938</v>
      </c>
      <c r="L34" s="9" t="s">
        <v>85</v>
      </c>
      <c r="M34" s="9" t="s">
        <v>85</v>
      </c>
      <c r="N34" s="9">
        <v>0.504938</v>
      </c>
      <c r="O34" s="9" t="s">
        <v>85</v>
      </c>
      <c r="P34" s="9" t="s">
        <v>85</v>
      </c>
      <c r="Q34" s="9" t="s">
        <v>85</v>
      </c>
      <c r="R34" s="9" t="s">
        <v>85</v>
      </c>
      <c r="S34" s="9" t="s">
        <v>85</v>
      </c>
      <c r="T34" s="9" t="s">
        <v>85</v>
      </c>
      <c r="U34" s="9" t="s">
        <v>85</v>
      </c>
      <c r="V34" s="9" t="s">
        <v>85</v>
      </c>
      <c r="W34" s="9">
        <v>0.504938</v>
      </c>
      <c r="X34" s="9" t="s">
        <v>85</v>
      </c>
      <c r="Y34" s="9" t="s">
        <v>85</v>
      </c>
      <c r="Z34" s="9">
        <v>0.504938</v>
      </c>
      <c r="AA34" s="9" t="s">
        <v>85</v>
      </c>
      <c r="AB34" s="9" t="s">
        <v>85</v>
      </c>
      <c r="AC34" s="9" t="s">
        <v>85</v>
      </c>
      <c r="AD34" s="9" t="s">
        <v>85</v>
      </c>
      <c r="AE34" s="9" t="s">
        <v>85</v>
      </c>
      <c r="AF34" s="9" t="s">
        <v>85</v>
      </c>
      <c r="AG34" s="9" t="s">
        <v>85</v>
      </c>
      <c r="AH34" s="9" t="s">
        <v>85</v>
      </c>
      <c r="AI34" s="9">
        <v>0.504938</v>
      </c>
      <c r="AJ34" s="9" t="s">
        <v>85</v>
      </c>
      <c r="AK34" s="9" t="s">
        <v>85</v>
      </c>
      <c r="AL34" s="9">
        <v>0.504938</v>
      </c>
      <c r="AM34" s="9" t="s">
        <v>85</v>
      </c>
      <c r="AN34" s="9" t="s">
        <v>85</v>
      </c>
      <c r="AO34" s="9" t="s">
        <v>85</v>
      </c>
      <c r="AP34" s="9" t="s">
        <v>85</v>
      </c>
      <c r="AQ34" s="9" t="s">
        <v>85</v>
      </c>
      <c r="AR34" s="9" t="s">
        <v>85</v>
      </c>
      <c r="AS34" s="9" t="s">
        <v>85</v>
      </c>
      <c r="AT34" s="9" t="s">
        <v>85</v>
      </c>
      <c r="AU34" s="9">
        <v>0.504938</v>
      </c>
      <c r="AV34" s="9" t="s">
        <v>85</v>
      </c>
      <c r="AW34" s="9" t="s">
        <v>85</v>
      </c>
      <c r="AX34" s="9">
        <v>0.504938</v>
      </c>
      <c r="AY34" s="9" t="s">
        <v>85</v>
      </c>
      <c r="AZ34" s="9" t="s">
        <v>85</v>
      </c>
      <c r="BA34" s="9" t="s">
        <v>85</v>
      </c>
      <c r="BB34" s="9" t="s">
        <v>85</v>
      </c>
      <c r="BC34" s="10" t="s">
        <v>85</v>
      </c>
      <c r="BD34" s="10" t="s">
        <v>85</v>
      </c>
      <c r="BE34" s="9" t="s">
        <v>85</v>
      </c>
      <c r="BF34" s="10" t="s">
        <v>85</v>
      </c>
      <c r="BG34" s="10" t="s">
        <v>85</v>
      </c>
      <c r="BH34" s="9" t="s">
        <v>85</v>
      </c>
      <c r="BI34" s="6"/>
      <c r="BJ34" s="6" t="str">
        <f t="shared" si="1"/>
        <v>5V_Fold_Median</v>
      </c>
      <c r="BK34" s="6" t="str">
        <f t="shared" si="2"/>
        <v>5V_Fold_Median</v>
      </c>
      <c r="BL34" s="6" t="str">
        <f t="shared" si="3"/>
        <v>5V_Fold_Median</v>
      </c>
      <c r="BM34" s="6"/>
      <c r="BN34" s="24"/>
      <c r="BO34" s="24"/>
      <c r="BP34" s="24"/>
      <c r="BQ34" s="24"/>
      <c r="BR34" s="6"/>
      <c r="BS34" s="6"/>
      <c r="BT34" s="6"/>
      <c r="BU34" s="6"/>
    </row>
    <row r="35" ht="15.75" customHeight="1">
      <c r="A35" s="1" t="s">
        <v>129</v>
      </c>
      <c r="B35" s="17">
        <v>301.0</v>
      </c>
      <c r="C35" s="17">
        <v>2.0</v>
      </c>
      <c r="D35" s="9" t="s">
        <v>85</v>
      </c>
      <c r="E35" s="9" t="s">
        <v>85</v>
      </c>
      <c r="F35" s="9" t="s">
        <v>85</v>
      </c>
      <c r="G35" s="9" t="s">
        <v>85</v>
      </c>
      <c r="H35" s="9" t="s">
        <v>85</v>
      </c>
      <c r="I35" s="9" t="s">
        <v>85</v>
      </c>
      <c r="J35" s="9" t="s">
        <v>85</v>
      </c>
      <c r="K35" s="9">
        <v>0.944211</v>
      </c>
      <c r="L35" s="9" t="s">
        <v>85</v>
      </c>
      <c r="M35" s="9" t="s">
        <v>85</v>
      </c>
      <c r="N35" s="9">
        <v>0.94386</v>
      </c>
      <c r="O35" s="9" t="s">
        <v>85</v>
      </c>
      <c r="P35" s="9" t="s">
        <v>85</v>
      </c>
      <c r="Q35" s="9" t="s">
        <v>85</v>
      </c>
      <c r="R35" s="9" t="s">
        <v>85</v>
      </c>
      <c r="S35" s="9" t="s">
        <v>85</v>
      </c>
      <c r="T35" s="9" t="s">
        <v>85</v>
      </c>
      <c r="U35" s="9" t="s">
        <v>85</v>
      </c>
      <c r="V35" s="9" t="s">
        <v>85</v>
      </c>
      <c r="W35" s="9">
        <v>0.975088</v>
      </c>
      <c r="X35" s="9" t="s">
        <v>85</v>
      </c>
      <c r="Y35" s="9" t="s">
        <v>85</v>
      </c>
      <c r="Z35" s="9">
        <v>0.969123</v>
      </c>
      <c r="AA35" s="9" t="s">
        <v>85</v>
      </c>
      <c r="AB35" s="9" t="s">
        <v>85</v>
      </c>
      <c r="AC35" s="9" t="s">
        <v>85</v>
      </c>
      <c r="AD35" s="9" t="s">
        <v>85</v>
      </c>
      <c r="AE35" s="9" t="s">
        <v>85</v>
      </c>
      <c r="AF35" s="9" t="s">
        <v>85</v>
      </c>
      <c r="AG35" s="9" t="s">
        <v>85</v>
      </c>
      <c r="AH35" s="9" t="s">
        <v>85</v>
      </c>
      <c r="AI35" s="9">
        <v>0.962456</v>
      </c>
      <c r="AJ35" s="9" t="s">
        <v>85</v>
      </c>
      <c r="AK35" s="9" t="s">
        <v>85</v>
      </c>
      <c r="AL35" s="9">
        <v>0.961403</v>
      </c>
      <c r="AM35" s="9" t="s">
        <v>85</v>
      </c>
      <c r="AN35" s="9" t="s">
        <v>85</v>
      </c>
      <c r="AO35" s="9" t="s">
        <v>85</v>
      </c>
      <c r="AP35" s="9" t="s">
        <v>85</v>
      </c>
      <c r="AQ35" s="9" t="s">
        <v>85</v>
      </c>
      <c r="AR35" s="9" t="s">
        <v>85</v>
      </c>
      <c r="AS35" s="9" t="s">
        <v>85</v>
      </c>
      <c r="AT35" s="9" t="s">
        <v>85</v>
      </c>
      <c r="AU35" s="9">
        <v>0.963158</v>
      </c>
      <c r="AV35" s="9" t="s">
        <v>85</v>
      </c>
      <c r="AW35" s="9" t="s">
        <v>85</v>
      </c>
      <c r="AX35" s="9">
        <v>0.965263</v>
      </c>
      <c r="AY35" s="9" t="s">
        <v>85</v>
      </c>
      <c r="AZ35" s="9" t="s">
        <v>85</v>
      </c>
      <c r="BA35" s="9" t="s">
        <v>85</v>
      </c>
      <c r="BB35" s="9" t="s">
        <v>85</v>
      </c>
      <c r="BC35" s="10" t="s">
        <v>85</v>
      </c>
      <c r="BD35" s="10" t="s">
        <v>85</v>
      </c>
      <c r="BE35" s="9" t="s">
        <v>85</v>
      </c>
      <c r="BF35" s="10" t="s">
        <v>85</v>
      </c>
      <c r="BG35" s="10" t="s">
        <v>85</v>
      </c>
      <c r="BH35" s="9" t="s">
        <v>85</v>
      </c>
      <c r="BI35" s="6"/>
      <c r="BJ35" s="6" t="str">
        <f t="shared" si="1"/>
        <v>8V_Fold_Median</v>
      </c>
      <c r="BK35" s="6" t="str">
        <f t="shared" si="2"/>
        <v>8VB_Fold_Median</v>
      </c>
      <c r="BL35" s="6" t="str">
        <f t="shared" si="3"/>
        <v>12VB_Fold_Median</v>
      </c>
      <c r="BM35" s="6"/>
      <c r="BN35" s="24"/>
      <c r="BO35" s="24"/>
      <c r="BP35" s="24"/>
      <c r="BQ35" s="24"/>
      <c r="BR35" s="6"/>
      <c r="BS35" s="6"/>
      <c r="BT35" s="6"/>
      <c r="BU35" s="6"/>
    </row>
    <row r="36" ht="15.75" customHeight="1">
      <c r="A36" s="1" t="s">
        <v>130</v>
      </c>
      <c r="B36" s="17">
        <v>301.0</v>
      </c>
      <c r="C36" s="17">
        <v>2.0</v>
      </c>
      <c r="D36" s="9" t="s">
        <v>85</v>
      </c>
      <c r="E36" s="9" t="s">
        <v>85</v>
      </c>
      <c r="F36" s="9" t="s">
        <v>85</v>
      </c>
      <c r="G36" s="9" t="s">
        <v>85</v>
      </c>
      <c r="H36" s="9" t="s">
        <v>85</v>
      </c>
      <c r="I36" s="9" t="s">
        <v>85</v>
      </c>
      <c r="J36" s="9" t="s">
        <v>85</v>
      </c>
      <c r="K36" s="9">
        <v>0.793333</v>
      </c>
      <c r="L36" s="9" t="s">
        <v>85</v>
      </c>
      <c r="M36" s="9" t="s">
        <v>85</v>
      </c>
      <c r="N36" s="9">
        <v>0.801053</v>
      </c>
      <c r="O36" s="9" t="s">
        <v>85</v>
      </c>
      <c r="P36" s="9" t="s">
        <v>85</v>
      </c>
      <c r="Q36" s="9" t="s">
        <v>85</v>
      </c>
      <c r="R36" s="9" t="s">
        <v>85</v>
      </c>
      <c r="S36" s="9" t="s">
        <v>85</v>
      </c>
      <c r="T36" s="9" t="s">
        <v>85</v>
      </c>
      <c r="U36" s="9" t="s">
        <v>85</v>
      </c>
      <c r="V36" s="9" t="s">
        <v>85</v>
      </c>
      <c r="W36" s="9">
        <v>0.921404</v>
      </c>
      <c r="X36" s="9" t="s">
        <v>85</v>
      </c>
      <c r="Y36" s="9" t="s">
        <v>85</v>
      </c>
      <c r="Z36" s="9">
        <v>0.910526</v>
      </c>
      <c r="AA36" s="9" t="s">
        <v>85</v>
      </c>
      <c r="AB36" s="9" t="s">
        <v>85</v>
      </c>
      <c r="AC36" s="9" t="s">
        <v>85</v>
      </c>
      <c r="AD36" s="9" t="s">
        <v>85</v>
      </c>
      <c r="AE36" s="9" t="s">
        <v>85</v>
      </c>
      <c r="AF36" s="9" t="s">
        <v>85</v>
      </c>
      <c r="AG36" s="9" t="s">
        <v>85</v>
      </c>
      <c r="AH36" s="9" t="s">
        <v>85</v>
      </c>
      <c r="AI36" s="9">
        <v>0.889474</v>
      </c>
      <c r="AJ36" s="9" t="s">
        <v>85</v>
      </c>
      <c r="AK36" s="9" t="s">
        <v>85</v>
      </c>
      <c r="AL36" s="9">
        <v>0.886316</v>
      </c>
      <c r="AM36" s="9" t="s">
        <v>85</v>
      </c>
      <c r="AN36" s="9" t="s">
        <v>85</v>
      </c>
      <c r="AO36" s="9" t="s">
        <v>85</v>
      </c>
      <c r="AP36" s="9" t="s">
        <v>85</v>
      </c>
      <c r="AQ36" s="9" t="s">
        <v>85</v>
      </c>
      <c r="AR36" s="9" t="s">
        <v>85</v>
      </c>
      <c r="AS36" s="9" t="s">
        <v>85</v>
      </c>
      <c r="AT36" s="9" t="s">
        <v>85</v>
      </c>
      <c r="AU36" s="9">
        <v>0.782105</v>
      </c>
      <c r="AV36" s="9" t="s">
        <v>85</v>
      </c>
      <c r="AW36" s="9" t="s">
        <v>85</v>
      </c>
      <c r="AX36" s="9">
        <v>0.799649</v>
      </c>
      <c r="AY36" s="9" t="s">
        <v>85</v>
      </c>
      <c r="AZ36" s="9" t="s">
        <v>85</v>
      </c>
      <c r="BA36" s="9" t="s">
        <v>85</v>
      </c>
      <c r="BB36" s="9" t="s">
        <v>85</v>
      </c>
      <c r="BC36" s="10" t="s">
        <v>85</v>
      </c>
      <c r="BD36" s="10" t="s">
        <v>85</v>
      </c>
      <c r="BE36" s="9" t="s">
        <v>85</v>
      </c>
      <c r="BF36" s="10" t="s">
        <v>85</v>
      </c>
      <c r="BG36" s="10" t="s">
        <v>85</v>
      </c>
      <c r="BH36" s="9" t="s">
        <v>85</v>
      </c>
      <c r="BI36" s="6"/>
      <c r="BJ36" s="6" t="str">
        <f t="shared" si="1"/>
        <v>8V_Fold_Median</v>
      </c>
      <c r="BK36" s="6" t="str">
        <f t="shared" si="2"/>
        <v>8VB_Fold_Median</v>
      </c>
      <c r="BL36" s="6" t="str">
        <f t="shared" si="3"/>
        <v>10V_Fold_Median</v>
      </c>
      <c r="BM36" s="6"/>
      <c r="BN36" s="24"/>
      <c r="BO36" s="24"/>
      <c r="BP36" s="24"/>
      <c r="BQ36" s="24"/>
      <c r="BR36" s="6"/>
      <c r="BS36" s="6"/>
      <c r="BT36" s="6"/>
      <c r="BU36" s="6"/>
    </row>
    <row r="37" ht="15.75" customHeight="1">
      <c r="A37" s="1" t="s">
        <v>131</v>
      </c>
      <c r="B37" s="17">
        <v>150.0</v>
      </c>
      <c r="C37" s="17">
        <v>2.0</v>
      </c>
      <c r="D37" s="9" t="s">
        <v>85</v>
      </c>
      <c r="E37" s="9" t="s">
        <v>85</v>
      </c>
      <c r="F37" s="9" t="s">
        <v>85</v>
      </c>
      <c r="G37" s="9" t="s">
        <v>85</v>
      </c>
      <c r="H37" s="9" t="s">
        <v>85</v>
      </c>
      <c r="I37" s="9" t="s">
        <v>85</v>
      </c>
      <c r="J37" s="9" t="s">
        <v>85</v>
      </c>
      <c r="K37" s="9">
        <v>0.9</v>
      </c>
      <c r="L37" s="9" t="s">
        <v>85</v>
      </c>
      <c r="M37" s="9" t="s">
        <v>85</v>
      </c>
      <c r="N37" s="9">
        <v>0.926667</v>
      </c>
      <c r="O37" s="9" t="s">
        <v>85</v>
      </c>
      <c r="P37" s="9" t="s">
        <v>85</v>
      </c>
      <c r="Q37" s="9" t="s">
        <v>85</v>
      </c>
      <c r="R37" s="9" t="s">
        <v>85</v>
      </c>
      <c r="S37" s="9" t="s">
        <v>85</v>
      </c>
      <c r="T37" s="9" t="s">
        <v>85</v>
      </c>
      <c r="U37" s="9" t="s">
        <v>85</v>
      </c>
      <c r="V37" s="9" t="s">
        <v>85</v>
      </c>
      <c r="W37" s="9">
        <v>0.84</v>
      </c>
      <c r="X37" s="9" t="s">
        <v>85</v>
      </c>
      <c r="Y37" s="9" t="s">
        <v>85</v>
      </c>
      <c r="Z37" s="9">
        <v>0.813333</v>
      </c>
      <c r="AA37" s="9" t="s">
        <v>85</v>
      </c>
      <c r="AB37" s="9" t="s">
        <v>85</v>
      </c>
      <c r="AC37" s="9" t="s">
        <v>85</v>
      </c>
      <c r="AD37" s="9" t="s">
        <v>85</v>
      </c>
      <c r="AE37" s="9" t="s">
        <v>85</v>
      </c>
      <c r="AF37" s="9" t="s">
        <v>85</v>
      </c>
      <c r="AG37" s="9" t="s">
        <v>85</v>
      </c>
      <c r="AH37" s="9" t="s">
        <v>85</v>
      </c>
      <c r="AI37" s="9">
        <v>0.826667</v>
      </c>
      <c r="AJ37" s="9" t="s">
        <v>85</v>
      </c>
      <c r="AK37" s="9" t="s">
        <v>85</v>
      </c>
      <c r="AL37" s="9">
        <v>0.833333</v>
      </c>
      <c r="AM37" s="9" t="s">
        <v>85</v>
      </c>
      <c r="AN37" s="9" t="s">
        <v>85</v>
      </c>
      <c r="AO37" s="9" t="s">
        <v>85</v>
      </c>
      <c r="AP37" s="9" t="s">
        <v>85</v>
      </c>
      <c r="AQ37" s="9" t="s">
        <v>85</v>
      </c>
      <c r="AR37" s="9" t="s">
        <v>85</v>
      </c>
      <c r="AS37" s="9" t="s">
        <v>85</v>
      </c>
      <c r="AT37" s="9" t="s">
        <v>85</v>
      </c>
      <c r="AU37" s="9">
        <v>0.873333</v>
      </c>
      <c r="AV37" s="9" t="s">
        <v>85</v>
      </c>
      <c r="AW37" s="9" t="s">
        <v>85</v>
      </c>
      <c r="AX37" s="9">
        <v>0.853333</v>
      </c>
      <c r="AY37" s="9" t="s">
        <v>85</v>
      </c>
      <c r="AZ37" s="9" t="s">
        <v>85</v>
      </c>
      <c r="BA37" s="9" t="s">
        <v>85</v>
      </c>
      <c r="BB37" s="9" t="s">
        <v>85</v>
      </c>
      <c r="BC37" s="10" t="s">
        <v>85</v>
      </c>
      <c r="BD37" s="10" t="s">
        <v>85</v>
      </c>
      <c r="BE37" s="9" t="s">
        <v>85</v>
      </c>
      <c r="BF37" s="10" t="s">
        <v>85</v>
      </c>
      <c r="BG37" s="10" t="s">
        <v>85</v>
      </c>
      <c r="BH37" s="9" t="s">
        <v>85</v>
      </c>
      <c r="BI37" s="6"/>
      <c r="BJ37" s="6" t="str">
        <f t="shared" si="1"/>
        <v>5VB_Fold_Median</v>
      </c>
      <c r="BK37" s="6" t="str">
        <f t="shared" si="2"/>
        <v>5V_Fold_Median</v>
      </c>
      <c r="BL37" s="6" t="str">
        <f t="shared" si="3"/>
        <v>12V_Fold_Median</v>
      </c>
      <c r="BM37" s="6"/>
      <c r="BN37" s="24"/>
      <c r="BO37" s="24"/>
      <c r="BP37" s="24"/>
      <c r="BQ37" s="24"/>
      <c r="BR37" s="6"/>
      <c r="BS37" s="6"/>
      <c r="BT37" s="6"/>
      <c r="BU37" s="6"/>
    </row>
    <row r="38" ht="15.75" customHeight="1">
      <c r="A38" s="1" t="s">
        <v>132</v>
      </c>
      <c r="B38" s="17">
        <v>150.0</v>
      </c>
      <c r="C38" s="17">
        <v>2.0</v>
      </c>
      <c r="D38" s="9" t="s">
        <v>85</v>
      </c>
      <c r="E38" s="9" t="s">
        <v>85</v>
      </c>
      <c r="F38" s="9" t="s">
        <v>85</v>
      </c>
      <c r="G38" s="9" t="s">
        <v>85</v>
      </c>
      <c r="H38" s="9" t="s">
        <v>85</v>
      </c>
      <c r="I38" s="9" t="s">
        <v>85</v>
      </c>
      <c r="J38" s="9" t="s">
        <v>85</v>
      </c>
      <c r="K38" s="9">
        <v>0.936709</v>
      </c>
      <c r="L38" s="9" t="s">
        <v>85</v>
      </c>
      <c r="M38" s="9" t="s">
        <v>85</v>
      </c>
      <c r="N38" s="9">
        <v>0.946203</v>
      </c>
      <c r="O38" s="9" t="s">
        <v>85</v>
      </c>
      <c r="P38" s="9" t="s">
        <v>85</v>
      </c>
      <c r="Q38" s="9" t="s">
        <v>85</v>
      </c>
      <c r="R38" s="9" t="s">
        <v>85</v>
      </c>
      <c r="S38" s="9" t="s">
        <v>85</v>
      </c>
      <c r="T38" s="9" t="s">
        <v>85</v>
      </c>
      <c r="U38" s="9" t="s">
        <v>85</v>
      </c>
      <c r="V38" s="9" t="s">
        <v>85</v>
      </c>
      <c r="W38" s="9">
        <v>0.89557</v>
      </c>
      <c r="X38" s="9" t="s">
        <v>85</v>
      </c>
      <c r="Y38" s="9" t="s">
        <v>85</v>
      </c>
      <c r="Z38" s="9">
        <v>0.898734</v>
      </c>
      <c r="AA38" s="9" t="s">
        <v>85</v>
      </c>
      <c r="AB38" s="9" t="s">
        <v>85</v>
      </c>
      <c r="AC38" s="9" t="s">
        <v>85</v>
      </c>
      <c r="AD38" s="9" t="s">
        <v>85</v>
      </c>
      <c r="AE38" s="9" t="s">
        <v>85</v>
      </c>
      <c r="AF38" s="9" t="s">
        <v>85</v>
      </c>
      <c r="AG38" s="9" t="s">
        <v>85</v>
      </c>
      <c r="AH38" s="9" t="s">
        <v>85</v>
      </c>
      <c r="AI38" s="9">
        <v>0.908228</v>
      </c>
      <c r="AJ38" s="9" t="s">
        <v>85</v>
      </c>
      <c r="AK38" s="9" t="s">
        <v>85</v>
      </c>
      <c r="AL38" s="9">
        <v>0.914557</v>
      </c>
      <c r="AM38" s="9" t="s">
        <v>85</v>
      </c>
      <c r="AN38" s="9" t="s">
        <v>85</v>
      </c>
      <c r="AO38" s="9" t="s">
        <v>85</v>
      </c>
      <c r="AP38" s="9" t="s">
        <v>85</v>
      </c>
      <c r="AQ38" s="9" t="s">
        <v>85</v>
      </c>
      <c r="AR38" s="9" t="s">
        <v>85</v>
      </c>
      <c r="AS38" s="9" t="s">
        <v>85</v>
      </c>
      <c r="AT38" s="9" t="s">
        <v>85</v>
      </c>
      <c r="AU38" s="9">
        <v>0.917722</v>
      </c>
      <c r="AV38" s="9" t="s">
        <v>85</v>
      </c>
      <c r="AW38" s="9" t="s">
        <v>85</v>
      </c>
      <c r="AX38" s="9">
        <v>0.914557</v>
      </c>
      <c r="AY38" s="9" t="s">
        <v>85</v>
      </c>
      <c r="AZ38" s="9" t="s">
        <v>85</v>
      </c>
      <c r="BA38" s="9" t="s">
        <v>85</v>
      </c>
      <c r="BB38" s="9" t="s">
        <v>85</v>
      </c>
      <c r="BC38" s="10" t="s">
        <v>85</v>
      </c>
      <c r="BD38" s="10" t="s">
        <v>85</v>
      </c>
      <c r="BE38" s="9" t="s">
        <v>85</v>
      </c>
      <c r="BF38" s="10" t="s">
        <v>85</v>
      </c>
      <c r="BG38" s="10" t="s">
        <v>85</v>
      </c>
      <c r="BH38" s="9" t="s">
        <v>85</v>
      </c>
      <c r="BI38" s="6"/>
      <c r="BJ38" s="6" t="str">
        <f t="shared" si="1"/>
        <v>5VB_Fold_Median</v>
      </c>
      <c r="BK38" s="6" t="str">
        <f t="shared" si="2"/>
        <v>5V_Fold_Median</v>
      </c>
      <c r="BL38" s="6" t="str">
        <f t="shared" si="3"/>
        <v>12V_Fold_Median</v>
      </c>
      <c r="BM38" s="6"/>
      <c r="BN38" s="6"/>
      <c r="BO38" s="6"/>
      <c r="BP38" s="6"/>
      <c r="BQ38" s="6"/>
      <c r="BR38" s="6"/>
      <c r="BS38" s="6"/>
      <c r="BT38" s="6"/>
      <c r="BU38" s="6"/>
    </row>
    <row r="39" ht="15.75" customHeight="1">
      <c r="A39" s="1" t="s">
        <v>133</v>
      </c>
      <c r="B39" s="17">
        <v>150.0</v>
      </c>
      <c r="C39" s="17">
        <v>2.0</v>
      </c>
      <c r="D39" s="9" t="s">
        <v>85</v>
      </c>
      <c r="E39" s="9" t="s">
        <v>85</v>
      </c>
      <c r="F39" s="9" t="s">
        <v>85</v>
      </c>
      <c r="G39" s="9" t="s">
        <v>85</v>
      </c>
      <c r="H39" s="9" t="s">
        <v>85</v>
      </c>
      <c r="I39" s="9" t="s">
        <v>85</v>
      </c>
      <c r="J39" s="9" t="s">
        <v>85</v>
      </c>
      <c r="K39" s="9">
        <v>0.946203</v>
      </c>
      <c r="L39" s="9" t="s">
        <v>85</v>
      </c>
      <c r="M39" s="9" t="s">
        <v>85</v>
      </c>
      <c r="N39" s="9">
        <v>0.96519</v>
      </c>
      <c r="O39" s="9" t="s">
        <v>85</v>
      </c>
      <c r="P39" s="9" t="s">
        <v>85</v>
      </c>
      <c r="Q39" s="9" t="s">
        <v>85</v>
      </c>
      <c r="R39" s="9" t="s">
        <v>85</v>
      </c>
      <c r="S39" s="9" t="s">
        <v>85</v>
      </c>
      <c r="T39" s="9" t="s">
        <v>85</v>
      </c>
      <c r="U39" s="9" t="s">
        <v>85</v>
      </c>
      <c r="V39" s="9" t="s">
        <v>85</v>
      </c>
      <c r="W39" s="9">
        <v>0.949367</v>
      </c>
      <c r="X39" s="9" t="s">
        <v>85</v>
      </c>
      <c r="Y39" s="9" t="s">
        <v>85</v>
      </c>
      <c r="Z39" s="9">
        <v>0.958861</v>
      </c>
      <c r="AA39" s="9" t="s">
        <v>85</v>
      </c>
      <c r="AB39" s="9" t="s">
        <v>85</v>
      </c>
      <c r="AC39" s="9" t="s">
        <v>85</v>
      </c>
      <c r="AD39" s="9" t="s">
        <v>85</v>
      </c>
      <c r="AE39" s="9" t="s">
        <v>85</v>
      </c>
      <c r="AF39" s="9" t="s">
        <v>85</v>
      </c>
      <c r="AG39" s="9" t="s">
        <v>85</v>
      </c>
      <c r="AH39" s="9" t="s">
        <v>85</v>
      </c>
      <c r="AI39" s="9">
        <v>0.974684</v>
      </c>
      <c r="AJ39" s="9" t="s">
        <v>85</v>
      </c>
      <c r="AK39" s="9" t="s">
        <v>85</v>
      </c>
      <c r="AL39" s="9">
        <v>0.968354</v>
      </c>
      <c r="AM39" s="9" t="s">
        <v>85</v>
      </c>
      <c r="AN39" s="9" t="s">
        <v>85</v>
      </c>
      <c r="AO39" s="9" t="s">
        <v>85</v>
      </c>
      <c r="AP39" s="9" t="s">
        <v>85</v>
      </c>
      <c r="AQ39" s="9" t="s">
        <v>85</v>
      </c>
      <c r="AR39" s="9" t="s">
        <v>85</v>
      </c>
      <c r="AS39" s="9" t="s">
        <v>85</v>
      </c>
      <c r="AT39" s="9" t="s">
        <v>85</v>
      </c>
      <c r="AU39" s="9">
        <v>0.987342</v>
      </c>
      <c r="AV39" s="9" t="s">
        <v>85</v>
      </c>
      <c r="AW39" s="9" t="s">
        <v>85</v>
      </c>
      <c r="AX39" s="9">
        <v>0.987342</v>
      </c>
      <c r="AY39" s="9" t="s">
        <v>85</v>
      </c>
      <c r="AZ39" s="9" t="s">
        <v>85</v>
      </c>
      <c r="BA39" s="9" t="s">
        <v>85</v>
      </c>
      <c r="BB39" s="9" t="s">
        <v>85</v>
      </c>
      <c r="BC39" s="10" t="s">
        <v>85</v>
      </c>
      <c r="BD39" s="10" t="s">
        <v>85</v>
      </c>
      <c r="BE39" s="9" t="s">
        <v>85</v>
      </c>
      <c r="BF39" s="10" t="s">
        <v>85</v>
      </c>
      <c r="BG39" s="10" t="s">
        <v>85</v>
      </c>
      <c r="BH39" s="9" t="s">
        <v>85</v>
      </c>
      <c r="BI39" s="6"/>
      <c r="BJ39" s="6" t="str">
        <f t="shared" si="1"/>
        <v>12V_Fold_Median</v>
      </c>
      <c r="BK39" s="6" t="str">
        <f t="shared" si="2"/>
        <v>12V_Fold_Median</v>
      </c>
      <c r="BL39" s="6" t="str">
        <f t="shared" si="3"/>
        <v>10V_Fold_Median</v>
      </c>
      <c r="BM39" s="6"/>
      <c r="BN39" s="6"/>
      <c r="BO39" s="6"/>
      <c r="BP39" s="6"/>
      <c r="BQ39" s="6"/>
      <c r="BR39" s="6"/>
      <c r="BS39" s="6"/>
      <c r="BT39" s="6"/>
      <c r="BU39" s="6"/>
    </row>
    <row r="40" ht="15.75" customHeight="1">
      <c r="A40" s="1" t="s">
        <v>134</v>
      </c>
      <c r="B40" s="17">
        <v>150.0</v>
      </c>
      <c r="C40" s="17">
        <v>2.0</v>
      </c>
      <c r="D40" s="9" t="s">
        <v>85</v>
      </c>
      <c r="E40" s="9" t="s">
        <v>85</v>
      </c>
      <c r="F40" s="9" t="s">
        <v>85</v>
      </c>
      <c r="G40" s="9" t="s">
        <v>85</v>
      </c>
      <c r="H40" s="9" t="s">
        <v>85</v>
      </c>
      <c r="I40" s="9" t="s">
        <v>85</v>
      </c>
      <c r="J40" s="9" t="s">
        <v>85</v>
      </c>
      <c r="K40" s="9">
        <v>0.942857</v>
      </c>
      <c r="L40" s="9" t="s">
        <v>85</v>
      </c>
      <c r="M40" s="9" t="s">
        <v>85</v>
      </c>
      <c r="N40" s="9">
        <v>0.936508</v>
      </c>
      <c r="O40" s="9" t="s">
        <v>85</v>
      </c>
      <c r="P40" s="9" t="s">
        <v>85</v>
      </c>
      <c r="Q40" s="9" t="s">
        <v>85</v>
      </c>
      <c r="R40" s="9" t="s">
        <v>85</v>
      </c>
      <c r="S40" s="9" t="s">
        <v>85</v>
      </c>
      <c r="T40" s="9" t="s">
        <v>85</v>
      </c>
      <c r="U40" s="9" t="s">
        <v>85</v>
      </c>
      <c r="V40" s="9" t="s">
        <v>85</v>
      </c>
      <c r="W40" s="9">
        <v>0.936508</v>
      </c>
      <c r="X40" s="9" t="s">
        <v>85</v>
      </c>
      <c r="Y40" s="9" t="s">
        <v>85</v>
      </c>
      <c r="Z40" s="9">
        <v>0.933333</v>
      </c>
      <c r="AA40" s="9" t="s">
        <v>85</v>
      </c>
      <c r="AB40" s="9" t="s">
        <v>85</v>
      </c>
      <c r="AC40" s="9" t="s">
        <v>85</v>
      </c>
      <c r="AD40" s="9" t="s">
        <v>85</v>
      </c>
      <c r="AE40" s="9" t="s">
        <v>85</v>
      </c>
      <c r="AF40" s="9" t="s">
        <v>85</v>
      </c>
      <c r="AG40" s="9" t="s">
        <v>85</v>
      </c>
      <c r="AH40" s="9" t="s">
        <v>85</v>
      </c>
      <c r="AI40" s="9">
        <v>0.914286</v>
      </c>
      <c r="AJ40" s="9" t="s">
        <v>85</v>
      </c>
      <c r="AK40" s="9" t="s">
        <v>85</v>
      </c>
      <c r="AL40" s="9">
        <v>0.91746</v>
      </c>
      <c r="AM40" s="9" t="s">
        <v>85</v>
      </c>
      <c r="AN40" s="9" t="s">
        <v>85</v>
      </c>
      <c r="AO40" s="9" t="s">
        <v>85</v>
      </c>
      <c r="AP40" s="9" t="s">
        <v>85</v>
      </c>
      <c r="AQ40" s="9" t="s">
        <v>85</v>
      </c>
      <c r="AR40" s="9" t="s">
        <v>85</v>
      </c>
      <c r="AS40" s="9" t="s">
        <v>85</v>
      </c>
      <c r="AT40" s="9" t="s">
        <v>85</v>
      </c>
      <c r="AU40" s="9">
        <v>0.91746</v>
      </c>
      <c r="AV40" s="9" t="s">
        <v>85</v>
      </c>
      <c r="AW40" s="9" t="s">
        <v>85</v>
      </c>
      <c r="AX40" s="9">
        <v>0.911111</v>
      </c>
      <c r="AY40" s="9" t="s">
        <v>85</v>
      </c>
      <c r="AZ40" s="9" t="s">
        <v>85</v>
      </c>
      <c r="BA40" s="9" t="s">
        <v>85</v>
      </c>
      <c r="BB40" s="9" t="s">
        <v>85</v>
      </c>
      <c r="BC40" s="10" t="s">
        <v>85</v>
      </c>
      <c r="BD40" s="10" t="s">
        <v>85</v>
      </c>
      <c r="BE40" s="9" t="s">
        <v>85</v>
      </c>
      <c r="BF40" s="10" t="s">
        <v>85</v>
      </c>
      <c r="BG40" s="10" t="s">
        <v>85</v>
      </c>
      <c r="BH40" s="9" t="s">
        <v>85</v>
      </c>
      <c r="BI40" s="6"/>
      <c r="BJ40" s="6" t="str">
        <f t="shared" si="1"/>
        <v>5V_Fold_Median</v>
      </c>
      <c r="BK40" s="6" t="str">
        <f t="shared" si="2"/>
        <v>5VB_Fold_Median</v>
      </c>
      <c r="BL40" s="6" t="str">
        <f t="shared" si="3"/>
        <v>5VB_Fold_Median</v>
      </c>
      <c r="BM40" s="6"/>
      <c r="BN40" s="6"/>
      <c r="BO40" s="6"/>
      <c r="BP40" s="6"/>
      <c r="BQ40" s="6"/>
      <c r="BR40" s="6"/>
      <c r="BS40" s="6"/>
      <c r="BT40" s="6"/>
      <c r="BU40" s="6"/>
    </row>
    <row r="41" ht="15.75" customHeight="1">
      <c r="A41" s="1" t="s">
        <v>135</v>
      </c>
      <c r="B41" s="17">
        <v>431.0</v>
      </c>
      <c r="C41" s="17">
        <v>2.0</v>
      </c>
      <c r="D41" s="9" t="s">
        <v>85</v>
      </c>
      <c r="E41" s="9" t="s">
        <v>85</v>
      </c>
      <c r="F41" s="9" t="s">
        <v>85</v>
      </c>
      <c r="G41" s="9" t="s">
        <v>85</v>
      </c>
      <c r="H41" s="9" t="s">
        <v>85</v>
      </c>
      <c r="I41" s="9" t="s">
        <v>85</v>
      </c>
      <c r="J41" s="9" t="s">
        <v>85</v>
      </c>
      <c r="K41" s="9">
        <v>0.514286</v>
      </c>
      <c r="L41" s="9" t="s">
        <v>85</v>
      </c>
      <c r="M41" s="9" t="s">
        <v>85</v>
      </c>
      <c r="N41" s="9">
        <v>0.495238</v>
      </c>
      <c r="O41" s="9" t="s">
        <v>85</v>
      </c>
      <c r="P41" s="9" t="s">
        <v>85</v>
      </c>
      <c r="Q41" s="9" t="s">
        <v>85</v>
      </c>
      <c r="R41" s="9" t="s">
        <v>85</v>
      </c>
      <c r="S41" s="9" t="s">
        <v>85</v>
      </c>
      <c r="T41" s="9" t="s">
        <v>85</v>
      </c>
      <c r="U41" s="9" t="s">
        <v>85</v>
      </c>
      <c r="V41" s="9" t="s">
        <v>85</v>
      </c>
      <c r="W41" s="9">
        <v>0.561905</v>
      </c>
      <c r="X41" s="9" t="s">
        <v>85</v>
      </c>
      <c r="Y41" s="9" t="s">
        <v>85</v>
      </c>
      <c r="Z41" s="9">
        <v>0.561905</v>
      </c>
      <c r="AA41" s="9" t="s">
        <v>85</v>
      </c>
      <c r="AB41" s="9" t="s">
        <v>85</v>
      </c>
      <c r="AC41" s="9" t="s">
        <v>85</v>
      </c>
      <c r="AD41" s="9" t="s">
        <v>85</v>
      </c>
      <c r="AE41" s="9" t="s">
        <v>85</v>
      </c>
      <c r="AF41" s="9" t="s">
        <v>85</v>
      </c>
      <c r="AG41" s="9" t="s">
        <v>85</v>
      </c>
      <c r="AH41" s="9" t="s">
        <v>85</v>
      </c>
      <c r="AI41" s="9">
        <v>0.628571</v>
      </c>
      <c r="AJ41" s="9" t="s">
        <v>85</v>
      </c>
      <c r="AK41" s="9" t="s">
        <v>85</v>
      </c>
      <c r="AL41" s="9">
        <v>0.647619</v>
      </c>
      <c r="AM41" s="9" t="s">
        <v>85</v>
      </c>
      <c r="AN41" s="9" t="s">
        <v>85</v>
      </c>
      <c r="AO41" s="9" t="s">
        <v>85</v>
      </c>
      <c r="AP41" s="9" t="s">
        <v>85</v>
      </c>
      <c r="AQ41" s="9" t="s">
        <v>85</v>
      </c>
      <c r="AR41" s="9" t="s">
        <v>85</v>
      </c>
      <c r="AS41" s="9" t="s">
        <v>85</v>
      </c>
      <c r="AT41" s="9" t="s">
        <v>85</v>
      </c>
      <c r="AU41" s="9">
        <v>0.609524</v>
      </c>
      <c r="AV41" s="9" t="s">
        <v>85</v>
      </c>
      <c r="AW41" s="9" t="s">
        <v>85</v>
      </c>
      <c r="AX41" s="9">
        <v>0.628571</v>
      </c>
      <c r="AY41" s="9" t="s">
        <v>85</v>
      </c>
      <c r="AZ41" s="9" t="s">
        <v>85</v>
      </c>
      <c r="BA41" s="9" t="s">
        <v>85</v>
      </c>
      <c r="BB41" s="9" t="s">
        <v>85</v>
      </c>
      <c r="BC41" s="10" t="s">
        <v>85</v>
      </c>
      <c r="BD41" s="10" t="s">
        <v>85</v>
      </c>
      <c r="BE41" s="9" t="s">
        <v>85</v>
      </c>
      <c r="BF41" s="10" t="s">
        <v>85</v>
      </c>
      <c r="BG41" s="10" t="s">
        <v>85</v>
      </c>
      <c r="BH41" s="9" t="s">
        <v>85</v>
      </c>
      <c r="BI41" s="6"/>
      <c r="BJ41" s="6" t="str">
        <f t="shared" si="1"/>
        <v>10VB_Fold_Median</v>
      </c>
      <c r="BK41" s="6" t="str">
        <f t="shared" si="2"/>
        <v>10V_Fold_Median</v>
      </c>
      <c r="BL41" s="6" t="str">
        <f t="shared" si="3"/>
        <v>10V_Fold_Median</v>
      </c>
      <c r="BM41" s="6"/>
      <c r="BN41" s="6"/>
      <c r="BO41" s="6"/>
      <c r="BP41" s="6"/>
      <c r="BQ41" s="6"/>
      <c r="BR41" s="6"/>
      <c r="BS41" s="6"/>
      <c r="BT41" s="6"/>
      <c r="BU41" s="6"/>
    </row>
    <row r="42" ht="15.75" customHeight="1">
      <c r="A42" s="1" t="s">
        <v>136</v>
      </c>
      <c r="B42" s="17">
        <v>1092.0</v>
      </c>
      <c r="C42" s="17">
        <v>5.0</v>
      </c>
      <c r="D42" s="9" t="s">
        <v>85</v>
      </c>
      <c r="E42" s="9" t="s">
        <v>85</v>
      </c>
      <c r="F42" s="9" t="s">
        <v>85</v>
      </c>
      <c r="G42" s="9" t="s">
        <v>85</v>
      </c>
      <c r="H42" s="9" t="s">
        <v>85</v>
      </c>
      <c r="I42" s="9" t="s">
        <v>85</v>
      </c>
      <c r="J42" s="9" t="s">
        <v>85</v>
      </c>
      <c r="K42" s="9">
        <v>0.357143</v>
      </c>
      <c r="L42" s="9" t="s">
        <v>85</v>
      </c>
      <c r="M42" s="9" t="s">
        <v>85</v>
      </c>
      <c r="N42" s="9">
        <v>0.337662</v>
      </c>
      <c r="O42" s="9" t="s">
        <v>85</v>
      </c>
      <c r="P42" s="9" t="s">
        <v>85</v>
      </c>
      <c r="Q42" s="9" t="s">
        <v>85</v>
      </c>
      <c r="R42" s="9" t="s">
        <v>85</v>
      </c>
      <c r="S42" s="9" t="s">
        <v>85</v>
      </c>
      <c r="T42" s="9" t="s">
        <v>85</v>
      </c>
      <c r="U42" s="9" t="s">
        <v>85</v>
      </c>
      <c r="V42" s="9" t="s">
        <v>85</v>
      </c>
      <c r="W42" s="9">
        <v>0.405844</v>
      </c>
      <c r="X42" s="9" t="s">
        <v>85</v>
      </c>
      <c r="Y42" s="9" t="s">
        <v>85</v>
      </c>
      <c r="Z42" s="9">
        <v>0.38961</v>
      </c>
      <c r="AA42" s="9" t="s">
        <v>85</v>
      </c>
      <c r="AB42" s="9" t="s">
        <v>85</v>
      </c>
      <c r="AC42" s="9" t="s">
        <v>85</v>
      </c>
      <c r="AD42" s="9" t="s">
        <v>85</v>
      </c>
      <c r="AE42" s="9" t="s">
        <v>85</v>
      </c>
      <c r="AF42" s="9" t="s">
        <v>85</v>
      </c>
      <c r="AG42" s="9" t="s">
        <v>85</v>
      </c>
      <c r="AH42" s="9" t="s">
        <v>85</v>
      </c>
      <c r="AI42" s="9">
        <v>0.405844</v>
      </c>
      <c r="AJ42" s="9" t="s">
        <v>85</v>
      </c>
      <c r="AK42" s="9" t="s">
        <v>85</v>
      </c>
      <c r="AL42" s="9">
        <v>0.422078</v>
      </c>
      <c r="AM42" s="9" t="s">
        <v>85</v>
      </c>
      <c r="AN42" s="9" t="s">
        <v>85</v>
      </c>
      <c r="AO42" s="9" t="s">
        <v>85</v>
      </c>
      <c r="AP42" s="9" t="s">
        <v>85</v>
      </c>
      <c r="AQ42" s="9" t="s">
        <v>85</v>
      </c>
      <c r="AR42" s="9" t="s">
        <v>85</v>
      </c>
      <c r="AS42" s="9" t="s">
        <v>85</v>
      </c>
      <c r="AT42" s="9" t="s">
        <v>85</v>
      </c>
      <c r="AU42" s="9">
        <v>0.396104</v>
      </c>
      <c r="AV42" s="9" t="s">
        <v>85</v>
      </c>
      <c r="AW42" s="9" t="s">
        <v>85</v>
      </c>
      <c r="AX42" s="9">
        <v>0.405844</v>
      </c>
      <c r="AY42" s="9" t="s">
        <v>85</v>
      </c>
      <c r="AZ42" s="9" t="s">
        <v>85</v>
      </c>
      <c r="BA42" s="9" t="s">
        <v>85</v>
      </c>
      <c r="BB42" s="9" t="s">
        <v>85</v>
      </c>
      <c r="BC42" s="10" t="s">
        <v>85</v>
      </c>
      <c r="BD42" s="10" t="s">
        <v>85</v>
      </c>
      <c r="BE42" s="9" t="s">
        <v>85</v>
      </c>
      <c r="BF42" s="10" t="s">
        <v>85</v>
      </c>
      <c r="BG42" s="10" t="s">
        <v>85</v>
      </c>
      <c r="BH42" s="9" t="s">
        <v>85</v>
      </c>
      <c r="BI42" s="6"/>
      <c r="BJ42" s="6" t="str">
        <f t="shared" si="1"/>
        <v>10VB_Fold_Median</v>
      </c>
      <c r="BK42" s="6" t="str">
        <f t="shared" si="2"/>
        <v>8V_Fold_Median</v>
      </c>
      <c r="BL42" s="6" t="str">
        <f t="shared" si="3"/>
        <v>8V_Fold_Median</v>
      </c>
      <c r="BM42" s="6"/>
      <c r="BN42" s="6"/>
      <c r="BO42" s="6"/>
      <c r="BP42" s="6"/>
      <c r="BQ42" s="6"/>
      <c r="BR42" s="6"/>
      <c r="BS42" s="6"/>
      <c r="BT42" s="6"/>
      <c r="BU42" s="6"/>
    </row>
    <row r="43" ht="15.75" customHeight="1">
      <c r="A43" s="1" t="s">
        <v>137</v>
      </c>
      <c r="B43" s="17">
        <v>512.0</v>
      </c>
      <c r="C43" s="17">
        <v>2.0</v>
      </c>
      <c r="D43" s="9" t="s">
        <v>85</v>
      </c>
      <c r="E43" s="9" t="s">
        <v>85</v>
      </c>
      <c r="F43" s="9" t="s">
        <v>85</v>
      </c>
      <c r="G43" s="9" t="s">
        <v>85</v>
      </c>
      <c r="H43" s="9" t="s">
        <v>85</v>
      </c>
      <c r="I43" s="9" t="s">
        <v>85</v>
      </c>
      <c r="J43" s="9" t="s">
        <v>85</v>
      </c>
      <c r="K43" s="9">
        <v>0.53125</v>
      </c>
      <c r="L43" s="9" t="s">
        <v>85</v>
      </c>
      <c r="M43" s="9" t="s">
        <v>85</v>
      </c>
      <c r="N43" s="9">
        <v>0.578125</v>
      </c>
      <c r="O43" s="9" t="s">
        <v>85</v>
      </c>
      <c r="P43" s="9" t="s">
        <v>85</v>
      </c>
      <c r="Q43" s="9" t="s">
        <v>85</v>
      </c>
      <c r="R43" s="9" t="s">
        <v>85</v>
      </c>
      <c r="S43" s="9" t="s">
        <v>85</v>
      </c>
      <c r="T43" s="9" t="s">
        <v>85</v>
      </c>
      <c r="U43" s="9" t="s">
        <v>85</v>
      </c>
      <c r="V43" s="9" t="s">
        <v>85</v>
      </c>
      <c r="W43" s="9">
        <v>0.5625</v>
      </c>
      <c r="X43" s="9" t="s">
        <v>85</v>
      </c>
      <c r="Y43" s="9" t="s">
        <v>85</v>
      </c>
      <c r="Z43" s="9">
        <v>0.59375</v>
      </c>
      <c r="AA43" s="9" t="s">
        <v>85</v>
      </c>
      <c r="AB43" s="9" t="s">
        <v>85</v>
      </c>
      <c r="AC43" s="9" t="s">
        <v>85</v>
      </c>
      <c r="AD43" s="9" t="s">
        <v>85</v>
      </c>
      <c r="AE43" s="9" t="s">
        <v>85</v>
      </c>
      <c r="AF43" s="9" t="s">
        <v>85</v>
      </c>
      <c r="AG43" s="9" t="s">
        <v>85</v>
      </c>
      <c r="AH43" s="9" t="s">
        <v>85</v>
      </c>
      <c r="AI43" s="9">
        <v>0.59375</v>
      </c>
      <c r="AJ43" s="9" t="s">
        <v>85</v>
      </c>
      <c r="AK43" s="9" t="s">
        <v>85</v>
      </c>
      <c r="AL43" s="9">
        <v>0.59375</v>
      </c>
      <c r="AM43" s="9" t="s">
        <v>85</v>
      </c>
      <c r="AN43" s="9" t="s">
        <v>85</v>
      </c>
      <c r="AO43" s="9" t="s">
        <v>85</v>
      </c>
      <c r="AP43" s="9" t="s">
        <v>85</v>
      </c>
      <c r="AQ43" s="9" t="s">
        <v>85</v>
      </c>
      <c r="AR43" s="9" t="s">
        <v>85</v>
      </c>
      <c r="AS43" s="9" t="s">
        <v>85</v>
      </c>
      <c r="AT43" s="9" t="s">
        <v>85</v>
      </c>
      <c r="AU43" s="9">
        <v>0.609375</v>
      </c>
      <c r="AV43" s="9" t="s">
        <v>85</v>
      </c>
      <c r="AW43" s="9" t="s">
        <v>85</v>
      </c>
      <c r="AX43" s="9">
        <v>0.609375</v>
      </c>
      <c r="AY43" s="9" t="s">
        <v>85</v>
      </c>
      <c r="AZ43" s="9" t="s">
        <v>85</v>
      </c>
      <c r="BA43" s="9" t="s">
        <v>85</v>
      </c>
      <c r="BB43" s="9" t="s">
        <v>85</v>
      </c>
      <c r="BC43" s="10" t="s">
        <v>85</v>
      </c>
      <c r="BD43" s="10" t="s">
        <v>85</v>
      </c>
      <c r="BE43" s="9" t="s">
        <v>85</v>
      </c>
      <c r="BF43" s="10" t="s">
        <v>85</v>
      </c>
      <c r="BG43" s="10" t="s">
        <v>85</v>
      </c>
      <c r="BH43" s="9" t="s">
        <v>85</v>
      </c>
      <c r="BI43" s="6"/>
      <c r="BJ43" s="6" t="str">
        <f t="shared" si="1"/>
        <v>12V_Fold_Median</v>
      </c>
      <c r="BK43" s="6" t="str">
        <f t="shared" si="2"/>
        <v>12V_Fold_Median</v>
      </c>
      <c r="BL43" s="6" t="str">
        <f t="shared" si="3"/>
        <v>8VB_Fold_Median</v>
      </c>
      <c r="BM43" s="6"/>
      <c r="BN43" s="6"/>
      <c r="BO43" s="6"/>
      <c r="BP43" s="6"/>
      <c r="BQ43" s="6"/>
      <c r="BR43" s="6"/>
      <c r="BS43" s="6"/>
      <c r="BT43" s="6"/>
      <c r="BU43" s="6"/>
    </row>
    <row r="44" ht="15.75" customHeight="1">
      <c r="A44" s="1" t="s">
        <v>138</v>
      </c>
      <c r="B44" s="17">
        <v>3000.0</v>
      </c>
      <c r="C44" s="17">
        <v>2.0</v>
      </c>
      <c r="D44" s="9" t="s">
        <v>85</v>
      </c>
      <c r="E44" s="9" t="s">
        <v>85</v>
      </c>
      <c r="F44" s="9" t="s">
        <v>85</v>
      </c>
      <c r="G44" s="9" t="s">
        <v>85</v>
      </c>
      <c r="H44" s="9" t="s">
        <v>85</v>
      </c>
      <c r="I44" s="9" t="s">
        <v>85</v>
      </c>
      <c r="J44" s="9" t="s">
        <v>85</v>
      </c>
      <c r="K44" s="9">
        <v>0.722689</v>
      </c>
      <c r="L44" s="9" t="s">
        <v>85</v>
      </c>
      <c r="M44" s="9" t="s">
        <v>85</v>
      </c>
      <c r="N44" s="9">
        <v>0.697479</v>
      </c>
      <c r="O44" s="9" t="s">
        <v>85</v>
      </c>
      <c r="P44" s="9" t="s">
        <v>85</v>
      </c>
      <c r="Q44" s="9" t="s">
        <v>85</v>
      </c>
      <c r="R44" s="9" t="s">
        <v>85</v>
      </c>
      <c r="S44" s="9" t="s">
        <v>85</v>
      </c>
      <c r="T44" s="9" t="s">
        <v>85</v>
      </c>
      <c r="U44" s="9" t="s">
        <v>85</v>
      </c>
      <c r="V44" s="9" t="s">
        <v>85</v>
      </c>
      <c r="W44" s="9">
        <v>0.731092</v>
      </c>
      <c r="X44" s="9" t="s">
        <v>85</v>
      </c>
      <c r="Y44" s="9" t="s">
        <v>85</v>
      </c>
      <c r="Z44" s="9">
        <v>0.756303</v>
      </c>
      <c r="AA44" s="9" t="s">
        <v>85</v>
      </c>
      <c r="AB44" s="9" t="s">
        <v>85</v>
      </c>
      <c r="AC44" s="9" t="s">
        <v>85</v>
      </c>
      <c r="AD44" s="9" t="s">
        <v>85</v>
      </c>
      <c r="AE44" s="9" t="s">
        <v>85</v>
      </c>
      <c r="AF44" s="9" t="s">
        <v>85</v>
      </c>
      <c r="AG44" s="9" t="s">
        <v>85</v>
      </c>
      <c r="AH44" s="9" t="s">
        <v>85</v>
      </c>
      <c r="AI44" s="9">
        <v>0.689076</v>
      </c>
      <c r="AJ44" s="9" t="s">
        <v>85</v>
      </c>
      <c r="AK44" s="9" t="s">
        <v>85</v>
      </c>
      <c r="AL44" s="9">
        <v>0.714286</v>
      </c>
      <c r="AM44" s="9" t="s">
        <v>85</v>
      </c>
      <c r="AN44" s="9" t="s">
        <v>85</v>
      </c>
      <c r="AO44" s="9" t="s">
        <v>85</v>
      </c>
      <c r="AP44" s="9" t="s">
        <v>85</v>
      </c>
      <c r="AQ44" s="9" t="s">
        <v>85</v>
      </c>
      <c r="AR44" s="9" t="s">
        <v>85</v>
      </c>
      <c r="AS44" s="9" t="s">
        <v>85</v>
      </c>
      <c r="AT44" s="9" t="s">
        <v>85</v>
      </c>
      <c r="AU44" s="9">
        <v>0.705882</v>
      </c>
      <c r="AV44" s="9" t="s">
        <v>85</v>
      </c>
      <c r="AW44" s="9" t="s">
        <v>85</v>
      </c>
      <c r="AX44" s="9">
        <v>0.773109</v>
      </c>
      <c r="AY44" s="9" t="s">
        <v>85</v>
      </c>
      <c r="AZ44" s="9" t="s">
        <v>85</v>
      </c>
      <c r="BA44" s="9" t="s">
        <v>85</v>
      </c>
      <c r="BB44" s="9" t="s">
        <v>85</v>
      </c>
      <c r="BC44" s="10" t="s">
        <v>85</v>
      </c>
      <c r="BD44" s="10" t="s">
        <v>85</v>
      </c>
      <c r="BE44" s="9" t="s">
        <v>85</v>
      </c>
      <c r="BF44" s="10" t="s">
        <v>85</v>
      </c>
      <c r="BG44" s="10" t="s">
        <v>85</v>
      </c>
      <c r="BH44" s="9" t="s">
        <v>85</v>
      </c>
      <c r="BI44" s="6"/>
      <c r="BJ44" s="6" t="str">
        <f t="shared" si="1"/>
        <v>12VB_Fold_Median</v>
      </c>
      <c r="BK44" s="6" t="str">
        <f t="shared" si="2"/>
        <v>8VB_Fold_Median</v>
      </c>
      <c r="BL44" s="6" t="str">
        <f t="shared" si="3"/>
        <v>8V_Fold_Median</v>
      </c>
      <c r="BM44" s="6"/>
      <c r="BN44" s="6"/>
      <c r="BO44" s="6"/>
      <c r="BP44" s="6"/>
      <c r="BQ44" s="6"/>
      <c r="BR44" s="6"/>
      <c r="BS44" s="6"/>
      <c r="BT44" s="6"/>
      <c r="BU44" s="6"/>
    </row>
    <row r="45" ht="15.75" customHeight="1">
      <c r="A45" s="1" t="s">
        <v>139</v>
      </c>
      <c r="B45" s="17">
        <v>1882.0</v>
      </c>
      <c r="C45" s="17">
        <v>7.0</v>
      </c>
      <c r="D45" s="9" t="s">
        <v>85</v>
      </c>
      <c r="E45" s="9" t="s">
        <v>85</v>
      </c>
      <c r="F45" s="9" t="s">
        <v>85</v>
      </c>
      <c r="G45" s="9" t="s">
        <v>85</v>
      </c>
      <c r="H45" s="9" t="s">
        <v>85</v>
      </c>
      <c r="I45" s="9" t="s">
        <v>85</v>
      </c>
      <c r="J45" s="9" t="s">
        <v>85</v>
      </c>
      <c r="K45" s="9">
        <v>0.247273</v>
      </c>
      <c r="L45" s="9" t="s">
        <v>85</v>
      </c>
      <c r="M45" s="9" t="s">
        <v>85</v>
      </c>
      <c r="N45" s="9">
        <v>0.287273</v>
      </c>
      <c r="O45" s="9" t="s">
        <v>85</v>
      </c>
      <c r="P45" s="9" t="s">
        <v>85</v>
      </c>
      <c r="Q45" s="9" t="s">
        <v>85</v>
      </c>
      <c r="R45" s="9" t="s">
        <v>85</v>
      </c>
      <c r="S45" s="9" t="s">
        <v>85</v>
      </c>
      <c r="T45" s="9" t="s">
        <v>85</v>
      </c>
      <c r="U45" s="9" t="s">
        <v>85</v>
      </c>
      <c r="V45" s="9" t="s">
        <v>85</v>
      </c>
      <c r="W45" s="9">
        <v>0.203636</v>
      </c>
      <c r="X45" s="9" t="s">
        <v>85</v>
      </c>
      <c r="Y45" s="9" t="s">
        <v>85</v>
      </c>
      <c r="Z45" s="9">
        <v>0.223636</v>
      </c>
      <c r="AA45" s="9" t="s">
        <v>85</v>
      </c>
      <c r="AB45" s="9" t="s">
        <v>85</v>
      </c>
      <c r="AC45" s="9" t="s">
        <v>85</v>
      </c>
      <c r="AD45" s="9" t="s">
        <v>85</v>
      </c>
      <c r="AE45" s="9" t="s">
        <v>85</v>
      </c>
      <c r="AF45" s="9" t="s">
        <v>85</v>
      </c>
      <c r="AG45" s="9" t="s">
        <v>85</v>
      </c>
      <c r="AH45" s="9" t="s">
        <v>85</v>
      </c>
      <c r="AI45" s="9">
        <v>0.210909</v>
      </c>
      <c r="AJ45" s="9" t="s">
        <v>85</v>
      </c>
      <c r="AK45" s="9" t="s">
        <v>85</v>
      </c>
      <c r="AL45" s="9">
        <v>0.227273</v>
      </c>
      <c r="AM45" s="9" t="s">
        <v>85</v>
      </c>
      <c r="AN45" s="9" t="s">
        <v>85</v>
      </c>
      <c r="AO45" s="9" t="s">
        <v>85</v>
      </c>
      <c r="AP45" s="9" t="s">
        <v>85</v>
      </c>
      <c r="AQ45" s="9" t="s">
        <v>85</v>
      </c>
      <c r="AR45" s="9" t="s">
        <v>85</v>
      </c>
      <c r="AS45" s="9" t="s">
        <v>85</v>
      </c>
      <c r="AT45" s="9" t="s">
        <v>85</v>
      </c>
      <c r="AU45" s="9">
        <v>0.243636</v>
      </c>
      <c r="AV45" s="9" t="s">
        <v>85</v>
      </c>
      <c r="AW45" s="9" t="s">
        <v>85</v>
      </c>
      <c r="AX45" s="9">
        <v>0.236364</v>
      </c>
      <c r="AY45" s="9" t="s">
        <v>85</v>
      </c>
      <c r="AZ45" s="9" t="s">
        <v>85</v>
      </c>
      <c r="BA45" s="9" t="s">
        <v>85</v>
      </c>
      <c r="BB45" s="9" t="s">
        <v>85</v>
      </c>
      <c r="BC45" s="10" t="s">
        <v>85</v>
      </c>
      <c r="BD45" s="10" t="s">
        <v>85</v>
      </c>
      <c r="BE45" s="9" t="s">
        <v>85</v>
      </c>
      <c r="BF45" s="10" t="s">
        <v>85</v>
      </c>
      <c r="BG45" s="10" t="s">
        <v>85</v>
      </c>
      <c r="BH45" s="9" t="s">
        <v>85</v>
      </c>
      <c r="BI45" s="6"/>
      <c r="BJ45" s="6" t="str">
        <f t="shared" si="1"/>
        <v>5VB_Fold_Median</v>
      </c>
      <c r="BK45" s="6" t="str">
        <f t="shared" si="2"/>
        <v>5V_Fold_Median</v>
      </c>
      <c r="BL45" s="6" t="str">
        <f t="shared" si="3"/>
        <v>12V_Fold_Median</v>
      </c>
      <c r="BM45" s="6"/>
      <c r="BN45" s="6"/>
      <c r="BO45" s="6"/>
      <c r="BP45" s="6"/>
      <c r="BQ45" s="6"/>
      <c r="BR45" s="6"/>
      <c r="BS45" s="6"/>
      <c r="BT45" s="6"/>
      <c r="BU45" s="6"/>
    </row>
    <row r="46" ht="15.75" customHeight="1">
      <c r="A46" s="1" t="s">
        <v>140</v>
      </c>
      <c r="B46" s="17">
        <v>601.0</v>
      </c>
      <c r="C46" s="17">
        <v>3.0</v>
      </c>
      <c r="D46" s="9" t="s">
        <v>85</v>
      </c>
      <c r="E46" s="9" t="s">
        <v>85</v>
      </c>
      <c r="F46" s="9" t="s">
        <v>85</v>
      </c>
      <c r="G46" s="9" t="s">
        <v>85</v>
      </c>
      <c r="H46" s="9" t="s">
        <v>85</v>
      </c>
      <c r="I46" s="9" t="s">
        <v>85</v>
      </c>
      <c r="J46" s="9" t="s">
        <v>85</v>
      </c>
      <c r="K46" s="9">
        <v>0.787149</v>
      </c>
      <c r="L46" s="9" t="s">
        <v>85</v>
      </c>
      <c r="M46" s="9" t="s">
        <v>85</v>
      </c>
      <c r="N46" s="9">
        <v>0.803213</v>
      </c>
      <c r="O46" s="9" t="s">
        <v>85</v>
      </c>
      <c r="P46" s="9" t="s">
        <v>85</v>
      </c>
      <c r="Q46" s="9" t="s">
        <v>85</v>
      </c>
      <c r="R46" s="9" t="s">
        <v>85</v>
      </c>
      <c r="S46" s="9" t="s">
        <v>85</v>
      </c>
      <c r="T46" s="9" t="s">
        <v>85</v>
      </c>
      <c r="U46" s="9" t="s">
        <v>85</v>
      </c>
      <c r="V46" s="9" t="s">
        <v>85</v>
      </c>
      <c r="W46" s="9">
        <v>0.799197</v>
      </c>
      <c r="X46" s="9" t="s">
        <v>85</v>
      </c>
      <c r="Y46" s="9" t="s">
        <v>85</v>
      </c>
      <c r="Z46" s="9">
        <v>0.795181</v>
      </c>
      <c r="AA46" s="9" t="s">
        <v>85</v>
      </c>
      <c r="AB46" s="9" t="s">
        <v>85</v>
      </c>
      <c r="AC46" s="9" t="s">
        <v>85</v>
      </c>
      <c r="AD46" s="9" t="s">
        <v>85</v>
      </c>
      <c r="AE46" s="9" t="s">
        <v>85</v>
      </c>
      <c r="AF46" s="9" t="s">
        <v>85</v>
      </c>
      <c r="AG46" s="9" t="s">
        <v>85</v>
      </c>
      <c r="AH46" s="9" t="s">
        <v>85</v>
      </c>
      <c r="AI46" s="9">
        <v>0.799197</v>
      </c>
      <c r="AJ46" s="9" t="s">
        <v>85</v>
      </c>
      <c r="AK46" s="9" t="s">
        <v>85</v>
      </c>
      <c r="AL46" s="9">
        <v>0.799197</v>
      </c>
      <c r="AM46" s="9" t="s">
        <v>85</v>
      </c>
      <c r="AN46" s="9" t="s">
        <v>85</v>
      </c>
      <c r="AO46" s="9" t="s">
        <v>85</v>
      </c>
      <c r="AP46" s="9" t="s">
        <v>85</v>
      </c>
      <c r="AQ46" s="9" t="s">
        <v>85</v>
      </c>
      <c r="AR46" s="9" t="s">
        <v>85</v>
      </c>
      <c r="AS46" s="9" t="s">
        <v>85</v>
      </c>
      <c r="AT46" s="9" t="s">
        <v>85</v>
      </c>
      <c r="AU46" s="9">
        <v>0.811245</v>
      </c>
      <c r="AV46" s="9" t="s">
        <v>85</v>
      </c>
      <c r="AW46" s="9" t="s">
        <v>85</v>
      </c>
      <c r="AX46" s="9">
        <v>0.811245</v>
      </c>
      <c r="AY46" s="9" t="s">
        <v>85</v>
      </c>
      <c r="AZ46" s="9" t="s">
        <v>85</v>
      </c>
      <c r="BA46" s="9" t="s">
        <v>85</v>
      </c>
      <c r="BB46" s="9" t="s">
        <v>85</v>
      </c>
      <c r="BC46" s="10" t="s">
        <v>85</v>
      </c>
      <c r="BD46" s="10" t="s">
        <v>85</v>
      </c>
      <c r="BE46" s="9" t="s">
        <v>85</v>
      </c>
      <c r="BF46" s="10" t="s">
        <v>85</v>
      </c>
      <c r="BG46" s="10" t="s">
        <v>85</v>
      </c>
      <c r="BH46" s="9" t="s">
        <v>85</v>
      </c>
      <c r="BI46" s="6"/>
      <c r="BJ46" s="6" t="str">
        <f t="shared" si="1"/>
        <v>12V_Fold_Median</v>
      </c>
      <c r="BK46" s="6" t="str">
        <f t="shared" si="2"/>
        <v>12V_Fold_Median</v>
      </c>
      <c r="BL46" s="6" t="str">
        <f t="shared" si="3"/>
        <v>5VB_Fold_Median</v>
      </c>
      <c r="BM46" s="6"/>
      <c r="BN46" s="6"/>
      <c r="BO46" s="6"/>
      <c r="BP46" s="6"/>
      <c r="BQ46" s="6"/>
      <c r="BR46" s="6"/>
      <c r="BS46" s="6"/>
      <c r="BT46" s="6"/>
      <c r="BU46" s="6"/>
    </row>
    <row r="47" ht="15.75" customHeight="1">
      <c r="A47" s="1" t="s">
        <v>141</v>
      </c>
      <c r="B47" s="17">
        <v>601.0</v>
      </c>
      <c r="C47" s="17">
        <v>3.0</v>
      </c>
      <c r="D47" s="9" t="s">
        <v>85</v>
      </c>
      <c r="E47" s="9" t="s">
        <v>85</v>
      </c>
      <c r="F47" s="9" t="s">
        <v>85</v>
      </c>
      <c r="G47" s="9" t="s">
        <v>85</v>
      </c>
      <c r="H47" s="9" t="s">
        <v>85</v>
      </c>
      <c r="I47" s="9" t="s">
        <v>85</v>
      </c>
      <c r="J47" s="9" t="s">
        <v>85</v>
      </c>
      <c r="K47" s="9">
        <v>0.751004</v>
      </c>
      <c r="L47" s="9" t="s">
        <v>85</v>
      </c>
      <c r="M47" s="9" t="s">
        <v>85</v>
      </c>
      <c r="N47" s="9">
        <v>0.75502</v>
      </c>
      <c r="O47" s="9" t="s">
        <v>85</v>
      </c>
      <c r="P47" s="9" t="s">
        <v>85</v>
      </c>
      <c r="Q47" s="9" t="s">
        <v>85</v>
      </c>
      <c r="R47" s="9" t="s">
        <v>85</v>
      </c>
      <c r="S47" s="9" t="s">
        <v>85</v>
      </c>
      <c r="T47" s="9" t="s">
        <v>85</v>
      </c>
      <c r="U47" s="9" t="s">
        <v>85</v>
      </c>
      <c r="V47" s="9" t="s">
        <v>85</v>
      </c>
      <c r="W47" s="9">
        <v>0.751004</v>
      </c>
      <c r="X47" s="9" t="s">
        <v>85</v>
      </c>
      <c r="Y47" s="9" t="s">
        <v>85</v>
      </c>
      <c r="Z47" s="9">
        <v>0.767068</v>
      </c>
      <c r="AA47" s="9" t="s">
        <v>85</v>
      </c>
      <c r="AB47" s="9" t="s">
        <v>85</v>
      </c>
      <c r="AC47" s="9" t="s">
        <v>85</v>
      </c>
      <c r="AD47" s="9" t="s">
        <v>85</v>
      </c>
      <c r="AE47" s="9" t="s">
        <v>85</v>
      </c>
      <c r="AF47" s="9" t="s">
        <v>85</v>
      </c>
      <c r="AG47" s="9" t="s">
        <v>85</v>
      </c>
      <c r="AH47" s="9" t="s">
        <v>85</v>
      </c>
      <c r="AI47" s="9">
        <v>0.75502</v>
      </c>
      <c r="AJ47" s="9" t="s">
        <v>85</v>
      </c>
      <c r="AK47" s="9" t="s">
        <v>85</v>
      </c>
      <c r="AL47" s="9">
        <v>0.742972</v>
      </c>
      <c r="AM47" s="9" t="s">
        <v>85</v>
      </c>
      <c r="AN47" s="9" t="s">
        <v>85</v>
      </c>
      <c r="AO47" s="9" t="s">
        <v>85</v>
      </c>
      <c r="AP47" s="9" t="s">
        <v>85</v>
      </c>
      <c r="AQ47" s="9" t="s">
        <v>85</v>
      </c>
      <c r="AR47" s="9" t="s">
        <v>85</v>
      </c>
      <c r="AS47" s="9" t="s">
        <v>85</v>
      </c>
      <c r="AT47" s="9" t="s">
        <v>85</v>
      </c>
      <c r="AU47" s="9">
        <v>0.73494</v>
      </c>
      <c r="AV47" s="9" t="s">
        <v>85</v>
      </c>
      <c r="AW47" s="9" t="s">
        <v>85</v>
      </c>
      <c r="AX47" s="9">
        <v>0.73494</v>
      </c>
      <c r="AY47" s="9" t="s">
        <v>85</v>
      </c>
      <c r="AZ47" s="9" t="s">
        <v>85</v>
      </c>
      <c r="BA47" s="9" t="s">
        <v>85</v>
      </c>
      <c r="BB47" s="9" t="s">
        <v>85</v>
      </c>
      <c r="BC47" s="10" t="s">
        <v>85</v>
      </c>
      <c r="BD47" s="10" t="s">
        <v>85</v>
      </c>
      <c r="BE47" s="9" t="s">
        <v>85</v>
      </c>
      <c r="BF47" s="10" t="s">
        <v>85</v>
      </c>
      <c r="BG47" s="10" t="s">
        <v>85</v>
      </c>
      <c r="BH47" s="9" t="s">
        <v>85</v>
      </c>
      <c r="BI47" s="6"/>
      <c r="BJ47" s="6" t="str">
        <f t="shared" si="1"/>
        <v>8VB_Fold_Median</v>
      </c>
      <c r="BK47" s="6" t="str">
        <f t="shared" si="2"/>
        <v>5VB_Fold_Median</v>
      </c>
      <c r="BL47" s="6" t="str">
        <f t="shared" si="3"/>
        <v>5VB_Fold_Median</v>
      </c>
      <c r="BM47" s="6"/>
      <c r="BN47" s="6"/>
      <c r="BO47" s="6"/>
      <c r="BP47" s="6"/>
      <c r="BQ47" s="6"/>
      <c r="BR47" s="6"/>
      <c r="BS47" s="6"/>
      <c r="BT47" s="6"/>
      <c r="BU47" s="6"/>
    </row>
    <row r="48" ht="15.75" customHeight="1">
      <c r="A48" s="1" t="s">
        <v>142</v>
      </c>
      <c r="B48" s="17">
        <v>24.0</v>
      </c>
      <c r="C48" s="17">
        <v>2.0</v>
      </c>
      <c r="D48" s="9" t="s">
        <v>85</v>
      </c>
      <c r="E48" s="9" t="s">
        <v>85</v>
      </c>
      <c r="F48" s="9" t="s">
        <v>85</v>
      </c>
      <c r="G48" s="9" t="s">
        <v>85</v>
      </c>
      <c r="H48" s="9" t="s">
        <v>85</v>
      </c>
      <c r="I48" s="9" t="s">
        <v>85</v>
      </c>
      <c r="J48" s="9" t="s">
        <v>85</v>
      </c>
      <c r="K48" s="9">
        <v>0.83965</v>
      </c>
      <c r="L48" s="9" t="s">
        <v>85</v>
      </c>
      <c r="M48" s="9" t="s">
        <v>85</v>
      </c>
      <c r="N48" s="9">
        <v>0.836735</v>
      </c>
      <c r="O48" s="9" t="s">
        <v>85</v>
      </c>
      <c r="P48" s="9" t="s">
        <v>85</v>
      </c>
      <c r="Q48" s="9" t="s">
        <v>85</v>
      </c>
      <c r="R48" s="9" t="s">
        <v>85</v>
      </c>
      <c r="S48" s="9" t="s">
        <v>85</v>
      </c>
      <c r="T48" s="9" t="s">
        <v>85</v>
      </c>
      <c r="U48" s="9" t="s">
        <v>85</v>
      </c>
      <c r="V48" s="9" t="s">
        <v>85</v>
      </c>
      <c r="W48" s="9">
        <v>0.93586</v>
      </c>
      <c r="X48" s="9" t="s">
        <v>85</v>
      </c>
      <c r="Y48" s="9" t="s">
        <v>85</v>
      </c>
      <c r="Z48" s="9">
        <v>0.936832</v>
      </c>
      <c r="AA48" s="9" t="s">
        <v>85</v>
      </c>
      <c r="AB48" s="9" t="s">
        <v>85</v>
      </c>
      <c r="AC48" s="9" t="s">
        <v>85</v>
      </c>
      <c r="AD48" s="9" t="s">
        <v>85</v>
      </c>
      <c r="AE48" s="9" t="s">
        <v>85</v>
      </c>
      <c r="AF48" s="9" t="s">
        <v>85</v>
      </c>
      <c r="AG48" s="9" t="s">
        <v>85</v>
      </c>
      <c r="AH48" s="9" t="s">
        <v>85</v>
      </c>
      <c r="AI48" s="9">
        <v>0.886297</v>
      </c>
      <c r="AJ48" s="9" t="s">
        <v>85</v>
      </c>
      <c r="AK48" s="9" t="s">
        <v>85</v>
      </c>
      <c r="AL48" s="9">
        <v>0.901846</v>
      </c>
      <c r="AM48" s="9" t="s">
        <v>85</v>
      </c>
      <c r="AN48" s="9" t="s">
        <v>85</v>
      </c>
      <c r="AO48" s="9" t="s">
        <v>85</v>
      </c>
      <c r="AP48" s="9" t="s">
        <v>85</v>
      </c>
      <c r="AQ48" s="9" t="s">
        <v>85</v>
      </c>
      <c r="AR48" s="9" t="s">
        <v>85</v>
      </c>
      <c r="AS48" s="9" t="s">
        <v>85</v>
      </c>
      <c r="AT48" s="9" t="s">
        <v>85</v>
      </c>
      <c r="AU48" s="9">
        <v>0.8931</v>
      </c>
      <c r="AV48" s="9" t="s">
        <v>85</v>
      </c>
      <c r="AW48" s="9" t="s">
        <v>85</v>
      </c>
      <c r="AX48" s="9">
        <v>0.896987</v>
      </c>
      <c r="AY48" s="9" t="s">
        <v>85</v>
      </c>
      <c r="AZ48" s="9" t="s">
        <v>85</v>
      </c>
      <c r="BA48" s="9" t="s">
        <v>85</v>
      </c>
      <c r="BB48" s="9" t="s">
        <v>85</v>
      </c>
      <c r="BC48" s="10" t="s">
        <v>85</v>
      </c>
      <c r="BD48" s="10" t="s">
        <v>85</v>
      </c>
      <c r="BE48" s="9" t="s">
        <v>85</v>
      </c>
      <c r="BF48" s="10" t="s">
        <v>85</v>
      </c>
      <c r="BG48" s="10" t="s">
        <v>85</v>
      </c>
      <c r="BH48" s="9" t="s">
        <v>85</v>
      </c>
      <c r="BI48" s="6"/>
      <c r="BJ48" s="6" t="str">
        <f t="shared" si="1"/>
        <v>8VB_Fold_Median</v>
      </c>
      <c r="BK48" s="6" t="str">
        <f t="shared" si="2"/>
        <v>8V_Fold_Median</v>
      </c>
      <c r="BL48" s="6" t="str">
        <f t="shared" si="3"/>
        <v>10VB_Fold_Median</v>
      </c>
      <c r="BM48" s="6"/>
      <c r="BN48" s="6"/>
      <c r="BO48" s="6"/>
      <c r="BP48" s="6"/>
      <c r="BQ48" s="6"/>
      <c r="BR48" s="6"/>
      <c r="BS48" s="6"/>
      <c r="BT48" s="6"/>
      <c r="BU48" s="6"/>
    </row>
    <row r="49" ht="15.75" customHeight="1">
      <c r="A49" s="1" t="s">
        <v>143</v>
      </c>
      <c r="B49" s="17">
        <v>720.0</v>
      </c>
      <c r="C49" s="17">
        <v>3.0</v>
      </c>
      <c r="D49" s="9" t="s">
        <v>85</v>
      </c>
      <c r="E49" s="9" t="s">
        <v>85</v>
      </c>
      <c r="F49" s="9" t="s">
        <v>85</v>
      </c>
      <c r="G49" s="9" t="s">
        <v>85</v>
      </c>
      <c r="H49" s="9" t="s">
        <v>85</v>
      </c>
      <c r="I49" s="9" t="s">
        <v>85</v>
      </c>
      <c r="J49" s="9" t="s">
        <v>85</v>
      </c>
      <c r="K49" s="9">
        <v>0.6</v>
      </c>
      <c r="L49" s="9" t="s">
        <v>85</v>
      </c>
      <c r="M49" s="9" t="s">
        <v>85</v>
      </c>
      <c r="N49" s="9">
        <v>0.6</v>
      </c>
      <c r="O49" s="9" t="s">
        <v>85</v>
      </c>
      <c r="P49" s="9" t="s">
        <v>85</v>
      </c>
      <c r="Q49" s="9" t="s">
        <v>85</v>
      </c>
      <c r="R49" s="9" t="s">
        <v>85</v>
      </c>
      <c r="S49" s="9" t="s">
        <v>85</v>
      </c>
      <c r="T49" s="9" t="s">
        <v>85</v>
      </c>
      <c r="U49" s="9" t="s">
        <v>85</v>
      </c>
      <c r="V49" s="9" t="s">
        <v>85</v>
      </c>
      <c r="W49" s="9">
        <v>0.578667</v>
      </c>
      <c r="X49" s="9" t="s">
        <v>85</v>
      </c>
      <c r="Y49" s="9" t="s">
        <v>85</v>
      </c>
      <c r="Z49" s="9">
        <v>0.568</v>
      </c>
      <c r="AA49" s="9" t="s">
        <v>85</v>
      </c>
      <c r="AB49" s="9" t="s">
        <v>85</v>
      </c>
      <c r="AC49" s="9" t="s">
        <v>85</v>
      </c>
      <c r="AD49" s="9" t="s">
        <v>85</v>
      </c>
      <c r="AE49" s="9" t="s">
        <v>85</v>
      </c>
      <c r="AF49" s="9" t="s">
        <v>85</v>
      </c>
      <c r="AG49" s="9" t="s">
        <v>85</v>
      </c>
      <c r="AH49" s="9" t="s">
        <v>85</v>
      </c>
      <c r="AI49" s="9">
        <v>0.576</v>
      </c>
      <c r="AJ49" s="9" t="s">
        <v>85</v>
      </c>
      <c r="AK49" s="9" t="s">
        <v>85</v>
      </c>
      <c r="AL49" s="9">
        <v>0.573333</v>
      </c>
      <c r="AM49" s="9" t="s">
        <v>85</v>
      </c>
      <c r="AN49" s="9" t="s">
        <v>85</v>
      </c>
      <c r="AO49" s="9" t="s">
        <v>85</v>
      </c>
      <c r="AP49" s="9" t="s">
        <v>85</v>
      </c>
      <c r="AQ49" s="9" t="s">
        <v>85</v>
      </c>
      <c r="AR49" s="9" t="s">
        <v>85</v>
      </c>
      <c r="AS49" s="9" t="s">
        <v>85</v>
      </c>
      <c r="AT49" s="9" t="s">
        <v>85</v>
      </c>
      <c r="AU49" s="9">
        <v>0.578667</v>
      </c>
      <c r="AV49" s="9" t="s">
        <v>85</v>
      </c>
      <c r="AW49" s="9" t="s">
        <v>85</v>
      </c>
      <c r="AX49" s="9">
        <v>0.594667</v>
      </c>
      <c r="AY49" s="9" t="s">
        <v>85</v>
      </c>
      <c r="AZ49" s="9" t="s">
        <v>85</v>
      </c>
      <c r="BA49" s="9" t="s">
        <v>85</v>
      </c>
      <c r="BB49" s="9" t="s">
        <v>85</v>
      </c>
      <c r="BC49" s="10" t="s">
        <v>85</v>
      </c>
      <c r="BD49" s="10" t="s">
        <v>85</v>
      </c>
      <c r="BE49" s="9" t="s">
        <v>85</v>
      </c>
      <c r="BF49" s="10" t="s">
        <v>85</v>
      </c>
      <c r="BG49" s="10" t="s">
        <v>85</v>
      </c>
      <c r="BH49" s="9" t="s">
        <v>85</v>
      </c>
      <c r="BI49" s="6"/>
      <c r="BJ49" s="6" t="str">
        <f t="shared" si="1"/>
        <v>5V_Fold_Median</v>
      </c>
      <c r="BK49" s="6" t="str">
        <f t="shared" si="2"/>
        <v>5V_Fold_Median</v>
      </c>
      <c r="BL49" s="6" t="str">
        <f t="shared" si="3"/>
        <v>12VB_Fold_Median</v>
      </c>
      <c r="BM49" s="6"/>
      <c r="BN49" s="6"/>
      <c r="BO49" s="6"/>
      <c r="BP49" s="6"/>
      <c r="BQ49" s="6"/>
      <c r="BR49" s="6"/>
      <c r="BS49" s="6"/>
      <c r="BT49" s="6"/>
      <c r="BU49" s="6"/>
    </row>
    <row r="50" ht="15.75" customHeight="1">
      <c r="A50" s="1" t="s">
        <v>144</v>
      </c>
      <c r="B50" s="17">
        <v>637.0</v>
      </c>
      <c r="C50" s="17">
        <v>2.0</v>
      </c>
      <c r="D50" s="9" t="s">
        <v>85</v>
      </c>
      <c r="E50" s="9" t="s">
        <v>85</v>
      </c>
      <c r="F50" s="9" t="s">
        <v>85</v>
      </c>
      <c r="G50" s="9" t="s">
        <v>85</v>
      </c>
      <c r="H50" s="9" t="s">
        <v>85</v>
      </c>
      <c r="I50" s="9" t="s">
        <v>85</v>
      </c>
      <c r="J50" s="9" t="s">
        <v>85</v>
      </c>
      <c r="K50" s="9">
        <v>0.540984</v>
      </c>
      <c r="L50" s="9" t="s">
        <v>85</v>
      </c>
      <c r="M50" s="9" t="s">
        <v>85</v>
      </c>
      <c r="N50" s="9">
        <v>0.540984</v>
      </c>
      <c r="O50" s="9" t="s">
        <v>85</v>
      </c>
      <c r="P50" s="9" t="s">
        <v>85</v>
      </c>
      <c r="Q50" s="9" t="s">
        <v>85</v>
      </c>
      <c r="R50" s="9" t="s">
        <v>85</v>
      </c>
      <c r="S50" s="9" t="s">
        <v>85</v>
      </c>
      <c r="T50" s="9" t="s">
        <v>85</v>
      </c>
      <c r="U50" s="9" t="s">
        <v>85</v>
      </c>
      <c r="V50" s="9" t="s">
        <v>85</v>
      </c>
      <c r="W50" s="9">
        <v>0.540984</v>
      </c>
      <c r="X50" s="9" t="s">
        <v>85</v>
      </c>
      <c r="Y50" s="9" t="s">
        <v>85</v>
      </c>
      <c r="Z50" s="9">
        <v>0.540984</v>
      </c>
      <c r="AA50" s="9" t="s">
        <v>85</v>
      </c>
      <c r="AB50" s="9" t="s">
        <v>85</v>
      </c>
      <c r="AC50" s="9" t="s">
        <v>85</v>
      </c>
      <c r="AD50" s="9" t="s">
        <v>85</v>
      </c>
      <c r="AE50" s="9" t="s">
        <v>85</v>
      </c>
      <c r="AF50" s="9" t="s">
        <v>85</v>
      </c>
      <c r="AG50" s="9" t="s">
        <v>85</v>
      </c>
      <c r="AH50" s="9" t="s">
        <v>85</v>
      </c>
      <c r="AI50" s="9">
        <v>0.540984</v>
      </c>
      <c r="AJ50" s="9" t="s">
        <v>85</v>
      </c>
      <c r="AK50" s="9" t="s">
        <v>85</v>
      </c>
      <c r="AL50" s="9">
        <v>0.540984</v>
      </c>
      <c r="AM50" s="9" t="s">
        <v>85</v>
      </c>
      <c r="AN50" s="9" t="s">
        <v>85</v>
      </c>
      <c r="AO50" s="9" t="s">
        <v>85</v>
      </c>
      <c r="AP50" s="9" t="s">
        <v>85</v>
      </c>
      <c r="AQ50" s="9" t="s">
        <v>85</v>
      </c>
      <c r="AR50" s="9" t="s">
        <v>85</v>
      </c>
      <c r="AS50" s="9" t="s">
        <v>85</v>
      </c>
      <c r="AT50" s="9" t="s">
        <v>85</v>
      </c>
      <c r="AU50" s="9">
        <v>0.540984</v>
      </c>
      <c r="AV50" s="9" t="s">
        <v>85</v>
      </c>
      <c r="AW50" s="9" t="s">
        <v>85</v>
      </c>
      <c r="AX50" s="9">
        <v>0.540984</v>
      </c>
      <c r="AY50" s="9" t="s">
        <v>85</v>
      </c>
      <c r="AZ50" s="9" t="s">
        <v>85</v>
      </c>
      <c r="BA50" s="9" t="s">
        <v>85</v>
      </c>
      <c r="BB50" s="9" t="s">
        <v>85</v>
      </c>
      <c r="BC50" s="10" t="s">
        <v>85</v>
      </c>
      <c r="BD50" s="10" t="s">
        <v>85</v>
      </c>
      <c r="BE50" s="9" t="s">
        <v>85</v>
      </c>
      <c r="BF50" s="10" t="s">
        <v>85</v>
      </c>
      <c r="BG50" s="10" t="s">
        <v>85</v>
      </c>
      <c r="BH50" s="9" t="s">
        <v>85</v>
      </c>
      <c r="BI50" s="6"/>
      <c r="BJ50" s="6" t="str">
        <f t="shared" si="1"/>
        <v>5V_Fold_Median</v>
      </c>
      <c r="BK50" s="6" t="str">
        <f t="shared" si="2"/>
        <v>5V_Fold_Median</v>
      </c>
      <c r="BL50" s="6" t="str">
        <f t="shared" si="3"/>
        <v>5V_Fold_Median</v>
      </c>
      <c r="BM50" s="6"/>
      <c r="BN50" s="6"/>
      <c r="BO50" s="6"/>
      <c r="BP50" s="6"/>
      <c r="BQ50" s="6"/>
      <c r="BR50" s="6"/>
      <c r="BS50" s="6"/>
      <c r="BT50" s="6"/>
      <c r="BU50" s="6"/>
    </row>
    <row r="51" ht="15.75" customHeight="1">
      <c r="A51" s="1" t="s">
        <v>145</v>
      </c>
      <c r="B51" s="17">
        <v>319.0</v>
      </c>
      <c r="C51" s="17">
        <v>7.0</v>
      </c>
      <c r="D51" s="9" t="s">
        <v>85</v>
      </c>
      <c r="E51" s="9" t="s">
        <v>85</v>
      </c>
      <c r="F51" s="9" t="s">
        <v>85</v>
      </c>
      <c r="G51" s="9" t="s">
        <v>85</v>
      </c>
      <c r="H51" s="9" t="s">
        <v>85</v>
      </c>
      <c r="I51" s="9" t="s">
        <v>85</v>
      </c>
      <c r="J51" s="9" t="s">
        <v>85</v>
      </c>
      <c r="K51" s="9">
        <v>0.60274</v>
      </c>
      <c r="L51" s="9" t="s">
        <v>85</v>
      </c>
      <c r="M51" s="9" t="s">
        <v>85</v>
      </c>
      <c r="N51" s="9">
        <v>0.589041</v>
      </c>
      <c r="O51" s="9" t="s">
        <v>85</v>
      </c>
      <c r="P51" s="9" t="s">
        <v>85</v>
      </c>
      <c r="Q51" s="9" t="s">
        <v>85</v>
      </c>
      <c r="R51" s="9" t="s">
        <v>85</v>
      </c>
      <c r="S51" s="9" t="s">
        <v>85</v>
      </c>
      <c r="T51" s="9" t="s">
        <v>85</v>
      </c>
      <c r="U51" s="9" t="s">
        <v>85</v>
      </c>
      <c r="V51" s="9" t="s">
        <v>85</v>
      </c>
      <c r="W51" s="9">
        <v>0.657534</v>
      </c>
      <c r="X51" s="9" t="s">
        <v>85</v>
      </c>
      <c r="Y51" s="9" t="s">
        <v>85</v>
      </c>
      <c r="Z51" s="9">
        <v>0.643836</v>
      </c>
      <c r="AA51" s="9" t="s">
        <v>85</v>
      </c>
      <c r="AB51" s="9" t="s">
        <v>85</v>
      </c>
      <c r="AC51" s="9" t="s">
        <v>85</v>
      </c>
      <c r="AD51" s="9" t="s">
        <v>85</v>
      </c>
      <c r="AE51" s="9" t="s">
        <v>85</v>
      </c>
      <c r="AF51" s="9" t="s">
        <v>85</v>
      </c>
      <c r="AG51" s="9" t="s">
        <v>85</v>
      </c>
      <c r="AH51" s="9" t="s">
        <v>85</v>
      </c>
      <c r="AI51" s="9">
        <v>0.589041</v>
      </c>
      <c r="AJ51" s="9" t="s">
        <v>85</v>
      </c>
      <c r="AK51" s="9" t="s">
        <v>85</v>
      </c>
      <c r="AL51" s="9">
        <v>0.575342</v>
      </c>
      <c r="AM51" s="9" t="s">
        <v>85</v>
      </c>
      <c r="AN51" s="9" t="s">
        <v>85</v>
      </c>
      <c r="AO51" s="9" t="s">
        <v>85</v>
      </c>
      <c r="AP51" s="9" t="s">
        <v>85</v>
      </c>
      <c r="AQ51" s="9" t="s">
        <v>85</v>
      </c>
      <c r="AR51" s="9" t="s">
        <v>85</v>
      </c>
      <c r="AS51" s="9" t="s">
        <v>85</v>
      </c>
      <c r="AT51" s="9" t="s">
        <v>85</v>
      </c>
      <c r="AU51" s="9">
        <v>0.561644</v>
      </c>
      <c r="AV51" s="9" t="s">
        <v>85</v>
      </c>
      <c r="AW51" s="9" t="s">
        <v>85</v>
      </c>
      <c r="AX51" s="9">
        <v>0.630137</v>
      </c>
      <c r="AY51" s="9" t="s">
        <v>85</v>
      </c>
      <c r="AZ51" s="9" t="s">
        <v>85</v>
      </c>
      <c r="BA51" s="9" t="s">
        <v>85</v>
      </c>
      <c r="BB51" s="9" t="s">
        <v>85</v>
      </c>
      <c r="BC51" s="10" t="s">
        <v>85</v>
      </c>
      <c r="BD51" s="10" t="s">
        <v>85</v>
      </c>
      <c r="BE51" s="9" t="s">
        <v>85</v>
      </c>
      <c r="BF51" s="10" t="s">
        <v>85</v>
      </c>
      <c r="BG51" s="10" t="s">
        <v>85</v>
      </c>
      <c r="BH51" s="9" t="s">
        <v>85</v>
      </c>
      <c r="BI51" s="6"/>
      <c r="BJ51" s="6" t="str">
        <f t="shared" si="1"/>
        <v>8V_Fold_Median</v>
      </c>
      <c r="BK51" s="6" t="str">
        <f t="shared" si="2"/>
        <v>8VB_Fold_Median</v>
      </c>
      <c r="BL51" s="6" t="str">
        <f t="shared" si="3"/>
        <v>12VB_Fold_Median</v>
      </c>
      <c r="BM51" s="6"/>
      <c r="BN51" s="6"/>
      <c r="BO51" s="6"/>
      <c r="BP51" s="6"/>
      <c r="BQ51" s="6"/>
      <c r="BR51" s="6"/>
      <c r="BS51" s="6"/>
      <c r="BT51" s="6"/>
      <c r="BU51" s="6"/>
    </row>
    <row r="52" ht="15.75" customHeight="1">
      <c r="A52" s="1" t="s">
        <v>146</v>
      </c>
      <c r="B52" s="17">
        <v>1024.0</v>
      </c>
      <c r="C52" s="17">
        <v>8.0</v>
      </c>
      <c r="D52" s="9" t="s">
        <v>85</v>
      </c>
      <c r="E52" s="9" t="s">
        <v>85</v>
      </c>
      <c r="F52" s="9" t="s">
        <v>85</v>
      </c>
      <c r="G52" s="9" t="s">
        <v>85</v>
      </c>
      <c r="H52" s="9" t="s">
        <v>85</v>
      </c>
      <c r="I52" s="9" t="s">
        <v>85</v>
      </c>
      <c r="J52" s="9" t="s">
        <v>85</v>
      </c>
      <c r="K52" s="9">
        <v>0.686141</v>
      </c>
      <c r="L52" s="9" t="s">
        <v>85</v>
      </c>
      <c r="M52" s="9" t="s">
        <v>85</v>
      </c>
      <c r="N52" s="9">
        <v>0.58209</v>
      </c>
      <c r="O52" s="9" t="s">
        <v>85</v>
      </c>
      <c r="P52" s="9" t="s">
        <v>85</v>
      </c>
      <c r="Q52" s="9" t="s">
        <v>85</v>
      </c>
      <c r="R52" s="9" t="s">
        <v>85</v>
      </c>
      <c r="S52" s="9" t="s">
        <v>85</v>
      </c>
      <c r="T52" s="9" t="s">
        <v>85</v>
      </c>
      <c r="U52" s="9" t="s">
        <v>85</v>
      </c>
      <c r="V52" s="9" t="s">
        <v>85</v>
      </c>
      <c r="W52" s="9">
        <v>0.4742</v>
      </c>
      <c r="X52" s="9" t="s">
        <v>85</v>
      </c>
      <c r="Y52" s="9" t="s">
        <v>85</v>
      </c>
      <c r="Z52" s="9">
        <v>0.564606</v>
      </c>
      <c r="AA52" s="9" t="s">
        <v>85</v>
      </c>
      <c r="AB52" s="9" t="s">
        <v>85</v>
      </c>
      <c r="AC52" s="9" t="s">
        <v>85</v>
      </c>
      <c r="AD52" s="9" t="s">
        <v>85</v>
      </c>
      <c r="AE52" s="9" t="s">
        <v>85</v>
      </c>
      <c r="AF52" s="9" t="s">
        <v>85</v>
      </c>
      <c r="AG52" s="9" t="s">
        <v>85</v>
      </c>
      <c r="AH52" s="9" t="s">
        <v>85</v>
      </c>
      <c r="AI52" s="9">
        <v>0.596588</v>
      </c>
      <c r="AJ52" s="9" t="s">
        <v>85</v>
      </c>
      <c r="AK52" s="9" t="s">
        <v>85</v>
      </c>
      <c r="AL52" s="9">
        <v>0.4742</v>
      </c>
      <c r="AM52" s="9" t="s">
        <v>85</v>
      </c>
      <c r="AN52" s="9" t="s">
        <v>85</v>
      </c>
      <c r="AO52" s="9" t="s">
        <v>85</v>
      </c>
      <c r="AP52" s="9" t="s">
        <v>85</v>
      </c>
      <c r="AQ52" s="9" t="s">
        <v>85</v>
      </c>
      <c r="AR52" s="9" t="s">
        <v>85</v>
      </c>
      <c r="AS52" s="9" t="s">
        <v>85</v>
      </c>
      <c r="AT52" s="9" t="s">
        <v>85</v>
      </c>
      <c r="AU52" s="9">
        <v>0.575267</v>
      </c>
      <c r="AV52" s="9" t="s">
        <v>85</v>
      </c>
      <c r="AW52" s="9" t="s">
        <v>85</v>
      </c>
      <c r="AX52" s="9">
        <v>0.553518</v>
      </c>
      <c r="AY52" s="9" t="s">
        <v>85</v>
      </c>
      <c r="AZ52" s="9" t="s">
        <v>85</v>
      </c>
      <c r="BA52" s="9" t="s">
        <v>85</v>
      </c>
      <c r="BB52" s="9" t="s">
        <v>85</v>
      </c>
      <c r="BC52" s="10" t="s">
        <v>85</v>
      </c>
      <c r="BD52" s="10" t="s">
        <v>85</v>
      </c>
      <c r="BE52" s="9" t="s">
        <v>85</v>
      </c>
      <c r="BF52" s="10" t="s">
        <v>85</v>
      </c>
      <c r="BG52" s="10" t="s">
        <v>85</v>
      </c>
      <c r="BH52" s="9" t="s">
        <v>85</v>
      </c>
      <c r="BI52" s="6"/>
      <c r="BJ52" s="6" t="str">
        <f t="shared" si="1"/>
        <v>5V_Fold_Median</v>
      </c>
      <c r="BK52" s="6" t="str">
        <f t="shared" si="2"/>
        <v>10V_Fold_Median</v>
      </c>
      <c r="BL52" s="6" t="str">
        <f t="shared" si="3"/>
        <v>5VB_Fold_Median</v>
      </c>
      <c r="BM52" s="6"/>
      <c r="BN52" s="6"/>
      <c r="BO52" s="6"/>
      <c r="BP52" s="6"/>
      <c r="BQ52" s="6"/>
      <c r="BR52" s="6"/>
      <c r="BS52" s="6"/>
      <c r="BT52" s="6"/>
      <c r="BU52" s="6"/>
    </row>
    <row r="53" ht="15.75" customHeight="1">
      <c r="A53" s="1" t="s">
        <v>147</v>
      </c>
      <c r="B53" s="17">
        <v>448.0</v>
      </c>
      <c r="C53" s="17">
        <v>3.0</v>
      </c>
      <c r="D53" s="9" t="s">
        <v>85</v>
      </c>
      <c r="E53" s="9" t="s">
        <v>85</v>
      </c>
      <c r="F53" s="9" t="s">
        <v>85</v>
      </c>
      <c r="G53" s="9" t="s">
        <v>85</v>
      </c>
      <c r="H53" s="9" t="s">
        <v>85</v>
      </c>
      <c r="I53" s="9" t="s">
        <v>85</v>
      </c>
      <c r="J53" s="9" t="s">
        <v>85</v>
      </c>
      <c r="K53" s="9">
        <v>0.633333</v>
      </c>
      <c r="L53" s="9" t="s">
        <v>85</v>
      </c>
      <c r="M53" s="9" t="s">
        <v>85</v>
      </c>
      <c r="N53" s="9">
        <v>0.533333</v>
      </c>
      <c r="O53" s="9" t="s">
        <v>85</v>
      </c>
      <c r="P53" s="9" t="s">
        <v>85</v>
      </c>
      <c r="Q53" s="9" t="s">
        <v>85</v>
      </c>
      <c r="R53" s="9" t="s">
        <v>85</v>
      </c>
      <c r="S53" s="9" t="s">
        <v>85</v>
      </c>
      <c r="T53" s="9" t="s">
        <v>85</v>
      </c>
      <c r="U53" s="9" t="s">
        <v>85</v>
      </c>
      <c r="V53" s="9" t="s">
        <v>85</v>
      </c>
      <c r="W53" s="9">
        <v>0.55</v>
      </c>
      <c r="X53" s="9" t="s">
        <v>85</v>
      </c>
      <c r="Y53" s="9" t="s">
        <v>85</v>
      </c>
      <c r="Z53" s="9">
        <v>0.5</v>
      </c>
      <c r="AA53" s="9" t="s">
        <v>85</v>
      </c>
      <c r="AB53" s="9" t="s">
        <v>85</v>
      </c>
      <c r="AC53" s="9" t="s">
        <v>85</v>
      </c>
      <c r="AD53" s="9" t="s">
        <v>85</v>
      </c>
      <c r="AE53" s="9" t="s">
        <v>85</v>
      </c>
      <c r="AF53" s="9" t="s">
        <v>85</v>
      </c>
      <c r="AG53" s="9" t="s">
        <v>85</v>
      </c>
      <c r="AH53" s="9" t="s">
        <v>85</v>
      </c>
      <c r="AI53" s="9">
        <v>0.666667</v>
      </c>
      <c r="AJ53" s="9" t="s">
        <v>85</v>
      </c>
      <c r="AK53" s="9" t="s">
        <v>85</v>
      </c>
      <c r="AL53" s="9">
        <v>0.733333</v>
      </c>
      <c r="AM53" s="9" t="s">
        <v>85</v>
      </c>
      <c r="AN53" s="9" t="s">
        <v>85</v>
      </c>
      <c r="AO53" s="9" t="s">
        <v>85</v>
      </c>
      <c r="AP53" s="9" t="s">
        <v>85</v>
      </c>
      <c r="AQ53" s="9" t="s">
        <v>85</v>
      </c>
      <c r="AR53" s="9" t="s">
        <v>85</v>
      </c>
      <c r="AS53" s="9" t="s">
        <v>85</v>
      </c>
      <c r="AT53" s="9" t="s">
        <v>85</v>
      </c>
      <c r="AU53" s="9">
        <v>0.616667</v>
      </c>
      <c r="AV53" s="9" t="s">
        <v>85</v>
      </c>
      <c r="AW53" s="9" t="s">
        <v>85</v>
      </c>
      <c r="AX53" s="9">
        <v>0.65</v>
      </c>
      <c r="AY53" s="9" t="s">
        <v>85</v>
      </c>
      <c r="AZ53" s="9" t="s">
        <v>85</v>
      </c>
      <c r="BA53" s="9" t="s">
        <v>85</v>
      </c>
      <c r="BB53" s="9" t="s">
        <v>85</v>
      </c>
      <c r="BC53" s="10" t="s">
        <v>85</v>
      </c>
      <c r="BD53" s="10" t="s">
        <v>85</v>
      </c>
      <c r="BE53" s="9" t="s">
        <v>85</v>
      </c>
      <c r="BF53" s="10" t="s">
        <v>85</v>
      </c>
      <c r="BG53" s="10" t="s">
        <v>85</v>
      </c>
      <c r="BH53" s="9" t="s">
        <v>85</v>
      </c>
      <c r="BI53" s="6"/>
      <c r="BJ53" s="6" t="str">
        <f t="shared" si="1"/>
        <v>10VB_Fold_Median</v>
      </c>
      <c r="BK53" s="6" t="str">
        <f t="shared" si="2"/>
        <v>10V_Fold_Median</v>
      </c>
      <c r="BL53" s="6" t="str">
        <f t="shared" si="3"/>
        <v>12VB_Fold_Median</v>
      </c>
      <c r="BM53" s="6"/>
      <c r="BN53" s="6"/>
      <c r="BO53" s="6"/>
      <c r="BP53" s="6"/>
      <c r="BQ53" s="6"/>
      <c r="BR53" s="6"/>
      <c r="BS53" s="6"/>
      <c r="BT53" s="6"/>
      <c r="BU53" s="6"/>
    </row>
    <row r="54" ht="15.75" customHeight="1">
      <c r="A54" s="1" t="s">
        <v>148</v>
      </c>
      <c r="B54" s="17">
        <v>99.0</v>
      </c>
      <c r="C54" s="17">
        <v>10.0</v>
      </c>
      <c r="D54" s="9" t="s">
        <v>85</v>
      </c>
      <c r="E54" s="9" t="s">
        <v>85</v>
      </c>
      <c r="F54" s="9" t="s">
        <v>85</v>
      </c>
      <c r="G54" s="9" t="s">
        <v>85</v>
      </c>
      <c r="H54" s="9" t="s">
        <v>85</v>
      </c>
      <c r="I54" s="9" t="s">
        <v>85</v>
      </c>
      <c r="J54" s="9" t="s">
        <v>85</v>
      </c>
      <c r="K54" s="9">
        <v>0.544737</v>
      </c>
      <c r="L54" s="9" t="s">
        <v>85</v>
      </c>
      <c r="M54" s="9" t="s">
        <v>85</v>
      </c>
      <c r="N54" s="9">
        <v>0.528947</v>
      </c>
      <c r="O54" s="9" t="s">
        <v>85</v>
      </c>
      <c r="P54" s="9" t="s">
        <v>85</v>
      </c>
      <c r="Q54" s="9" t="s">
        <v>85</v>
      </c>
      <c r="R54" s="9" t="s">
        <v>85</v>
      </c>
      <c r="S54" s="9" t="s">
        <v>85</v>
      </c>
      <c r="T54" s="9" t="s">
        <v>85</v>
      </c>
      <c r="U54" s="9" t="s">
        <v>85</v>
      </c>
      <c r="V54" s="9" t="s">
        <v>85</v>
      </c>
      <c r="W54" s="9">
        <v>0.551316</v>
      </c>
      <c r="X54" s="9" t="s">
        <v>85</v>
      </c>
      <c r="Y54" s="9" t="s">
        <v>85</v>
      </c>
      <c r="Z54" s="9">
        <v>0.596053</v>
      </c>
      <c r="AA54" s="9" t="s">
        <v>85</v>
      </c>
      <c r="AB54" s="9" t="s">
        <v>85</v>
      </c>
      <c r="AC54" s="9" t="s">
        <v>85</v>
      </c>
      <c r="AD54" s="9" t="s">
        <v>85</v>
      </c>
      <c r="AE54" s="9" t="s">
        <v>85</v>
      </c>
      <c r="AF54" s="9" t="s">
        <v>85</v>
      </c>
      <c r="AG54" s="9" t="s">
        <v>85</v>
      </c>
      <c r="AH54" s="9" t="s">
        <v>85</v>
      </c>
      <c r="AI54" s="9">
        <v>0.517105</v>
      </c>
      <c r="AJ54" s="9" t="s">
        <v>85</v>
      </c>
      <c r="AK54" s="9" t="s">
        <v>85</v>
      </c>
      <c r="AL54" s="9">
        <v>0.530263</v>
      </c>
      <c r="AM54" s="9" t="s">
        <v>85</v>
      </c>
      <c r="AN54" s="9" t="s">
        <v>85</v>
      </c>
      <c r="AO54" s="9" t="s">
        <v>85</v>
      </c>
      <c r="AP54" s="9" t="s">
        <v>85</v>
      </c>
      <c r="AQ54" s="9" t="s">
        <v>85</v>
      </c>
      <c r="AR54" s="9" t="s">
        <v>85</v>
      </c>
      <c r="AS54" s="9" t="s">
        <v>85</v>
      </c>
      <c r="AT54" s="9" t="s">
        <v>85</v>
      </c>
      <c r="AU54" s="9">
        <v>0.536842</v>
      </c>
      <c r="AV54" s="9" t="s">
        <v>85</v>
      </c>
      <c r="AW54" s="9" t="s">
        <v>85</v>
      </c>
      <c r="AX54" s="9">
        <v>0.542105</v>
      </c>
      <c r="AY54" s="9" t="s">
        <v>85</v>
      </c>
      <c r="AZ54" s="9" t="s">
        <v>85</v>
      </c>
      <c r="BA54" s="9" t="s">
        <v>85</v>
      </c>
      <c r="BB54" s="9" t="s">
        <v>85</v>
      </c>
      <c r="BC54" s="10" t="s">
        <v>85</v>
      </c>
      <c r="BD54" s="10" t="s">
        <v>85</v>
      </c>
      <c r="BE54" s="9" t="s">
        <v>85</v>
      </c>
      <c r="BF54" s="10" t="s">
        <v>85</v>
      </c>
      <c r="BG54" s="10" t="s">
        <v>85</v>
      </c>
      <c r="BH54" s="9" t="s">
        <v>85</v>
      </c>
      <c r="BI54" s="6"/>
      <c r="BJ54" s="6" t="str">
        <f t="shared" si="1"/>
        <v>8VB_Fold_Median</v>
      </c>
      <c r="BK54" s="6" t="str">
        <f t="shared" si="2"/>
        <v>8V_Fold_Median</v>
      </c>
      <c r="BL54" s="6" t="str">
        <f t="shared" si="3"/>
        <v>5V_Fold_Median</v>
      </c>
      <c r="BM54" s="6"/>
      <c r="BN54" s="6"/>
      <c r="BO54" s="6"/>
      <c r="BP54" s="6"/>
      <c r="BQ54" s="6"/>
      <c r="BR54" s="6"/>
      <c r="BS54" s="6"/>
      <c r="BT54" s="6"/>
      <c r="BU54" s="6"/>
    </row>
    <row r="55" ht="15.75" customHeight="1">
      <c r="A55" s="1" t="s">
        <v>149</v>
      </c>
      <c r="B55" s="17">
        <v>80.0</v>
      </c>
      <c r="C55" s="17">
        <v>3.0</v>
      </c>
      <c r="D55" s="9" t="s">
        <v>85</v>
      </c>
      <c r="E55" s="9" t="s">
        <v>85</v>
      </c>
      <c r="F55" s="9" t="s">
        <v>85</v>
      </c>
      <c r="G55" s="9" t="s">
        <v>85</v>
      </c>
      <c r="H55" s="9" t="s">
        <v>85</v>
      </c>
      <c r="I55" s="9" t="s">
        <v>85</v>
      </c>
      <c r="J55" s="9" t="s">
        <v>85</v>
      </c>
      <c r="K55" s="9">
        <v>0.577922</v>
      </c>
      <c r="L55" s="9" t="s">
        <v>85</v>
      </c>
      <c r="M55" s="9" t="s">
        <v>85</v>
      </c>
      <c r="N55" s="9">
        <v>0.584416</v>
      </c>
      <c r="O55" s="9" t="s">
        <v>85</v>
      </c>
      <c r="P55" s="9" t="s">
        <v>85</v>
      </c>
      <c r="Q55" s="9" t="s">
        <v>85</v>
      </c>
      <c r="R55" s="9" t="s">
        <v>85</v>
      </c>
      <c r="S55" s="9" t="s">
        <v>85</v>
      </c>
      <c r="T55" s="9" t="s">
        <v>85</v>
      </c>
      <c r="U55" s="9" t="s">
        <v>85</v>
      </c>
      <c r="V55" s="9" t="s">
        <v>85</v>
      </c>
      <c r="W55" s="9">
        <v>0.577922</v>
      </c>
      <c r="X55" s="9" t="s">
        <v>85</v>
      </c>
      <c r="Y55" s="9" t="s">
        <v>85</v>
      </c>
      <c r="Z55" s="9">
        <v>0.571429</v>
      </c>
      <c r="AA55" s="9" t="s">
        <v>85</v>
      </c>
      <c r="AB55" s="9" t="s">
        <v>85</v>
      </c>
      <c r="AC55" s="9" t="s">
        <v>85</v>
      </c>
      <c r="AD55" s="9" t="s">
        <v>85</v>
      </c>
      <c r="AE55" s="9" t="s">
        <v>85</v>
      </c>
      <c r="AF55" s="9" t="s">
        <v>85</v>
      </c>
      <c r="AG55" s="9" t="s">
        <v>85</v>
      </c>
      <c r="AH55" s="9" t="s">
        <v>85</v>
      </c>
      <c r="AI55" s="9">
        <v>0.571429</v>
      </c>
      <c r="AJ55" s="9" t="s">
        <v>85</v>
      </c>
      <c r="AK55" s="9" t="s">
        <v>85</v>
      </c>
      <c r="AL55" s="9">
        <v>0.564935</v>
      </c>
      <c r="AM55" s="9" t="s">
        <v>85</v>
      </c>
      <c r="AN55" s="9" t="s">
        <v>85</v>
      </c>
      <c r="AO55" s="9" t="s">
        <v>85</v>
      </c>
      <c r="AP55" s="9" t="s">
        <v>85</v>
      </c>
      <c r="AQ55" s="9" t="s">
        <v>85</v>
      </c>
      <c r="AR55" s="9" t="s">
        <v>85</v>
      </c>
      <c r="AS55" s="9" t="s">
        <v>85</v>
      </c>
      <c r="AT55" s="9" t="s">
        <v>85</v>
      </c>
      <c r="AU55" s="9">
        <v>0.577922</v>
      </c>
      <c r="AV55" s="9" t="s">
        <v>85</v>
      </c>
      <c r="AW55" s="9" t="s">
        <v>85</v>
      </c>
      <c r="AX55" s="9">
        <v>0.584416</v>
      </c>
      <c r="AY55" s="9" t="s">
        <v>85</v>
      </c>
      <c r="AZ55" s="9" t="s">
        <v>85</v>
      </c>
      <c r="BA55" s="9" t="s">
        <v>85</v>
      </c>
      <c r="BB55" s="9" t="s">
        <v>85</v>
      </c>
      <c r="BC55" s="10" t="s">
        <v>85</v>
      </c>
      <c r="BD55" s="10" t="s">
        <v>85</v>
      </c>
      <c r="BE55" s="9" t="s">
        <v>85</v>
      </c>
      <c r="BF55" s="10" t="s">
        <v>85</v>
      </c>
      <c r="BG55" s="10" t="s">
        <v>85</v>
      </c>
      <c r="BH55" s="9" t="s">
        <v>85</v>
      </c>
      <c r="BI55" s="6"/>
      <c r="BJ55" s="6" t="str">
        <f t="shared" si="1"/>
        <v>5VB_Fold_Median</v>
      </c>
      <c r="BK55" s="6" t="str">
        <f t="shared" si="2"/>
        <v>5VB_Fold_Median</v>
      </c>
      <c r="BL55" s="6" t="str">
        <f t="shared" si="3"/>
        <v>5V_Fold_Median</v>
      </c>
      <c r="BM55" s="6"/>
      <c r="BN55" s="6"/>
      <c r="BO55" s="6"/>
      <c r="BP55" s="6"/>
      <c r="BQ55" s="6"/>
      <c r="BR55" s="6"/>
      <c r="BS55" s="6"/>
      <c r="BT55" s="6"/>
      <c r="BU55" s="6"/>
    </row>
    <row r="56" ht="15.75" customHeight="1">
      <c r="A56" s="1" t="s">
        <v>150</v>
      </c>
      <c r="B56" s="17">
        <v>80.0</v>
      </c>
      <c r="C56" s="17">
        <v>2.0</v>
      </c>
      <c r="D56" s="9" t="s">
        <v>85</v>
      </c>
      <c r="E56" s="9" t="s">
        <v>85</v>
      </c>
      <c r="F56" s="9" t="s">
        <v>85</v>
      </c>
      <c r="G56" s="9" t="s">
        <v>85</v>
      </c>
      <c r="H56" s="9" t="s">
        <v>85</v>
      </c>
      <c r="I56" s="9" t="s">
        <v>85</v>
      </c>
      <c r="J56" s="9" t="s">
        <v>85</v>
      </c>
      <c r="K56" s="9">
        <v>0.790378</v>
      </c>
      <c r="L56" s="9" t="s">
        <v>85</v>
      </c>
      <c r="M56" s="9" t="s">
        <v>85</v>
      </c>
      <c r="N56" s="9">
        <v>0.780069</v>
      </c>
      <c r="O56" s="9" t="s">
        <v>85</v>
      </c>
      <c r="P56" s="9" t="s">
        <v>85</v>
      </c>
      <c r="Q56" s="9" t="s">
        <v>85</v>
      </c>
      <c r="R56" s="9" t="s">
        <v>85</v>
      </c>
      <c r="S56" s="9" t="s">
        <v>85</v>
      </c>
      <c r="T56" s="9" t="s">
        <v>85</v>
      </c>
      <c r="U56" s="9" t="s">
        <v>85</v>
      </c>
      <c r="V56" s="9" t="s">
        <v>85</v>
      </c>
      <c r="W56" s="9">
        <v>0.766323</v>
      </c>
      <c r="X56" s="9" t="s">
        <v>85</v>
      </c>
      <c r="Y56" s="9" t="s">
        <v>85</v>
      </c>
      <c r="Z56" s="9">
        <v>0.769759</v>
      </c>
      <c r="AA56" s="9" t="s">
        <v>85</v>
      </c>
      <c r="AB56" s="9" t="s">
        <v>85</v>
      </c>
      <c r="AC56" s="9" t="s">
        <v>85</v>
      </c>
      <c r="AD56" s="9" t="s">
        <v>85</v>
      </c>
      <c r="AE56" s="9" t="s">
        <v>85</v>
      </c>
      <c r="AF56" s="9" t="s">
        <v>85</v>
      </c>
      <c r="AG56" s="9" t="s">
        <v>85</v>
      </c>
      <c r="AH56" s="9" t="s">
        <v>85</v>
      </c>
      <c r="AI56" s="9">
        <v>0.756014</v>
      </c>
      <c r="AJ56" s="9" t="s">
        <v>85</v>
      </c>
      <c r="AK56" s="9" t="s">
        <v>85</v>
      </c>
      <c r="AL56" s="9">
        <v>0.776632</v>
      </c>
      <c r="AM56" s="9" t="s">
        <v>85</v>
      </c>
      <c r="AN56" s="9" t="s">
        <v>85</v>
      </c>
      <c r="AO56" s="9" t="s">
        <v>85</v>
      </c>
      <c r="AP56" s="9" t="s">
        <v>85</v>
      </c>
      <c r="AQ56" s="9" t="s">
        <v>85</v>
      </c>
      <c r="AR56" s="9" t="s">
        <v>85</v>
      </c>
      <c r="AS56" s="9" t="s">
        <v>85</v>
      </c>
      <c r="AT56" s="9" t="s">
        <v>85</v>
      </c>
      <c r="AU56" s="9">
        <v>0.790378</v>
      </c>
      <c r="AV56" s="9" t="s">
        <v>85</v>
      </c>
      <c r="AW56" s="9" t="s">
        <v>85</v>
      </c>
      <c r="AX56" s="9">
        <v>0.783505</v>
      </c>
      <c r="AY56" s="9" t="s">
        <v>85</v>
      </c>
      <c r="AZ56" s="9" t="s">
        <v>85</v>
      </c>
      <c r="BA56" s="9" t="s">
        <v>85</v>
      </c>
      <c r="BB56" s="9" t="s">
        <v>85</v>
      </c>
      <c r="BC56" s="10" t="s">
        <v>85</v>
      </c>
      <c r="BD56" s="10" t="s">
        <v>85</v>
      </c>
      <c r="BE56" s="9" t="s">
        <v>85</v>
      </c>
      <c r="BF56" s="10" t="s">
        <v>85</v>
      </c>
      <c r="BG56" s="10" t="s">
        <v>85</v>
      </c>
      <c r="BH56" s="9" t="s">
        <v>85</v>
      </c>
      <c r="BI56" s="6"/>
      <c r="BJ56" s="6" t="str">
        <f t="shared" si="1"/>
        <v>5V_Fold_Median</v>
      </c>
      <c r="BK56" s="6" t="str">
        <f t="shared" si="2"/>
        <v>5V_Fold_Median</v>
      </c>
      <c r="BL56" s="6" t="str">
        <f t="shared" si="3"/>
        <v>12VB_Fold_Median</v>
      </c>
      <c r="BM56" s="6"/>
      <c r="BN56" s="6"/>
      <c r="BO56" s="6"/>
      <c r="BP56" s="6"/>
      <c r="BQ56" s="6"/>
      <c r="BR56" s="6"/>
      <c r="BS56" s="6"/>
      <c r="BT56" s="6"/>
      <c r="BU56" s="6"/>
    </row>
    <row r="57" ht="15.75" customHeight="1">
      <c r="A57" s="1" t="s">
        <v>151</v>
      </c>
      <c r="B57" s="17">
        <v>80.0</v>
      </c>
      <c r="C57" s="17">
        <v>6.0</v>
      </c>
      <c r="D57" s="9" t="s">
        <v>85</v>
      </c>
      <c r="E57" s="9" t="s">
        <v>85</v>
      </c>
      <c r="F57" s="9" t="s">
        <v>85</v>
      </c>
      <c r="G57" s="9" t="s">
        <v>85</v>
      </c>
      <c r="H57" s="9" t="s">
        <v>85</v>
      </c>
      <c r="I57" s="9" t="s">
        <v>85</v>
      </c>
      <c r="J57" s="9" t="s">
        <v>85</v>
      </c>
      <c r="K57" s="9">
        <v>0.577922</v>
      </c>
      <c r="L57" s="9" t="s">
        <v>85</v>
      </c>
      <c r="M57" s="9" t="s">
        <v>85</v>
      </c>
      <c r="N57" s="9">
        <v>0.558442</v>
      </c>
      <c r="O57" s="9" t="s">
        <v>85</v>
      </c>
      <c r="P57" s="9" t="s">
        <v>85</v>
      </c>
      <c r="Q57" s="9" t="s">
        <v>85</v>
      </c>
      <c r="R57" s="9" t="s">
        <v>85</v>
      </c>
      <c r="S57" s="9" t="s">
        <v>85</v>
      </c>
      <c r="T57" s="9" t="s">
        <v>85</v>
      </c>
      <c r="U57" s="9" t="s">
        <v>85</v>
      </c>
      <c r="V57" s="9" t="s">
        <v>85</v>
      </c>
      <c r="W57" s="9">
        <v>0.558442</v>
      </c>
      <c r="X57" s="9" t="s">
        <v>85</v>
      </c>
      <c r="Y57" s="9" t="s">
        <v>85</v>
      </c>
      <c r="Z57" s="9">
        <v>0.558442</v>
      </c>
      <c r="AA57" s="9" t="s">
        <v>85</v>
      </c>
      <c r="AB57" s="9" t="s">
        <v>85</v>
      </c>
      <c r="AC57" s="9" t="s">
        <v>85</v>
      </c>
      <c r="AD57" s="9" t="s">
        <v>85</v>
      </c>
      <c r="AE57" s="9" t="s">
        <v>85</v>
      </c>
      <c r="AF57" s="9" t="s">
        <v>85</v>
      </c>
      <c r="AG57" s="9" t="s">
        <v>85</v>
      </c>
      <c r="AH57" s="9" t="s">
        <v>85</v>
      </c>
      <c r="AI57" s="9">
        <v>0.558442</v>
      </c>
      <c r="AJ57" s="9" t="s">
        <v>85</v>
      </c>
      <c r="AK57" s="9" t="s">
        <v>85</v>
      </c>
      <c r="AL57" s="9">
        <v>0.558442</v>
      </c>
      <c r="AM57" s="9" t="s">
        <v>85</v>
      </c>
      <c r="AN57" s="9" t="s">
        <v>85</v>
      </c>
      <c r="AO57" s="9" t="s">
        <v>85</v>
      </c>
      <c r="AP57" s="9" t="s">
        <v>85</v>
      </c>
      <c r="AQ57" s="9" t="s">
        <v>85</v>
      </c>
      <c r="AR57" s="9" t="s">
        <v>85</v>
      </c>
      <c r="AS57" s="9" t="s">
        <v>85</v>
      </c>
      <c r="AT57" s="9" t="s">
        <v>85</v>
      </c>
      <c r="AU57" s="9">
        <v>0.558442</v>
      </c>
      <c r="AV57" s="9" t="s">
        <v>85</v>
      </c>
      <c r="AW57" s="9" t="s">
        <v>85</v>
      </c>
      <c r="AX57" s="9">
        <v>0.558442</v>
      </c>
      <c r="AY57" s="9" t="s">
        <v>85</v>
      </c>
      <c r="AZ57" s="9" t="s">
        <v>85</v>
      </c>
      <c r="BA57" s="9" t="s">
        <v>85</v>
      </c>
      <c r="BB57" s="9" t="s">
        <v>85</v>
      </c>
      <c r="BC57" s="10" t="s">
        <v>85</v>
      </c>
      <c r="BD57" s="10" t="s">
        <v>85</v>
      </c>
      <c r="BE57" s="9" t="s">
        <v>85</v>
      </c>
      <c r="BF57" s="10" t="s">
        <v>85</v>
      </c>
      <c r="BG57" s="10" t="s">
        <v>85</v>
      </c>
      <c r="BH57" s="9" t="s">
        <v>85</v>
      </c>
      <c r="BI57" s="6"/>
      <c r="BJ57" s="6" t="str">
        <f t="shared" si="1"/>
        <v>5V_Fold_Median</v>
      </c>
      <c r="BK57" s="6" t="str">
        <f t="shared" si="2"/>
        <v>5VB_Fold_Median</v>
      </c>
      <c r="BL57" s="6" t="str">
        <f t="shared" si="3"/>
        <v>5VB_Fold_Median</v>
      </c>
      <c r="BM57" s="6"/>
      <c r="BN57" s="6"/>
      <c r="BO57" s="6"/>
      <c r="BP57" s="6"/>
      <c r="BQ57" s="6"/>
      <c r="BR57" s="6"/>
      <c r="BS57" s="6"/>
      <c r="BT57" s="6"/>
      <c r="BU57" s="6"/>
    </row>
    <row r="58" ht="15.75" customHeight="1">
      <c r="A58" s="1" t="s">
        <v>152</v>
      </c>
      <c r="B58" s="17">
        <v>1024.0</v>
      </c>
      <c r="C58" s="17">
        <v>5.0</v>
      </c>
      <c r="D58" s="9" t="s">
        <v>85</v>
      </c>
      <c r="E58" s="9" t="s">
        <v>85</v>
      </c>
      <c r="F58" s="9" t="s">
        <v>85</v>
      </c>
      <c r="G58" s="9" t="s">
        <v>85</v>
      </c>
      <c r="H58" s="9" t="s">
        <v>85</v>
      </c>
      <c r="I58" s="9" t="s">
        <v>85</v>
      </c>
      <c r="J58" s="9" t="s">
        <v>85</v>
      </c>
      <c r="K58" s="9">
        <v>0.851134</v>
      </c>
      <c r="L58" s="9" t="s">
        <v>85</v>
      </c>
      <c r="M58" s="9" t="s">
        <v>85</v>
      </c>
      <c r="N58" s="9">
        <v>0.856082</v>
      </c>
      <c r="O58" s="9" t="s">
        <v>85</v>
      </c>
      <c r="P58" s="9" t="s">
        <v>85</v>
      </c>
      <c r="Q58" s="9" t="s">
        <v>85</v>
      </c>
      <c r="R58" s="9" t="s">
        <v>85</v>
      </c>
      <c r="S58" s="9" t="s">
        <v>85</v>
      </c>
      <c r="T58" s="9" t="s">
        <v>85</v>
      </c>
      <c r="U58" s="9" t="s">
        <v>85</v>
      </c>
      <c r="V58" s="9" t="s">
        <v>85</v>
      </c>
      <c r="W58" s="9">
        <v>0.866804</v>
      </c>
      <c r="X58" s="9" t="s">
        <v>85</v>
      </c>
      <c r="Y58" s="9" t="s">
        <v>85</v>
      </c>
      <c r="Z58" s="9">
        <v>0.875052</v>
      </c>
      <c r="AA58" s="9" t="s">
        <v>85</v>
      </c>
      <c r="AB58" s="9" t="s">
        <v>85</v>
      </c>
      <c r="AC58" s="9" t="s">
        <v>85</v>
      </c>
      <c r="AD58" s="9" t="s">
        <v>85</v>
      </c>
      <c r="AE58" s="9" t="s">
        <v>85</v>
      </c>
      <c r="AF58" s="9" t="s">
        <v>85</v>
      </c>
      <c r="AG58" s="9" t="s">
        <v>85</v>
      </c>
      <c r="AH58" s="9" t="s">
        <v>85</v>
      </c>
      <c r="AI58" s="9">
        <v>0.863505</v>
      </c>
      <c r="AJ58" s="9" t="s">
        <v>85</v>
      </c>
      <c r="AK58" s="9" t="s">
        <v>85</v>
      </c>
      <c r="AL58" s="9">
        <v>0.867629</v>
      </c>
      <c r="AM58" s="9" t="s">
        <v>85</v>
      </c>
      <c r="AN58" s="9" t="s">
        <v>85</v>
      </c>
      <c r="AO58" s="9" t="s">
        <v>85</v>
      </c>
      <c r="AP58" s="9" t="s">
        <v>85</v>
      </c>
      <c r="AQ58" s="9" t="s">
        <v>85</v>
      </c>
      <c r="AR58" s="9" t="s">
        <v>85</v>
      </c>
      <c r="AS58" s="9" t="s">
        <v>85</v>
      </c>
      <c r="AT58" s="9" t="s">
        <v>85</v>
      </c>
      <c r="AU58" s="9">
        <v>0.863918</v>
      </c>
      <c r="AV58" s="9" t="s">
        <v>85</v>
      </c>
      <c r="AW58" s="9" t="s">
        <v>85</v>
      </c>
      <c r="AX58" s="9">
        <v>0.861443</v>
      </c>
      <c r="AY58" s="9" t="s">
        <v>85</v>
      </c>
      <c r="AZ58" s="9" t="s">
        <v>85</v>
      </c>
      <c r="BA58" s="9" t="s">
        <v>85</v>
      </c>
      <c r="BB58" s="9" t="s">
        <v>85</v>
      </c>
      <c r="BC58" s="10" t="s">
        <v>85</v>
      </c>
      <c r="BD58" s="10" t="s">
        <v>85</v>
      </c>
      <c r="BE58" s="9" t="s">
        <v>85</v>
      </c>
      <c r="BF58" s="10" t="s">
        <v>85</v>
      </c>
      <c r="BG58" s="10" t="s">
        <v>85</v>
      </c>
      <c r="BH58" s="9" t="s">
        <v>85</v>
      </c>
      <c r="BI58" s="6"/>
      <c r="BJ58" s="6" t="str">
        <f t="shared" si="1"/>
        <v>8VB_Fold_Median</v>
      </c>
      <c r="BK58" s="6" t="str">
        <f t="shared" si="2"/>
        <v>10VB_Fold_Median</v>
      </c>
      <c r="BL58" s="6" t="str">
        <f t="shared" si="3"/>
        <v>8V_Fold_Median</v>
      </c>
      <c r="BM58" s="6"/>
      <c r="BN58" s="6"/>
      <c r="BO58" s="6"/>
      <c r="BP58" s="6"/>
      <c r="BQ58" s="6"/>
      <c r="BR58" s="6"/>
      <c r="BS58" s="6"/>
      <c r="BT58" s="6"/>
      <c r="BU58" s="6"/>
    </row>
    <row r="59" ht="15.75" customHeight="1">
      <c r="A59" s="1" t="s">
        <v>153</v>
      </c>
      <c r="B59" s="17">
        <v>1024.0</v>
      </c>
      <c r="C59" s="17">
        <v>5.0</v>
      </c>
      <c r="D59" s="9" t="s">
        <v>85</v>
      </c>
      <c r="E59" s="9" t="s">
        <v>85</v>
      </c>
      <c r="F59" s="9" t="s">
        <v>85</v>
      </c>
      <c r="G59" s="9" t="s">
        <v>85</v>
      </c>
      <c r="H59" s="9" t="s">
        <v>85</v>
      </c>
      <c r="I59" s="9" t="s">
        <v>85</v>
      </c>
      <c r="J59" s="9" t="s">
        <v>85</v>
      </c>
      <c r="K59" s="9">
        <v>0.789278</v>
      </c>
      <c r="L59" s="9" t="s">
        <v>85</v>
      </c>
      <c r="M59" s="9" t="s">
        <v>85</v>
      </c>
      <c r="N59" s="9">
        <v>0.798763</v>
      </c>
      <c r="O59" s="9" t="s">
        <v>85</v>
      </c>
      <c r="P59" s="9" t="s">
        <v>85</v>
      </c>
      <c r="Q59" s="9" t="s">
        <v>85</v>
      </c>
      <c r="R59" s="9" t="s">
        <v>85</v>
      </c>
      <c r="S59" s="9" t="s">
        <v>85</v>
      </c>
      <c r="T59" s="9" t="s">
        <v>85</v>
      </c>
      <c r="U59" s="9" t="s">
        <v>85</v>
      </c>
      <c r="V59" s="9" t="s">
        <v>85</v>
      </c>
      <c r="W59" s="9">
        <v>0.793402</v>
      </c>
      <c r="X59" s="9" t="s">
        <v>85</v>
      </c>
      <c r="Y59" s="9" t="s">
        <v>85</v>
      </c>
      <c r="Z59" s="9">
        <v>0.816495</v>
      </c>
      <c r="AA59" s="9" t="s">
        <v>85</v>
      </c>
      <c r="AB59" s="9" t="s">
        <v>85</v>
      </c>
      <c r="AC59" s="9" t="s">
        <v>85</v>
      </c>
      <c r="AD59" s="9" t="s">
        <v>85</v>
      </c>
      <c r="AE59" s="9" t="s">
        <v>85</v>
      </c>
      <c r="AF59" s="9" t="s">
        <v>85</v>
      </c>
      <c r="AG59" s="9" t="s">
        <v>85</v>
      </c>
      <c r="AH59" s="9" t="s">
        <v>85</v>
      </c>
      <c r="AI59" s="9">
        <v>0.803299</v>
      </c>
      <c r="AJ59" s="9" t="s">
        <v>85</v>
      </c>
      <c r="AK59" s="9" t="s">
        <v>85</v>
      </c>
      <c r="AL59" s="9">
        <v>0.82268</v>
      </c>
      <c r="AM59" s="9" t="s">
        <v>85</v>
      </c>
      <c r="AN59" s="9" t="s">
        <v>85</v>
      </c>
      <c r="AO59" s="9" t="s">
        <v>85</v>
      </c>
      <c r="AP59" s="9" t="s">
        <v>85</v>
      </c>
      <c r="AQ59" s="9" t="s">
        <v>85</v>
      </c>
      <c r="AR59" s="9" t="s">
        <v>85</v>
      </c>
      <c r="AS59" s="9" t="s">
        <v>85</v>
      </c>
      <c r="AT59" s="9" t="s">
        <v>85</v>
      </c>
      <c r="AU59" s="9">
        <v>0.812783</v>
      </c>
      <c r="AV59" s="9" t="s">
        <v>85</v>
      </c>
      <c r="AW59" s="9" t="s">
        <v>85</v>
      </c>
      <c r="AX59" s="9">
        <v>0.807835</v>
      </c>
      <c r="AY59" s="9" t="s">
        <v>85</v>
      </c>
      <c r="AZ59" s="9" t="s">
        <v>85</v>
      </c>
      <c r="BA59" s="9" t="s">
        <v>85</v>
      </c>
      <c r="BB59" s="9" t="s">
        <v>85</v>
      </c>
      <c r="BC59" s="10" t="s">
        <v>85</v>
      </c>
      <c r="BD59" s="10" t="s">
        <v>85</v>
      </c>
      <c r="BE59" s="9" t="s">
        <v>85</v>
      </c>
      <c r="BF59" s="10" t="s">
        <v>85</v>
      </c>
      <c r="BG59" s="10" t="s">
        <v>85</v>
      </c>
      <c r="BH59" s="9" t="s">
        <v>85</v>
      </c>
      <c r="BI59" s="6"/>
      <c r="BJ59" s="6" t="str">
        <f t="shared" si="1"/>
        <v>10VB_Fold_Median</v>
      </c>
      <c r="BK59" s="6" t="str">
        <f t="shared" si="2"/>
        <v>8VB_Fold_Median</v>
      </c>
      <c r="BL59" s="6" t="str">
        <f t="shared" si="3"/>
        <v>12V_Fold_Median</v>
      </c>
      <c r="BM59" s="6"/>
      <c r="BN59" s="6"/>
      <c r="BO59" s="6"/>
      <c r="BP59" s="6"/>
      <c r="BQ59" s="6"/>
      <c r="BR59" s="6"/>
      <c r="BS59" s="6"/>
      <c r="BT59" s="6"/>
      <c r="BU59" s="6"/>
    </row>
    <row r="60" ht="15.75" customHeight="1">
      <c r="A60" s="1" t="s">
        <v>154</v>
      </c>
      <c r="B60" s="17">
        <v>84.0</v>
      </c>
      <c r="C60" s="17">
        <v>2.0</v>
      </c>
      <c r="D60" s="9" t="s">
        <v>85</v>
      </c>
      <c r="E60" s="9" t="s">
        <v>85</v>
      </c>
      <c r="F60" s="9" t="s">
        <v>85</v>
      </c>
      <c r="G60" s="9" t="s">
        <v>85</v>
      </c>
      <c r="H60" s="9" t="s">
        <v>85</v>
      </c>
      <c r="I60" s="9" t="s">
        <v>85</v>
      </c>
      <c r="J60" s="9" t="s">
        <v>85</v>
      </c>
      <c r="K60" s="9">
        <v>0.826677</v>
      </c>
      <c r="L60" s="9" t="s">
        <v>85</v>
      </c>
      <c r="M60" s="9" t="s">
        <v>85</v>
      </c>
      <c r="N60" s="9">
        <v>0.8123</v>
      </c>
      <c r="O60" s="9" t="s">
        <v>85</v>
      </c>
      <c r="P60" s="9" t="s">
        <v>85</v>
      </c>
      <c r="Q60" s="9" t="s">
        <v>85</v>
      </c>
      <c r="R60" s="9" t="s">
        <v>85</v>
      </c>
      <c r="S60" s="9" t="s">
        <v>85</v>
      </c>
      <c r="T60" s="9" t="s">
        <v>85</v>
      </c>
      <c r="U60" s="9" t="s">
        <v>85</v>
      </c>
      <c r="V60" s="9" t="s">
        <v>85</v>
      </c>
      <c r="W60" s="9">
        <v>0.82508</v>
      </c>
      <c r="X60" s="9" t="s">
        <v>85</v>
      </c>
      <c r="Y60" s="9" t="s">
        <v>85</v>
      </c>
      <c r="Z60" s="9">
        <v>0.802716</v>
      </c>
      <c r="AA60" s="9" t="s">
        <v>85</v>
      </c>
      <c r="AB60" s="9" t="s">
        <v>85</v>
      </c>
      <c r="AC60" s="9" t="s">
        <v>85</v>
      </c>
      <c r="AD60" s="9" t="s">
        <v>85</v>
      </c>
      <c r="AE60" s="9" t="s">
        <v>85</v>
      </c>
      <c r="AF60" s="9" t="s">
        <v>85</v>
      </c>
      <c r="AG60" s="9" t="s">
        <v>85</v>
      </c>
      <c r="AH60" s="9" t="s">
        <v>85</v>
      </c>
      <c r="AI60" s="9">
        <v>0.820288</v>
      </c>
      <c r="AJ60" s="9" t="s">
        <v>85</v>
      </c>
      <c r="AK60" s="9" t="s">
        <v>85</v>
      </c>
      <c r="AL60" s="9">
        <v>0.83147</v>
      </c>
      <c r="AM60" s="9" t="s">
        <v>85</v>
      </c>
      <c r="AN60" s="9" t="s">
        <v>85</v>
      </c>
      <c r="AO60" s="9" t="s">
        <v>85</v>
      </c>
      <c r="AP60" s="9" t="s">
        <v>85</v>
      </c>
      <c r="AQ60" s="9" t="s">
        <v>85</v>
      </c>
      <c r="AR60" s="9" t="s">
        <v>85</v>
      </c>
      <c r="AS60" s="9" t="s">
        <v>85</v>
      </c>
      <c r="AT60" s="9" t="s">
        <v>85</v>
      </c>
      <c r="AU60" s="9">
        <v>0.82508</v>
      </c>
      <c r="AV60" s="9" t="s">
        <v>85</v>
      </c>
      <c r="AW60" s="9" t="s">
        <v>85</v>
      </c>
      <c r="AX60" s="9">
        <v>0.81869</v>
      </c>
      <c r="AY60" s="9" t="s">
        <v>85</v>
      </c>
      <c r="AZ60" s="9" t="s">
        <v>85</v>
      </c>
      <c r="BA60" s="9" t="s">
        <v>85</v>
      </c>
      <c r="BB60" s="9" t="s">
        <v>85</v>
      </c>
      <c r="BC60" s="10" t="s">
        <v>85</v>
      </c>
      <c r="BD60" s="10" t="s">
        <v>85</v>
      </c>
      <c r="BE60" s="9" t="s">
        <v>85</v>
      </c>
      <c r="BF60" s="10" t="s">
        <v>85</v>
      </c>
      <c r="BG60" s="10" t="s">
        <v>85</v>
      </c>
      <c r="BH60" s="9" t="s">
        <v>85</v>
      </c>
      <c r="BI60" s="6"/>
      <c r="BJ60" s="6" t="str">
        <f t="shared" si="1"/>
        <v>10VB_Fold_Median</v>
      </c>
      <c r="BK60" s="6" t="str">
        <f t="shared" si="2"/>
        <v>5V_Fold_Median</v>
      </c>
      <c r="BL60" s="6" t="str">
        <f t="shared" si="3"/>
        <v>8V_Fold_Median</v>
      </c>
      <c r="BM60" s="6"/>
      <c r="BN60" s="6"/>
      <c r="BO60" s="6"/>
      <c r="BP60" s="6"/>
      <c r="BQ60" s="6"/>
      <c r="BR60" s="6"/>
      <c r="BS60" s="6"/>
      <c r="BT60" s="6"/>
      <c r="BU60" s="6"/>
    </row>
    <row r="61" ht="15.75" customHeight="1">
      <c r="A61" s="1" t="s">
        <v>155</v>
      </c>
      <c r="B61" s="17">
        <v>570.0</v>
      </c>
      <c r="C61" s="17">
        <v>4.0</v>
      </c>
      <c r="D61" s="9" t="s">
        <v>85</v>
      </c>
      <c r="E61" s="9" t="s">
        <v>85</v>
      </c>
      <c r="F61" s="9" t="s">
        <v>85</v>
      </c>
      <c r="G61" s="9" t="s">
        <v>85</v>
      </c>
      <c r="H61" s="9" t="s">
        <v>85</v>
      </c>
      <c r="I61" s="9" t="s">
        <v>85</v>
      </c>
      <c r="J61" s="9" t="s">
        <v>85</v>
      </c>
      <c r="K61" s="9">
        <v>0.4</v>
      </c>
      <c r="L61" s="9" t="s">
        <v>85</v>
      </c>
      <c r="M61" s="9" t="s">
        <v>85</v>
      </c>
      <c r="N61" s="9">
        <v>0.4</v>
      </c>
      <c r="O61" s="9" t="s">
        <v>85</v>
      </c>
      <c r="P61" s="9" t="s">
        <v>85</v>
      </c>
      <c r="Q61" s="9" t="s">
        <v>85</v>
      </c>
      <c r="R61" s="9" t="s">
        <v>85</v>
      </c>
      <c r="S61" s="9" t="s">
        <v>85</v>
      </c>
      <c r="T61" s="9" t="s">
        <v>85</v>
      </c>
      <c r="U61" s="9" t="s">
        <v>85</v>
      </c>
      <c r="V61" s="9" t="s">
        <v>85</v>
      </c>
      <c r="W61" s="9">
        <v>0.4</v>
      </c>
      <c r="X61" s="9" t="s">
        <v>85</v>
      </c>
      <c r="Y61" s="9" t="s">
        <v>85</v>
      </c>
      <c r="Z61" s="9">
        <v>0.4</v>
      </c>
      <c r="AA61" s="9" t="s">
        <v>85</v>
      </c>
      <c r="AB61" s="9" t="s">
        <v>85</v>
      </c>
      <c r="AC61" s="9" t="s">
        <v>85</v>
      </c>
      <c r="AD61" s="9" t="s">
        <v>85</v>
      </c>
      <c r="AE61" s="9" t="s">
        <v>85</v>
      </c>
      <c r="AF61" s="9" t="s">
        <v>85</v>
      </c>
      <c r="AG61" s="9" t="s">
        <v>85</v>
      </c>
      <c r="AH61" s="9" t="s">
        <v>85</v>
      </c>
      <c r="AI61" s="9">
        <v>0.4</v>
      </c>
      <c r="AJ61" s="9" t="s">
        <v>85</v>
      </c>
      <c r="AK61" s="9" t="s">
        <v>85</v>
      </c>
      <c r="AL61" s="9">
        <v>0.4</v>
      </c>
      <c r="AM61" s="9" t="s">
        <v>85</v>
      </c>
      <c r="AN61" s="9" t="s">
        <v>85</v>
      </c>
      <c r="AO61" s="9" t="s">
        <v>85</v>
      </c>
      <c r="AP61" s="9" t="s">
        <v>85</v>
      </c>
      <c r="AQ61" s="9" t="s">
        <v>85</v>
      </c>
      <c r="AR61" s="9" t="s">
        <v>85</v>
      </c>
      <c r="AS61" s="9" t="s">
        <v>85</v>
      </c>
      <c r="AT61" s="9" t="s">
        <v>85</v>
      </c>
      <c r="AU61" s="9">
        <v>0.4</v>
      </c>
      <c r="AV61" s="9" t="s">
        <v>85</v>
      </c>
      <c r="AW61" s="9" t="s">
        <v>85</v>
      </c>
      <c r="AX61" s="9">
        <v>0.4</v>
      </c>
      <c r="AY61" s="9" t="s">
        <v>85</v>
      </c>
      <c r="AZ61" s="9" t="s">
        <v>85</v>
      </c>
      <c r="BA61" s="9" t="s">
        <v>85</v>
      </c>
      <c r="BB61" s="9" t="s">
        <v>85</v>
      </c>
      <c r="BC61" s="10" t="s">
        <v>85</v>
      </c>
      <c r="BD61" s="10" t="s">
        <v>85</v>
      </c>
      <c r="BE61" s="9" t="s">
        <v>85</v>
      </c>
      <c r="BF61" s="10" t="s">
        <v>85</v>
      </c>
      <c r="BG61" s="10" t="s">
        <v>85</v>
      </c>
      <c r="BH61" s="9" t="s">
        <v>85</v>
      </c>
      <c r="BI61" s="6"/>
      <c r="BJ61" s="6" t="str">
        <f t="shared" si="1"/>
        <v>5V_Fold_Median</v>
      </c>
      <c r="BK61" s="6" t="str">
        <f t="shared" si="2"/>
        <v>5V_Fold_Median</v>
      </c>
      <c r="BL61" s="6" t="str">
        <f t="shared" si="3"/>
        <v>5V_Fold_Median</v>
      </c>
      <c r="BM61" s="6"/>
      <c r="BN61" s="6"/>
      <c r="BO61" s="6"/>
      <c r="BP61" s="6"/>
      <c r="BQ61" s="6"/>
      <c r="BR61" s="6"/>
      <c r="BS61" s="6"/>
      <c r="BT61" s="6"/>
      <c r="BU61" s="6"/>
    </row>
    <row r="62" ht="15.75" customHeight="1">
      <c r="A62" s="1" t="s">
        <v>156</v>
      </c>
      <c r="B62" s="17">
        <v>427.0</v>
      </c>
      <c r="C62" s="17">
        <v>6.0</v>
      </c>
      <c r="D62" s="9" t="s">
        <v>85</v>
      </c>
      <c r="E62" s="9" t="s">
        <v>85</v>
      </c>
      <c r="F62" s="9" t="s">
        <v>85</v>
      </c>
      <c r="G62" s="9" t="s">
        <v>85</v>
      </c>
      <c r="H62" s="9" t="s">
        <v>85</v>
      </c>
      <c r="I62" s="9" t="s">
        <v>85</v>
      </c>
      <c r="J62" s="9" t="s">
        <v>85</v>
      </c>
      <c r="K62" s="9">
        <v>0.450413</v>
      </c>
      <c r="L62" s="9" t="s">
        <v>85</v>
      </c>
      <c r="M62" s="9" t="s">
        <v>85</v>
      </c>
      <c r="N62" s="9">
        <v>0.400826</v>
      </c>
      <c r="O62" s="9" t="s">
        <v>85</v>
      </c>
      <c r="P62" s="9" t="s">
        <v>85</v>
      </c>
      <c r="Q62" s="9" t="s">
        <v>85</v>
      </c>
      <c r="R62" s="9" t="s">
        <v>85</v>
      </c>
      <c r="S62" s="9" t="s">
        <v>85</v>
      </c>
      <c r="T62" s="9" t="s">
        <v>85</v>
      </c>
      <c r="U62" s="9" t="s">
        <v>85</v>
      </c>
      <c r="V62" s="9" t="s">
        <v>85</v>
      </c>
      <c r="W62" s="9">
        <v>0.446281</v>
      </c>
      <c r="X62" s="9" t="s">
        <v>85</v>
      </c>
      <c r="Y62" s="9" t="s">
        <v>85</v>
      </c>
      <c r="Z62" s="9">
        <v>0.429752</v>
      </c>
      <c r="AA62" s="9" t="s">
        <v>85</v>
      </c>
      <c r="AB62" s="9" t="s">
        <v>85</v>
      </c>
      <c r="AC62" s="9" t="s">
        <v>85</v>
      </c>
      <c r="AD62" s="9" t="s">
        <v>85</v>
      </c>
      <c r="AE62" s="9" t="s">
        <v>85</v>
      </c>
      <c r="AF62" s="9" t="s">
        <v>85</v>
      </c>
      <c r="AG62" s="9" t="s">
        <v>85</v>
      </c>
      <c r="AH62" s="9" t="s">
        <v>85</v>
      </c>
      <c r="AI62" s="9">
        <v>0.417355</v>
      </c>
      <c r="AJ62" s="9" t="s">
        <v>85</v>
      </c>
      <c r="AK62" s="9" t="s">
        <v>85</v>
      </c>
      <c r="AL62" s="9">
        <v>0.429752</v>
      </c>
      <c r="AM62" s="9" t="s">
        <v>85</v>
      </c>
      <c r="AN62" s="9" t="s">
        <v>85</v>
      </c>
      <c r="AO62" s="9" t="s">
        <v>85</v>
      </c>
      <c r="AP62" s="9" t="s">
        <v>85</v>
      </c>
      <c r="AQ62" s="9" t="s">
        <v>85</v>
      </c>
      <c r="AR62" s="9" t="s">
        <v>85</v>
      </c>
      <c r="AS62" s="9" t="s">
        <v>85</v>
      </c>
      <c r="AT62" s="9" t="s">
        <v>85</v>
      </c>
      <c r="AU62" s="9">
        <v>0.487603</v>
      </c>
      <c r="AV62" s="9" t="s">
        <v>85</v>
      </c>
      <c r="AW62" s="9" t="s">
        <v>85</v>
      </c>
      <c r="AX62" s="9">
        <v>0.495868</v>
      </c>
      <c r="AY62" s="9" t="s">
        <v>85</v>
      </c>
      <c r="AZ62" s="9" t="s">
        <v>85</v>
      </c>
      <c r="BA62" s="9" t="s">
        <v>85</v>
      </c>
      <c r="BB62" s="9" t="s">
        <v>85</v>
      </c>
      <c r="BC62" s="10" t="s">
        <v>85</v>
      </c>
      <c r="BD62" s="10" t="s">
        <v>85</v>
      </c>
      <c r="BE62" s="9" t="s">
        <v>85</v>
      </c>
      <c r="BF62" s="10" t="s">
        <v>85</v>
      </c>
      <c r="BG62" s="10" t="s">
        <v>85</v>
      </c>
      <c r="BH62" s="9" t="s">
        <v>85</v>
      </c>
      <c r="BI62" s="6"/>
      <c r="BJ62" s="6" t="str">
        <f t="shared" si="1"/>
        <v>12VB_Fold_Median</v>
      </c>
      <c r="BK62" s="6" t="str">
        <f t="shared" si="2"/>
        <v>12V_Fold_Median</v>
      </c>
      <c r="BL62" s="6" t="str">
        <f t="shared" si="3"/>
        <v>5V_Fold_Median</v>
      </c>
      <c r="BM62" s="6"/>
      <c r="BN62" s="6"/>
      <c r="BO62" s="6"/>
      <c r="BP62" s="6"/>
      <c r="BQ62" s="6"/>
      <c r="BR62" s="6"/>
      <c r="BS62" s="6"/>
      <c r="BT62" s="6"/>
      <c r="BU62" s="6"/>
    </row>
    <row r="63" ht="15.75" customHeight="1">
      <c r="A63" s="1" t="s">
        <v>157</v>
      </c>
      <c r="B63" s="17">
        <v>80.0</v>
      </c>
      <c r="C63" s="17">
        <v>2.0</v>
      </c>
      <c r="D63" s="9" t="s">
        <v>85</v>
      </c>
      <c r="E63" s="9" t="s">
        <v>85</v>
      </c>
      <c r="F63" s="9" t="s">
        <v>85</v>
      </c>
      <c r="G63" s="9" t="s">
        <v>85</v>
      </c>
      <c r="H63" s="9" t="s">
        <v>85</v>
      </c>
      <c r="I63" s="9" t="s">
        <v>85</v>
      </c>
      <c r="J63" s="9" t="s">
        <v>85</v>
      </c>
      <c r="K63" s="9">
        <v>0.731935</v>
      </c>
      <c r="L63" s="9" t="s">
        <v>85</v>
      </c>
      <c r="M63" s="9" t="s">
        <v>85</v>
      </c>
      <c r="N63" s="9">
        <v>0.748252</v>
      </c>
      <c r="O63" s="9" t="s">
        <v>85</v>
      </c>
      <c r="P63" s="9" t="s">
        <v>85</v>
      </c>
      <c r="Q63" s="9" t="s">
        <v>85</v>
      </c>
      <c r="R63" s="9" t="s">
        <v>85</v>
      </c>
      <c r="S63" s="9" t="s">
        <v>85</v>
      </c>
      <c r="T63" s="9" t="s">
        <v>85</v>
      </c>
      <c r="U63" s="9" t="s">
        <v>85</v>
      </c>
      <c r="V63" s="9" t="s">
        <v>85</v>
      </c>
      <c r="W63" s="9">
        <v>0.772727</v>
      </c>
      <c r="X63" s="9" t="s">
        <v>85</v>
      </c>
      <c r="Y63" s="9" t="s">
        <v>85</v>
      </c>
      <c r="Z63" s="9">
        <v>0.758741</v>
      </c>
      <c r="AA63" s="9" t="s">
        <v>85</v>
      </c>
      <c r="AB63" s="9" t="s">
        <v>85</v>
      </c>
      <c r="AC63" s="9" t="s">
        <v>85</v>
      </c>
      <c r="AD63" s="9" t="s">
        <v>85</v>
      </c>
      <c r="AE63" s="9" t="s">
        <v>85</v>
      </c>
      <c r="AF63" s="9" t="s">
        <v>85</v>
      </c>
      <c r="AG63" s="9" t="s">
        <v>85</v>
      </c>
      <c r="AH63" s="9" t="s">
        <v>85</v>
      </c>
      <c r="AI63" s="9">
        <v>0.762238</v>
      </c>
      <c r="AJ63" s="9" t="s">
        <v>85</v>
      </c>
      <c r="AK63" s="9" t="s">
        <v>85</v>
      </c>
      <c r="AL63" s="9">
        <v>0.764569</v>
      </c>
      <c r="AM63" s="9" t="s">
        <v>85</v>
      </c>
      <c r="AN63" s="9" t="s">
        <v>85</v>
      </c>
      <c r="AO63" s="9" t="s">
        <v>85</v>
      </c>
      <c r="AP63" s="9" t="s">
        <v>85</v>
      </c>
      <c r="AQ63" s="9" t="s">
        <v>85</v>
      </c>
      <c r="AR63" s="9" t="s">
        <v>85</v>
      </c>
      <c r="AS63" s="9" t="s">
        <v>85</v>
      </c>
      <c r="AT63" s="9" t="s">
        <v>85</v>
      </c>
      <c r="AU63" s="9">
        <v>0.784382</v>
      </c>
      <c r="AV63" s="9" t="s">
        <v>85</v>
      </c>
      <c r="AW63" s="9" t="s">
        <v>85</v>
      </c>
      <c r="AX63" s="9">
        <v>0.780886</v>
      </c>
      <c r="AY63" s="9" t="s">
        <v>85</v>
      </c>
      <c r="AZ63" s="9" t="s">
        <v>85</v>
      </c>
      <c r="BA63" s="9" t="s">
        <v>85</v>
      </c>
      <c r="BB63" s="9" t="s">
        <v>85</v>
      </c>
      <c r="BC63" s="10" t="s">
        <v>85</v>
      </c>
      <c r="BD63" s="10" t="s">
        <v>85</v>
      </c>
      <c r="BE63" s="9" t="s">
        <v>85</v>
      </c>
      <c r="BF63" s="10" t="s">
        <v>85</v>
      </c>
      <c r="BG63" s="10" t="s">
        <v>85</v>
      </c>
      <c r="BH63" s="9" t="s">
        <v>85</v>
      </c>
      <c r="BI63" s="6"/>
      <c r="BJ63" s="6" t="str">
        <f t="shared" si="1"/>
        <v>12V_Fold_Median</v>
      </c>
      <c r="BK63" s="6" t="str">
        <f t="shared" si="2"/>
        <v>12VB_Fold_Median</v>
      </c>
      <c r="BL63" s="6" t="str">
        <f t="shared" si="3"/>
        <v>8V_Fold_Median</v>
      </c>
      <c r="BM63" s="6"/>
      <c r="BN63" s="6"/>
      <c r="BO63" s="6"/>
      <c r="BP63" s="6"/>
      <c r="BQ63" s="6"/>
      <c r="BR63" s="6"/>
      <c r="BS63" s="6"/>
      <c r="BT63" s="6"/>
      <c r="BU63" s="6"/>
    </row>
    <row r="64" ht="15.75" customHeight="1">
      <c r="A64" s="1" t="s">
        <v>158</v>
      </c>
      <c r="B64" s="17">
        <v>1024.0</v>
      </c>
      <c r="C64" s="17">
        <v>39.0</v>
      </c>
      <c r="D64" s="9" t="s">
        <v>85</v>
      </c>
      <c r="E64" s="9" t="s">
        <v>85</v>
      </c>
      <c r="F64" s="9" t="s">
        <v>85</v>
      </c>
      <c r="G64" s="9" t="s">
        <v>85</v>
      </c>
      <c r="H64" s="9" t="s">
        <v>85</v>
      </c>
      <c r="I64" s="9" t="s">
        <v>85</v>
      </c>
      <c r="J64" s="9" t="s">
        <v>85</v>
      </c>
      <c r="K64" s="9">
        <v>0.1577</v>
      </c>
      <c r="L64" s="9" t="s">
        <v>85</v>
      </c>
      <c r="M64" s="9" t="s">
        <v>85</v>
      </c>
      <c r="N64" s="9">
        <v>0.156118</v>
      </c>
      <c r="O64" s="9" t="s">
        <v>85</v>
      </c>
      <c r="P64" s="9" t="s">
        <v>85</v>
      </c>
      <c r="Q64" s="9" t="s">
        <v>85</v>
      </c>
      <c r="R64" s="9" t="s">
        <v>85</v>
      </c>
      <c r="S64" s="9" t="s">
        <v>85</v>
      </c>
      <c r="T64" s="9" t="s">
        <v>85</v>
      </c>
      <c r="U64" s="9" t="s">
        <v>85</v>
      </c>
      <c r="V64" s="9" t="s">
        <v>85</v>
      </c>
      <c r="W64" s="9">
        <v>0.152426</v>
      </c>
      <c r="X64" s="9" t="s">
        <v>85</v>
      </c>
      <c r="Y64" s="9" t="s">
        <v>85</v>
      </c>
      <c r="Z64" s="9">
        <v>0.153481</v>
      </c>
      <c r="AA64" s="9" t="s">
        <v>85</v>
      </c>
      <c r="AB64" s="9" t="s">
        <v>85</v>
      </c>
      <c r="AC64" s="9" t="s">
        <v>85</v>
      </c>
      <c r="AD64" s="9" t="s">
        <v>85</v>
      </c>
      <c r="AE64" s="9" t="s">
        <v>85</v>
      </c>
      <c r="AF64" s="9" t="s">
        <v>85</v>
      </c>
      <c r="AG64" s="9" t="s">
        <v>85</v>
      </c>
      <c r="AH64" s="9" t="s">
        <v>85</v>
      </c>
      <c r="AI64" s="9">
        <v>0.149262</v>
      </c>
      <c r="AJ64" s="9" t="s">
        <v>85</v>
      </c>
      <c r="AK64" s="9" t="s">
        <v>85</v>
      </c>
      <c r="AL64" s="9">
        <v>0.150844</v>
      </c>
      <c r="AM64" s="9" t="s">
        <v>85</v>
      </c>
      <c r="AN64" s="9" t="s">
        <v>85</v>
      </c>
      <c r="AO64" s="9" t="s">
        <v>85</v>
      </c>
      <c r="AP64" s="9" t="s">
        <v>85</v>
      </c>
      <c r="AQ64" s="9" t="s">
        <v>85</v>
      </c>
      <c r="AR64" s="9" t="s">
        <v>85</v>
      </c>
      <c r="AS64" s="9" t="s">
        <v>85</v>
      </c>
      <c r="AT64" s="9" t="s">
        <v>85</v>
      </c>
      <c r="AU64" s="9">
        <v>0.149262</v>
      </c>
      <c r="AV64" s="9" t="s">
        <v>85</v>
      </c>
      <c r="AW64" s="9" t="s">
        <v>85</v>
      </c>
      <c r="AX64" s="9">
        <v>0.149262</v>
      </c>
      <c r="AY64" s="9" t="s">
        <v>85</v>
      </c>
      <c r="AZ64" s="9" t="s">
        <v>85</v>
      </c>
      <c r="BA64" s="9" t="s">
        <v>85</v>
      </c>
      <c r="BB64" s="9" t="s">
        <v>85</v>
      </c>
      <c r="BC64" s="10" t="s">
        <v>85</v>
      </c>
      <c r="BD64" s="10" t="s">
        <v>85</v>
      </c>
      <c r="BE64" s="9" t="s">
        <v>85</v>
      </c>
      <c r="BF64" s="10" t="s">
        <v>85</v>
      </c>
      <c r="BG64" s="10" t="s">
        <v>85</v>
      </c>
      <c r="BH64" s="9" t="s">
        <v>85</v>
      </c>
      <c r="BI64" s="6"/>
      <c r="BJ64" s="6" t="str">
        <f t="shared" si="1"/>
        <v>5V_Fold_Median</v>
      </c>
      <c r="BK64" s="6" t="str">
        <f t="shared" si="2"/>
        <v>5VB_Fold_Median</v>
      </c>
      <c r="BL64" s="6" t="str">
        <f t="shared" si="3"/>
        <v>8VB_Fold_Median</v>
      </c>
      <c r="BM64" s="6"/>
      <c r="BN64" s="6"/>
      <c r="BO64" s="6"/>
      <c r="BP64" s="6"/>
      <c r="BQ64" s="6"/>
      <c r="BR64" s="6"/>
      <c r="BS64" s="6"/>
      <c r="BT64" s="6"/>
      <c r="BU64" s="6"/>
    </row>
    <row r="65" ht="15.75" customHeight="1">
      <c r="A65" s="1" t="s">
        <v>159</v>
      </c>
      <c r="B65" s="17">
        <v>2000.0</v>
      </c>
      <c r="C65" s="17">
        <v>52.0</v>
      </c>
      <c r="D65" s="9" t="s">
        <v>85</v>
      </c>
      <c r="E65" s="9" t="s">
        <v>85</v>
      </c>
      <c r="F65" s="9" t="s">
        <v>85</v>
      </c>
      <c r="G65" s="9" t="s">
        <v>85</v>
      </c>
      <c r="H65" s="9" t="s">
        <v>85</v>
      </c>
      <c r="I65" s="9" t="s">
        <v>85</v>
      </c>
      <c r="J65" s="9" t="s">
        <v>85</v>
      </c>
      <c r="K65" s="9">
        <v>0.052885</v>
      </c>
      <c r="L65" s="9" t="s">
        <v>85</v>
      </c>
      <c r="M65" s="9" t="s">
        <v>85</v>
      </c>
      <c r="N65" s="9">
        <v>0.024038</v>
      </c>
      <c r="O65" s="9" t="s">
        <v>85</v>
      </c>
      <c r="P65" s="9" t="s">
        <v>85</v>
      </c>
      <c r="Q65" s="9" t="s">
        <v>85</v>
      </c>
      <c r="R65" s="9" t="s">
        <v>85</v>
      </c>
      <c r="S65" s="9" t="s">
        <v>85</v>
      </c>
      <c r="T65" s="9" t="s">
        <v>85</v>
      </c>
      <c r="U65" s="9" t="s">
        <v>85</v>
      </c>
      <c r="V65" s="9" t="s">
        <v>85</v>
      </c>
      <c r="W65" s="9">
        <v>0.028846</v>
      </c>
      <c r="X65" s="9" t="s">
        <v>85</v>
      </c>
      <c r="Y65" s="9" t="s">
        <v>85</v>
      </c>
      <c r="Z65" s="9">
        <v>0.019231</v>
      </c>
      <c r="AA65" s="9" t="s">
        <v>85</v>
      </c>
      <c r="AB65" s="9" t="s">
        <v>85</v>
      </c>
      <c r="AC65" s="9" t="s">
        <v>85</v>
      </c>
      <c r="AD65" s="9" t="s">
        <v>85</v>
      </c>
      <c r="AE65" s="9" t="s">
        <v>85</v>
      </c>
      <c r="AF65" s="9" t="s">
        <v>85</v>
      </c>
      <c r="AG65" s="9" t="s">
        <v>85</v>
      </c>
      <c r="AH65" s="9" t="s">
        <v>85</v>
      </c>
      <c r="AI65" s="9">
        <v>0.038462</v>
      </c>
      <c r="AJ65" s="9" t="s">
        <v>85</v>
      </c>
      <c r="AK65" s="9" t="s">
        <v>85</v>
      </c>
      <c r="AL65" s="9">
        <v>0.014423</v>
      </c>
      <c r="AM65" s="9" t="s">
        <v>85</v>
      </c>
      <c r="AN65" s="9" t="s">
        <v>85</v>
      </c>
      <c r="AO65" s="9" t="s">
        <v>85</v>
      </c>
      <c r="AP65" s="9" t="s">
        <v>85</v>
      </c>
      <c r="AQ65" s="9" t="s">
        <v>85</v>
      </c>
      <c r="AR65" s="9" t="s">
        <v>85</v>
      </c>
      <c r="AS65" s="9" t="s">
        <v>85</v>
      </c>
      <c r="AT65" s="9" t="s">
        <v>85</v>
      </c>
      <c r="AU65" s="9">
        <v>0.033654</v>
      </c>
      <c r="AV65" s="9" t="s">
        <v>85</v>
      </c>
      <c r="AW65" s="9" t="s">
        <v>85</v>
      </c>
      <c r="AX65" s="9">
        <v>0.033654</v>
      </c>
      <c r="AY65" s="9" t="s">
        <v>85</v>
      </c>
      <c r="AZ65" s="9" t="s">
        <v>85</v>
      </c>
      <c r="BA65" s="9" t="s">
        <v>85</v>
      </c>
      <c r="BB65" s="9" t="s">
        <v>85</v>
      </c>
      <c r="BC65" s="10" t="s">
        <v>85</v>
      </c>
      <c r="BD65" s="10" t="s">
        <v>85</v>
      </c>
      <c r="BE65" s="9" t="s">
        <v>85</v>
      </c>
      <c r="BF65" s="10" t="s">
        <v>85</v>
      </c>
      <c r="BG65" s="10" t="s">
        <v>85</v>
      </c>
      <c r="BH65" s="9" t="s">
        <v>85</v>
      </c>
      <c r="BI65" s="6"/>
      <c r="BJ65" s="6" t="str">
        <f t="shared" si="1"/>
        <v>5V_Fold_Median</v>
      </c>
      <c r="BK65" s="6" t="str">
        <f t="shared" si="2"/>
        <v>10V_Fold_Median</v>
      </c>
      <c r="BL65" s="6" t="str">
        <f t="shared" si="3"/>
        <v>12V_Fold_Median</v>
      </c>
      <c r="BM65" s="6"/>
      <c r="BN65" s="6"/>
      <c r="BO65" s="6"/>
      <c r="BP65" s="6"/>
      <c r="BQ65" s="6"/>
      <c r="BR65" s="6"/>
      <c r="BS65" s="6"/>
      <c r="BT65" s="6"/>
      <c r="BU65" s="6"/>
    </row>
    <row r="66" ht="15.75" customHeight="1">
      <c r="A66" s="1" t="s">
        <v>160</v>
      </c>
      <c r="B66" s="17">
        <v>2000.0</v>
      </c>
      <c r="C66" s="17">
        <v>52.0</v>
      </c>
      <c r="D66" s="9" t="s">
        <v>85</v>
      </c>
      <c r="E66" s="9" t="s">
        <v>85</v>
      </c>
      <c r="F66" s="9" t="s">
        <v>85</v>
      </c>
      <c r="G66" s="9" t="s">
        <v>85</v>
      </c>
      <c r="H66" s="9" t="s">
        <v>85</v>
      </c>
      <c r="I66" s="9" t="s">
        <v>85</v>
      </c>
      <c r="J66" s="9" t="s">
        <v>85</v>
      </c>
      <c r="K66" s="9">
        <v>0.033654</v>
      </c>
      <c r="L66" s="9" t="s">
        <v>85</v>
      </c>
      <c r="M66" s="9" t="s">
        <v>85</v>
      </c>
      <c r="N66" s="9">
        <v>0.028846</v>
      </c>
      <c r="O66" s="9" t="s">
        <v>85</v>
      </c>
      <c r="P66" s="9" t="s">
        <v>85</v>
      </c>
      <c r="Q66" s="9" t="s">
        <v>85</v>
      </c>
      <c r="R66" s="9" t="s">
        <v>85</v>
      </c>
      <c r="S66" s="9" t="s">
        <v>85</v>
      </c>
      <c r="T66" s="9" t="s">
        <v>85</v>
      </c>
      <c r="U66" s="9" t="s">
        <v>85</v>
      </c>
      <c r="V66" s="9" t="s">
        <v>85</v>
      </c>
      <c r="W66" s="9">
        <v>0.019231</v>
      </c>
      <c r="X66" s="9" t="s">
        <v>85</v>
      </c>
      <c r="Y66" s="9" t="s">
        <v>85</v>
      </c>
      <c r="Z66" s="9">
        <v>0.019231</v>
      </c>
      <c r="AA66" s="9" t="s">
        <v>85</v>
      </c>
      <c r="AB66" s="9" t="s">
        <v>85</v>
      </c>
      <c r="AC66" s="9" t="s">
        <v>85</v>
      </c>
      <c r="AD66" s="9" t="s">
        <v>85</v>
      </c>
      <c r="AE66" s="9" t="s">
        <v>85</v>
      </c>
      <c r="AF66" s="9" t="s">
        <v>85</v>
      </c>
      <c r="AG66" s="9" t="s">
        <v>85</v>
      </c>
      <c r="AH66" s="9" t="s">
        <v>85</v>
      </c>
      <c r="AI66" s="9">
        <v>0.033654</v>
      </c>
      <c r="AJ66" s="9" t="s">
        <v>85</v>
      </c>
      <c r="AK66" s="9" t="s">
        <v>85</v>
      </c>
      <c r="AL66" s="9">
        <v>0.019231</v>
      </c>
      <c r="AM66" s="9" t="s">
        <v>85</v>
      </c>
      <c r="AN66" s="9" t="s">
        <v>85</v>
      </c>
      <c r="AO66" s="9" t="s">
        <v>85</v>
      </c>
      <c r="AP66" s="9" t="s">
        <v>85</v>
      </c>
      <c r="AQ66" s="9" t="s">
        <v>85</v>
      </c>
      <c r="AR66" s="9" t="s">
        <v>85</v>
      </c>
      <c r="AS66" s="9" t="s">
        <v>85</v>
      </c>
      <c r="AT66" s="9" t="s">
        <v>85</v>
      </c>
      <c r="AU66" s="9">
        <v>0.019231</v>
      </c>
      <c r="AV66" s="9" t="s">
        <v>85</v>
      </c>
      <c r="AW66" s="9" t="s">
        <v>85</v>
      </c>
      <c r="AX66" s="9">
        <v>0.019231</v>
      </c>
      <c r="AY66" s="9" t="s">
        <v>85</v>
      </c>
      <c r="AZ66" s="9" t="s">
        <v>85</v>
      </c>
      <c r="BA66" s="9" t="s">
        <v>85</v>
      </c>
      <c r="BB66" s="9" t="s">
        <v>85</v>
      </c>
      <c r="BC66" s="10" t="s">
        <v>85</v>
      </c>
      <c r="BD66" s="10" t="s">
        <v>85</v>
      </c>
      <c r="BE66" s="9" t="s">
        <v>85</v>
      </c>
      <c r="BF66" s="10" t="s">
        <v>85</v>
      </c>
      <c r="BG66" s="10" t="s">
        <v>85</v>
      </c>
      <c r="BH66" s="9" t="s">
        <v>85</v>
      </c>
      <c r="BI66" s="6"/>
      <c r="BJ66" s="6" t="str">
        <f t="shared" si="1"/>
        <v>5V_Fold_Median</v>
      </c>
      <c r="BK66" s="6" t="str">
        <f t="shared" si="2"/>
        <v>5V_Fold_Median</v>
      </c>
      <c r="BL66" s="6" t="str">
        <f t="shared" si="3"/>
        <v>5VB_Fold_Median</v>
      </c>
      <c r="BM66" s="6"/>
      <c r="BN66" s="6"/>
      <c r="BO66" s="6"/>
      <c r="BP66" s="6"/>
      <c r="BQ66" s="6"/>
      <c r="BR66" s="6"/>
      <c r="BS66" s="6"/>
      <c r="BT66" s="6"/>
      <c r="BU66" s="6"/>
    </row>
    <row r="67" ht="15.75" customHeight="1">
      <c r="A67" s="1" t="s">
        <v>161</v>
      </c>
      <c r="B67" s="17">
        <v>2000.0</v>
      </c>
      <c r="C67" s="17">
        <v>52.0</v>
      </c>
      <c r="D67" s="9" t="s">
        <v>85</v>
      </c>
      <c r="E67" s="9" t="s">
        <v>85</v>
      </c>
      <c r="F67" s="9" t="s">
        <v>85</v>
      </c>
      <c r="G67" s="9" t="s">
        <v>85</v>
      </c>
      <c r="H67" s="9" t="s">
        <v>85</v>
      </c>
      <c r="I67" s="9" t="s">
        <v>85</v>
      </c>
      <c r="J67" s="9" t="s">
        <v>85</v>
      </c>
      <c r="K67" s="9">
        <v>0.019231</v>
      </c>
      <c r="L67" s="9" t="s">
        <v>85</v>
      </c>
      <c r="M67" s="9" t="s">
        <v>85</v>
      </c>
      <c r="N67" s="9">
        <v>0.019231</v>
      </c>
      <c r="O67" s="9" t="s">
        <v>85</v>
      </c>
      <c r="P67" s="9" t="s">
        <v>85</v>
      </c>
      <c r="Q67" s="9" t="s">
        <v>85</v>
      </c>
      <c r="R67" s="9" t="s">
        <v>85</v>
      </c>
      <c r="S67" s="9" t="s">
        <v>85</v>
      </c>
      <c r="T67" s="9" t="s">
        <v>85</v>
      </c>
      <c r="U67" s="9" t="s">
        <v>85</v>
      </c>
      <c r="V67" s="9" t="s">
        <v>85</v>
      </c>
      <c r="W67" s="9">
        <v>0.028846</v>
      </c>
      <c r="X67" s="9" t="s">
        <v>85</v>
      </c>
      <c r="Y67" s="9" t="s">
        <v>85</v>
      </c>
      <c r="Z67" s="9">
        <v>0.024038</v>
      </c>
      <c r="AA67" s="9" t="s">
        <v>85</v>
      </c>
      <c r="AB67" s="9" t="s">
        <v>85</v>
      </c>
      <c r="AC67" s="9" t="s">
        <v>85</v>
      </c>
      <c r="AD67" s="9" t="s">
        <v>85</v>
      </c>
      <c r="AE67" s="9" t="s">
        <v>85</v>
      </c>
      <c r="AF67" s="9" t="s">
        <v>85</v>
      </c>
      <c r="AG67" s="9" t="s">
        <v>85</v>
      </c>
      <c r="AH67" s="9" t="s">
        <v>85</v>
      </c>
      <c r="AI67" s="9">
        <v>0.019231</v>
      </c>
      <c r="AJ67" s="9" t="s">
        <v>85</v>
      </c>
      <c r="AK67" s="9" t="s">
        <v>85</v>
      </c>
      <c r="AL67" s="9">
        <v>0.028846</v>
      </c>
      <c r="AM67" s="9" t="s">
        <v>85</v>
      </c>
      <c r="AN67" s="9" t="s">
        <v>85</v>
      </c>
      <c r="AO67" s="9" t="s">
        <v>85</v>
      </c>
      <c r="AP67" s="9" t="s">
        <v>85</v>
      </c>
      <c r="AQ67" s="9" t="s">
        <v>85</v>
      </c>
      <c r="AR67" s="9" t="s">
        <v>85</v>
      </c>
      <c r="AS67" s="9" t="s">
        <v>85</v>
      </c>
      <c r="AT67" s="9" t="s">
        <v>85</v>
      </c>
      <c r="AU67" s="9">
        <v>0.024038</v>
      </c>
      <c r="AV67" s="9" t="s">
        <v>85</v>
      </c>
      <c r="AW67" s="9" t="s">
        <v>85</v>
      </c>
      <c r="AX67" s="9">
        <v>0.019231</v>
      </c>
      <c r="AY67" s="9" t="s">
        <v>85</v>
      </c>
      <c r="AZ67" s="9" t="s">
        <v>85</v>
      </c>
      <c r="BA67" s="9" t="s">
        <v>85</v>
      </c>
      <c r="BB67" s="9" t="s">
        <v>85</v>
      </c>
      <c r="BC67" s="10" t="s">
        <v>85</v>
      </c>
      <c r="BD67" s="10" t="s">
        <v>85</v>
      </c>
      <c r="BE67" s="9" t="s">
        <v>85</v>
      </c>
      <c r="BF67" s="10" t="s">
        <v>85</v>
      </c>
      <c r="BG67" s="10" t="s">
        <v>85</v>
      </c>
      <c r="BH67" s="9" t="s">
        <v>85</v>
      </c>
      <c r="BI67" s="6"/>
      <c r="BJ67" s="6" t="str">
        <f t="shared" si="1"/>
        <v>8V_Fold_Median</v>
      </c>
      <c r="BK67" s="6" t="str">
        <f t="shared" si="2"/>
        <v>8V_Fold_Median</v>
      </c>
      <c r="BL67" s="6" t="str">
        <f t="shared" si="3"/>
        <v>8VB_Fold_Median</v>
      </c>
      <c r="BM67" s="6"/>
      <c r="BN67" s="6"/>
      <c r="BO67" s="6"/>
      <c r="BP67" s="6"/>
      <c r="BQ67" s="6"/>
      <c r="BR67" s="6"/>
      <c r="BS67" s="6"/>
      <c r="BT67" s="6"/>
      <c r="BU67" s="6"/>
    </row>
    <row r="68" ht="15.75" customHeight="1">
      <c r="A68" s="1" t="s">
        <v>162</v>
      </c>
      <c r="B68" s="17">
        <v>144.0</v>
      </c>
      <c r="C68" s="17">
        <v>7.0</v>
      </c>
      <c r="D68" s="9" t="s">
        <v>85</v>
      </c>
      <c r="E68" s="9" t="s">
        <v>85</v>
      </c>
      <c r="F68" s="9" t="s">
        <v>85</v>
      </c>
      <c r="G68" s="9" t="s">
        <v>85</v>
      </c>
      <c r="H68" s="9" t="s">
        <v>85</v>
      </c>
      <c r="I68" s="9" t="s">
        <v>85</v>
      </c>
      <c r="J68" s="9" t="s">
        <v>85</v>
      </c>
      <c r="K68" s="9">
        <v>0.990476</v>
      </c>
      <c r="L68" s="9" t="s">
        <v>85</v>
      </c>
      <c r="M68" s="9" t="s">
        <v>85</v>
      </c>
      <c r="N68" s="9">
        <v>0.990476</v>
      </c>
      <c r="O68" s="9" t="s">
        <v>85</v>
      </c>
      <c r="P68" s="9" t="s">
        <v>85</v>
      </c>
      <c r="Q68" s="9" t="s">
        <v>85</v>
      </c>
      <c r="R68" s="9" t="s">
        <v>85</v>
      </c>
      <c r="S68" s="9" t="s">
        <v>85</v>
      </c>
      <c r="T68" s="9" t="s">
        <v>85</v>
      </c>
      <c r="U68" s="9" t="s">
        <v>85</v>
      </c>
      <c r="V68" s="9" t="s">
        <v>85</v>
      </c>
      <c r="W68" s="9">
        <v>0.971429</v>
      </c>
      <c r="X68" s="9" t="s">
        <v>85</v>
      </c>
      <c r="Y68" s="9" t="s">
        <v>85</v>
      </c>
      <c r="Z68" s="9">
        <v>0.980952</v>
      </c>
      <c r="AA68" s="9" t="s">
        <v>85</v>
      </c>
      <c r="AB68" s="9" t="s">
        <v>85</v>
      </c>
      <c r="AC68" s="9" t="s">
        <v>85</v>
      </c>
      <c r="AD68" s="9" t="s">
        <v>85</v>
      </c>
      <c r="AE68" s="9" t="s">
        <v>85</v>
      </c>
      <c r="AF68" s="9" t="s">
        <v>85</v>
      </c>
      <c r="AG68" s="9" t="s">
        <v>85</v>
      </c>
      <c r="AH68" s="9" t="s">
        <v>85</v>
      </c>
      <c r="AI68" s="9">
        <v>0.990476</v>
      </c>
      <c r="AJ68" s="9" t="s">
        <v>85</v>
      </c>
      <c r="AK68" s="9" t="s">
        <v>85</v>
      </c>
      <c r="AL68" s="9">
        <v>0.961905</v>
      </c>
      <c r="AM68" s="9" t="s">
        <v>85</v>
      </c>
      <c r="AN68" s="9" t="s">
        <v>85</v>
      </c>
      <c r="AO68" s="9" t="s">
        <v>85</v>
      </c>
      <c r="AP68" s="9" t="s">
        <v>85</v>
      </c>
      <c r="AQ68" s="9" t="s">
        <v>85</v>
      </c>
      <c r="AR68" s="9" t="s">
        <v>85</v>
      </c>
      <c r="AS68" s="9" t="s">
        <v>85</v>
      </c>
      <c r="AT68" s="9" t="s">
        <v>85</v>
      </c>
      <c r="AU68" s="9">
        <v>0.980952</v>
      </c>
      <c r="AV68" s="9" t="s">
        <v>85</v>
      </c>
      <c r="AW68" s="9" t="s">
        <v>85</v>
      </c>
      <c r="AX68" s="9">
        <v>0.980952</v>
      </c>
      <c r="AY68" s="9" t="s">
        <v>85</v>
      </c>
      <c r="AZ68" s="9" t="s">
        <v>85</v>
      </c>
      <c r="BA68" s="9" t="s">
        <v>85</v>
      </c>
      <c r="BB68" s="9" t="s">
        <v>85</v>
      </c>
      <c r="BC68" s="10" t="s">
        <v>85</v>
      </c>
      <c r="BD68" s="10" t="s">
        <v>85</v>
      </c>
      <c r="BE68" s="9" t="s">
        <v>85</v>
      </c>
      <c r="BF68" s="10" t="s">
        <v>85</v>
      </c>
      <c r="BG68" s="10" t="s">
        <v>85</v>
      </c>
      <c r="BH68" s="9" t="s">
        <v>85</v>
      </c>
      <c r="BI68" s="6"/>
      <c r="BJ68" s="6" t="str">
        <f t="shared" si="1"/>
        <v>5V_Fold_Median</v>
      </c>
      <c r="BK68" s="6" t="str">
        <f t="shared" si="2"/>
        <v>5V_Fold_Median</v>
      </c>
      <c r="BL68" s="6" t="str">
        <f t="shared" si="3"/>
        <v>5V_Fold_Median</v>
      </c>
      <c r="BM68" s="6"/>
      <c r="BN68" s="6"/>
      <c r="BO68" s="6"/>
      <c r="BP68" s="6"/>
      <c r="BQ68" s="6"/>
      <c r="BR68" s="6"/>
      <c r="BS68" s="6"/>
      <c r="BT68" s="6"/>
      <c r="BU68" s="6"/>
    </row>
    <row r="69" ht="15.75" customHeight="1">
      <c r="A69" s="1" t="s">
        <v>163</v>
      </c>
      <c r="B69" s="17">
        <v>80.0</v>
      </c>
      <c r="C69" s="17">
        <v>3.0</v>
      </c>
      <c r="D69" s="9" t="s">
        <v>85</v>
      </c>
      <c r="E69" s="9" t="s">
        <v>85</v>
      </c>
      <c r="F69" s="9" t="s">
        <v>85</v>
      </c>
      <c r="G69" s="9" t="s">
        <v>85</v>
      </c>
      <c r="H69" s="9" t="s">
        <v>85</v>
      </c>
      <c r="I69" s="9" t="s">
        <v>85</v>
      </c>
      <c r="J69" s="9" t="s">
        <v>85</v>
      </c>
      <c r="K69" s="9">
        <v>0.848781</v>
      </c>
      <c r="L69" s="9" t="s">
        <v>85</v>
      </c>
      <c r="M69" s="9" t="s">
        <v>85</v>
      </c>
      <c r="N69" s="9">
        <v>0.848781</v>
      </c>
      <c r="O69" s="9" t="s">
        <v>85</v>
      </c>
      <c r="P69" s="9" t="s">
        <v>85</v>
      </c>
      <c r="Q69" s="9" t="s">
        <v>85</v>
      </c>
      <c r="R69" s="9" t="s">
        <v>85</v>
      </c>
      <c r="S69" s="9" t="s">
        <v>85</v>
      </c>
      <c r="T69" s="9" t="s">
        <v>85</v>
      </c>
      <c r="U69" s="9" t="s">
        <v>85</v>
      </c>
      <c r="V69" s="9" t="s">
        <v>85</v>
      </c>
      <c r="W69" s="9">
        <v>0.829268</v>
      </c>
      <c r="X69" s="9" t="s">
        <v>85</v>
      </c>
      <c r="Y69" s="9" t="s">
        <v>85</v>
      </c>
      <c r="Z69" s="9">
        <v>0.848781</v>
      </c>
      <c r="AA69" s="9" t="s">
        <v>85</v>
      </c>
      <c r="AB69" s="9" t="s">
        <v>85</v>
      </c>
      <c r="AC69" s="9" t="s">
        <v>85</v>
      </c>
      <c r="AD69" s="9" t="s">
        <v>85</v>
      </c>
      <c r="AE69" s="9" t="s">
        <v>85</v>
      </c>
      <c r="AF69" s="9" t="s">
        <v>85</v>
      </c>
      <c r="AG69" s="9" t="s">
        <v>85</v>
      </c>
      <c r="AH69" s="9" t="s">
        <v>85</v>
      </c>
      <c r="AI69" s="9">
        <v>0.839024</v>
      </c>
      <c r="AJ69" s="9" t="s">
        <v>85</v>
      </c>
      <c r="AK69" s="9" t="s">
        <v>85</v>
      </c>
      <c r="AL69" s="9">
        <v>0.848781</v>
      </c>
      <c r="AM69" s="9" t="s">
        <v>85</v>
      </c>
      <c r="AN69" s="9" t="s">
        <v>85</v>
      </c>
      <c r="AO69" s="9" t="s">
        <v>85</v>
      </c>
      <c r="AP69" s="9" t="s">
        <v>85</v>
      </c>
      <c r="AQ69" s="9" t="s">
        <v>85</v>
      </c>
      <c r="AR69" s="9" t="s">
        <v>85</v>
      </c>
      <c r="AS69" s="9" t="s">
        <v>85</v>
      </c>
      <c r="AT69" s="9" t="s">
        <v>85</v>
      </c>
      <c r="AU69" s="9">
        <v>0.863415</v>
      </c>
      <c r="AV69" s="9" t="s">
        <v>85</v>
      </c>
      <c r="AW69" s="9" t="s">
        <v>85</v>
      </c>
      <c r="AX69" s="9">
        <v>0.848781</v>
      </c>
      <c r="AY69" s="9" t="s">
        <v>85</v>
      </c>
      <c r="AZ69" s="9" t="s">
        <v>85</v>
      </c>
      <c r="BA69" s="9" t="s">
        <v>85</v>
      </c>
      <c r="BB69" s="9" t="s">
        <v>85</v>
      </c>
      <c r="BC69" s="10" t="s">
        <v>85</v>
      </c>
      <c r="BD69" s="10" t="s">
        <v>85</v>
      </c>
      <c r="BE69" s="9" t="s">
        <v>85</v>
      </c>
      <c r="BF69" s="10" t="s">
        <v>85</v>
      </c>
      <c r="BG69" s="10" t="s">
        <v>85</v>
      </c>
      <c r="BH69" s="9" t="s">
        <v>85</v>
      </c>
      <c r="BI69" s="6"/>
      <c r="BJ69" s="6" t="str">
        <f t="shared" si="1"/>
        <v>12V_Fold_Median</v>
      </c>
      <c r="BK69" s="6" t="str">
        <f t="shared" si="2"/>
        <v>5V_Fold_Median</v>
      </c>
      <c r="BL69" s="6" t="str">
        <f t="shared" si="3"/>
        <v>5V_Fold_Median</v>
      </c>
      <c r="BM69" s="6"/>
      <c r="BN69" s="6"/>
      <c r="BO69" s="6"/>
      <c r="BP69" s="6"/>
      <c r="BQ69" s="6"/>
      <c r="BR69" s="6"/>
      <c r="BS69" s="6"/>
      <c r="BT69" s="6"/>
      <c r="BU69" s="6"/>
    </row>
    <row r="70" ht="15.75" customHeight="1">
      <c r="A70" s="1" t="s">
        <v>164</v>
      </c>
      <c r="B70" s="17">
        <v>80.0</v>
      </c>
      <c r="C70" s="17">
        <v>2.0</v>
      </c>
      <c r="D70" s="9" t="s">
        <v>85</v>
      </c>
      <c r="E70" s="9" t="s">
        <v>85</v>
      </c>
      <c r="F70" s="9" t="s">
        <v>85</v>
      </c>
      <c r="G70" s="9" t="s">
        <v>85</v>
      </c>
      <c r="H70" s="9" t="s">
        <v>85</v>
      </c>
      <c r="I70" s="9" t="s">
        <v>85</v>
      </c>
      <c r="J70" s="9" t="s">
        <v>85</v>
      </c>
      <c r="K70" s="9">
        <v>0.814433</v>
      </c>
      <c r="L70" s="9" t="s">
        <v>85</v>
      </c>
      <c r="M70" s="9" t="s">
        <v>85</v>
      </c>
      <c r="N70" s="9">
        <v>0.831615</v>
      </c>
      <c r="O70" s="9" t="s">
        <v>85</v>
      </c>
      <c r="P70" s="9" t="s">
        <v>85</v>
      </c>
      <c r="Q70" s="9" t="s">
        <v>85</v>
      </c>
      <c r="R70" s="9" t="s">
        <v>85</v>
      </c>
      <c r="S70" s="9" t="s">
        <v>85</v>
      </c>
      <c r="T70" s="9" t="s">
        <v>85</v>
      </c>
      <c r="U70" s="9" t="s">
        <v>85</v>
      </c>
      <c r="V70" s="9" t="s">
        <v>85</v>
      </c>
      <c r="W70" s="9">
        <v>0.828179</v>
      </c>
      <c r="X70" s="9" t="s">
        <v>85</v>
      </c>
      <c r="Y70" s="9" t="s">
        <v>85</v>
      </c>
      <c r="Z70" s="9">
        <v>0.821306</v>
      </c>
      <c r="AA70" s="9" t="s">
        <v>85</v>
      </c>
      <c r="AB70" s="9" t="s">
        <v>85</v>
      </c>
      <c r="AC70" s="9" t="s">
        <v>85</v>
      </c>
      <c r="AD70" s="9" t="s">
        <v>85</v>
      </c>
      <c r="AE70" s="9" t="s">
        <v>85</v>
      </c>
      <c r="AF70" s="9" t="s">
        <v>85</v>
      </c>
      <c r="AG70" s="9" t="s">
        <v>85</v>
      </c>
      <c r="AH70" s="9" t="s">
        <v>85</v>
      </c>
      <c r="AI70" s="9">
        <v>0.835052</v>
      </c>
      <c r="AJ70" s="9" t="s">
        <v>85</v>
      </c>
      <c r="AK70" s="9" t="s">
        <v>85</v>
      </c>
      <c r="AL70" s="9">
        <v>0.838488</v>
      </c>
      <c r="AM70" s="9" t="s">
        <v>85</v>
      </c>
      <c r="AN70" s="9" t="s">
        <v>85</v>
      </c>
      <c r="AO70" s="9" t="s">
        <v>85</v>
      </c>
      <c r="AP70" s="9" t="s">
        <v>85</v>
      </c>
      <c r="AQ70" s="9" t="s">
        <v>85</v>
      </c>
      <c r="AR70" s="9" t="s">
        <v>85</v>
      </c>
      <c r="AS70" s="9" t="s">
        <v>85</v>
      </c>
      <c r="AT70" s="9" t="s">
        <v>85</v>
      </c>
      <c r="AU70" s="9">
        <v>0.852234</v>
      </c>
      <c r="AV70" s="9" t="s">
        <v>85</v>
      </c>
      <c r="AW70" s="9" t="s">
        <v>85</v>
      </c>
      <c r="AX70" s="9">
        <v>0.852234</v>
      </c>
      <c r="AY70" s="9" t="s">
        <v>85</v>
      </c>
      <c r="AZ70" s="9" t="s">
        <v>85</v>
      </c>
      <c r="BA70" s="9" t="s">
        <v>85</v>
      </c>
      <c r="BB70" s="9" t="s">
        <v>85</v>
      </c>
      <c r="BC70" s="10" t="s">
        <v>85</v>
      </c>
      <c r="BD70" s="10" t="s">
        <v>85</v>
      </c>
      <c r="BE70" s="9" t="s">
        <v>85</v>
      </c>
      <c r="BF70" s="10" t="s">
        <v>85</v>
      </c>
      <c r="BG70" s="10" t="s">
        <v>85</v>
      </c>
      <c r="BH70" s="9" t="s">
        <v>85</v>
      </c>
      <c r="BI70" s="6"/>
      <c r="BJ70" s="6" t="str">
        <f t="shared" si="1"/>
        <v>12V_Fold_Median</v>
      </c>
      <c r="BK70" s="6" t="str">
        <f t="shared" si="2"/>
        <v>12V_Fold_Median</v>
      </c>
      <c r="BL70" s="6" t="str">
        <f t="shared" si="3"/>
        <v>10VB_Fold_Median</v>
      </c>
      <c r="BM70" s="6"/>
      <c r="BN70" s="6"/>
      <c r="BO70" s="6"/>
      <c r="BP70" s="6"/>
      <c r="BQ70" s="6"/>
      <c r="BR70" s="6"/>
      <c r="BS70" s="6"/>
      <c r="BT70" s="6"/>
      <c r="BU70" s="6"/>
    </row>
    <row r="71" ht="15.75" customHeight="1">
      <c r="A71" s="1" t="s">
        <v>165</v>
      </c>
      <c r="B71" s="17">
        <v>80.0</v>
      </c>
      <c r="C71" s="17">
        <v>6.0</v>
      </c>
      <c r="D71" s="9" t="s">
        <v>85</v>
      </c>
      <c r="E71" s="9" t="s">
        <v>85</v>
      </c>
      <c r="F71" s="9" t="s">
        <v>85</v>
      </c>
      <c r="G71" s="9" t="s">
        <v>85</v>
      </c>
      <c r="H71" s="9" t="s">
        <v>85</v>
      </c>
      <c r="I71" s="9" t="s">
        <v>85</v>
      </c>
      <c r="J71" s="9" t="s">
        <v>85</v>
      </c>
      <c r="K71" s="9">
        <v>0.77561</v>
      </c>
      <c r="L71" s="9" t="s">
        <v>85</v>
      </c>
      <c r="M71" s="9" t="s">
        <v>85</v>
      </c>
      <c r="N71" s="9">
        <v>0.795122</v>
      </c>
      <c r="O71" s="9" t="s">
        <v>85</v>
      </c>
      <c r="P71" s="9" t="s">
        <v>85</v>
      </c>
      <c r="Q71" s="9" t="s">
        <v>85</v>
      </c>
      <c r="R71" s="9" t="s">
        <v>85</v>
      </c>
      <c r="S71" s="9" t="s">
        <v>85</v>
      </c>
      <c r="T71" s="9" t="s">
        <v>85</v>
      </c>
      <c r="U71" s="9" t="s">
        <v>85</v>
      </c>
      <c r="V71" s="9" t="s">
        <v>85</v>
      </c>
      <c r="W71" s="9">
        <v>0.804878</v>
      </c>
      <c r="X71" s="9" t="s">
        <v>85</v>
      </c>
      <c r="Y71" s="9" t="s">
        <v>85</v>
      </c>
      <c r="Z71" s="9">
        <v>0.678049</v>
      </c>
      <c r="AA71" s="9" t="s">
        <v>85</v>
      </c>
      <c r="AB71" s="9" t="s">
        <v>85</v>
      </c>
      <c r="AC71" s="9" t="s">
        <v>85</v>
      </c>
      <c r="AD71" s="9" t="s">
        <v>85</v>
      </c>
      <c r="AE71" s="9" t="s">
        <v>85</v>
      </c>
      <c r="AF71" s="9" t="s">
        <v>85</v>
      </c>
      <c r="AG71" s="9" t="s">
        <v>85</v>
      </c>
      <c r="AH71" s="9" t="s">
        <v>85</v>
      </c>
      <c r="AI71" s="9">
        <v>0.765854</v>
      </c>
      <c r="AJ71" s="9" t="s">
        <v>85</v>
      </c>
      <c r="AK71" s="9" t="s">
        <v>85</v>
      </c>
      <c r="AL71" s="9">
        <v>0.780488</v>
      </c>
      <c r="AM71" s="9" t="s">
        <v>85</v>
      </c>
      <c r="AN71" s="9" t="s">
        <v>85</v>
      </c>
      <c r="AO71" s="9" t="s">
        <v>85</v>
      </c>
      <c r="AP71" s="9" t="s">
        <v>85</v>
      </c>
      <c r="AQ71" s="9" t="s">
        <v>85</v>
      </c>
      <c r="AR71" s="9" t="s">
        <v>85</v>
      </c>
      <c r="AS71" s="9" t="s">
        <v>85</v>
      </c>
      <c r="AT71" s="9" t="s">
        <v>85</v>
      </c>
      <c r="AU71" s="9">
        <v>0.760976</v>
      </c>
      <c r="AV71" s="9" t="s">
        <v>85</v>
      </c>
      <c r="AW71" s="9" t="s">
        <v>85</v>
      </c>
      <c r="AX71" s="9">
        <v>0.785366</v>
      </c>
      <c r="AY71" s="9" t="s">
        <v>85</v>
      </c>
      <c r="AZ71" s="9" t="s">
        <v>85</v>
      </c>
      <c r="BA71" s="9" t="s">
        <v>85</v>
      </c>
      <c r="BB71" s="9" t="s">
        <v>85</v>
      </c>
      <c r="BC71" s="10" t="s">
        <v>85</v>
      </c>
      <c r="BD71" s="10" t="s">
        <v>85</v>
      </c>
      <c r="BE71" s="9" t="s">
        <v>85</v>
      </c>
      <c r="BF71" s="10" t="s">
        <v>85</v>
      </c>
      <c r="BG71" s="10" t="s">
        <v>85</v>
      </c>
      <c r="BH71" s="9" t="s">
        <v>85</v>
      </c>
      <c r="BI71" s="6"/>
      <c r="BJ71" s="6" t="str">
        <f t="shared" si="1"/>
        <v>8V_Fold_Median</v>
      </c>
      <c r="BK71" s="6" t="str">
        <f t="shared" si="2"/>
        <v>5VB_Fold_Median</v>
      </c>
      <c r="BL71" s="6" t="str">
        <f t="shared" si="3"/>
        <v>12VB_Fold_Median</v>
      </c>
      <c r="BM71" s="6"/>
      <c r="BN71" s="6"/>
      <c r="BO71" s="6"/>
      <c r="BP71" s="6"/>
      <c r="BQ71" s="6"/>
      <c r="BR71" s="6"/>
      <c r="BS71" s="6"/>
      <c r="BT71" s="6"/>
      <c r="BU71" s="6"/>
    </row>
    <row r="72" ht="15.75" customHeight="1">
      <c r="A72" s="1" t="s">
        <v>166</v>
      </c>
      <c r="B72" s="17">
        <v>2844.0</v>
      </c>
      <c r="C72" s="17">
        <v>4.0</v>
      </c>
      <c r="D72" s="9" t="s">
        <v>85</v>
      </c>
      <c r="E72" s="9" t="s">
        <v>85</v>
      </c>
      <c r="F72" s="9" t="s">
        <v>85</v>
      </c>
      <c r="G72" s="9" t="s">
        <v>85</v>
      </c>
      <c r="H72" s="9" t="s">
        <v>85</v>
      </c>
      <c r="I72" s="9" t="s">
        <v>85</v>
      </c>
      <c r="J72" s="9" t="s">
        <v>85</v>
      </c>
      <c r="K72" s="9">
        <v>0.5</v>
      </c>
      <c r="L72" s="9" t="s">
        <v>85</v>
      </c>
      <c r="M72" s="9" t="s">
        <v>85</v>
      </c>
      <c r="N72" s="9">
        <v>0.58</v>
      </c>
      <c r="O72" s="9" t="s">
        <v>85</v>
      </c>
      <c r="P72" s="9" t="s">
        <v>85</v>
      </c>
      <c r="Q72" s="9" t="s">
        <v>85</v>
      </c>
      <c r="R72" s="9" t="s">
        <v>85</v>
      </c>
      <c r="S72" s="9" t="s">
        <v>85</v>
      </c>
      <c r="T72" s="9" t="s">
        <v>85</v>
      </c>
      <c r="U72" s="9" t="s">
        <v>85</v>
      </c>
      <c r="V72" s="9" t="s">
        <v>85</v>
      </c>
      <c r="W72" s="9">
        <v>0.54</v>
      </c>
      <c r="X72" s="9" t="s">
        <v>85</v>
      </c>
      <c r="Y72" s="9" t="s">
        <v>85</v>
      </c>
      <c r="Z72" s="9">
        <v>0.58</v>
      </c>
      <c r="AA72" s="9" t="s">
        <v>85</v>
      </c>
      <c r="AB72" s="9" t="s">
        <v>85</v>
      </c>
      <c r="AC72" s="9" t="s">
        <v>85</v>
      </c>
      <c r="AD72" s="9" t="s">
        <v>85</v>
      </c>
      <c r="AE72" s="9" t="s">
        <v>85</v>
      </c>
      <c r="AF72" s="9" t="s">
        <v>85</v>
      </c>
      <c r="AG72" s="9" t="s">
        <v>85</v>
      </c>
      <c r="AH72" s="9" t="s">
        <v>85</v>
      </c>
      <c r="AI72" s="9">
        <v>0.6</v>
      </c>
      <c r="AJ72" s="9" t="s">
        <v>85</v>
      </c>
      <c r="AK72" s="9" t="s">
        <v>85</v>
      </c>
      <c r="AL72" s="9">
        <v>0.7</v>
      </c>
      <c r="AM72" s="9" t="s">
        <v>85</v>
      </c>
      <c r="AN72" s="9" t="s">
        <v>85</v>
      </c>
      <c r="AO72" s="9" t="s">
        <v>85</v>
      </c>
      <c r="AP72" s="9" t="s">
        <v>85</v>
      </c>
      <c r="AQ72" s="9" t="s">
        <v>85</v>
      </c>
      <c r="AR72" s="9" t="s">
        <v>85</v>
      </c>
      <c r="AS72" s="9" t="s">
        <v>85</v>
      </c>
      <c r="AT72" s="9" t="s">
        <v>85</v>
      </c>
      <c r="AU72" s="9">
        <v>0.6</v>
      </c>
      <c r="AV72" s="9" t="s">
        <v>85</v>
      </c>
      <c r="AW72" s="9" t="s">
        <v>85</v>
      </c>
      <c r="AX72" s="9">
        <v>0.52</v>
      </c>
      <c r="AY72" s="9" t="s">
        <v>85</v>
      </c>
      <c r="AZ72" s="9" t="s">
        <v>85</v>
      </c>
      <c r="BA72" s="9" t="s">
        <v>85</v>
      </c>
      <c r="BB72" s="9" t="s">
        <v>85</v>
      </c>
      <c r="BC72" s="10" t="s">
        <v>85</v>
      </c>
      <c r="BD72" s="10" t="s">
        <v>85</v>
      </c>
      <c r="BE72" s="9" t="s">
        <v>85</v>
      </c>
      <c r="BF72" s="10" t="s">
        <v>85</v>
      </c>
      <c r="BG72" s="10" t="s">
        <v>85</v>
      </c>
      <c r="BH72" s="9" t="s">
        <v>85</v>
      </c>
      <c r="BI72" s="6"/>
      <c r="BJ72" s="6" t="str">
        <f t="shared" si="1"/>
        <v>10VB_Fold_Median</v>
      </c>
      <c r="BK72" s="6" t="str">
        <f t="shared" si="2"/>
        <v>10V_Fold_Median</v>
      </c>
      <c r="BL72" s="6" t="str">
        <f t="shared" si="3"/>
        <v>10V_Fold_Median</v>
      </c>
      <c r="BM72" s="6"/>
      <c r="BN72" s="6"/>
      <c r="BO72" s="6"/>
      <c r="BP72" s="6"/>
      <c r="BQ72" s="6"/>
      <c r="BR72" s="6"/>
      <c r="BS72" s="6"/>
      <c r="BT72" s="6"/>
      <c r="BU72" s="6"/>
    </row>
    <row r="73" ht="15.75" customHeight="1">
      <c r="A73" s="1" t="s">
        <v>167</v>
      </c>
      <c r="B73" s="17">
        <v>720.0</v>
      </c>
      <c r="C73" s="17">
        <v>3.0</v>
      </c>
      <c r="D73" s="9" t="s">
        <v>85</v>
      </c>
      <c r="E73" s="9" t="s">
        <v>85</v>
      </c>
      <c r="F73" s="9" t="s">
        <v>85</v>
      </c>
      <c r="G73" s="9" t="s">
        <v>85</v>
      </c>
      <c r="H73" s="9" t="s">
        <v>85</v>
      </c>
      <c r="I73" s="9" t="s">
        <v>85</v>
      </c>
      <c r="J73" s="9" t="s">
        <v>85</v>
      </c>
      <c r="K73" s="9">
        <v>0.450667</v>
      </c>
      <c r="L73" s="9" t="s">
        <v>85</v>
      </c>
      <c r="M73" s="9" t="s">
        <v>85</v>
      </c>
      <c r="N73" s="9">
        <v>0.434667</v>
      </c>
      <c r="O73" s="9" t="s">
        <v>85</v>
      </c>
      <c r="P73" s="9" t="s">
        <v>85</v>
      </c>
      <c r="Q73" s="9" t="s">
        <v>85</v>
      </c>
      <c r="R73" s="9" t="s">
        <v>85</v>
      </c>
      <c r="S73" s="9" t="s">
        <v>85</v>
      </c>
      <c r="T73" s="9" t="s">
        <v>85</v>
      </c>
      <c r="U73" s="9" t="s">
        <v>85</v>
      </c>
      <c r="V73" s="9" t="s">
        <v>85</v>
      </c>
      <c r="W73" s="9">
        <v>0.416</v>
      </c>
      <c r="X73" s="9" t="s">
        <v>85</v>
      </c>
      <c r="Y73" s="9" t="s">
        <v>85</v>
      </c>
      <c r="Z73" s="9">
        <v>0.426667</v>
      </c>
      <c r="AA73" s="9" t="s">
        <v>85</v>
      </c>
      <c r="AB73" s="9" t="s">
        <v>85</v>
      </c>
      <c r="AC73" s="9" t="s">
        <v>85</v>
      </c>
      <c r="AD73" s="9" t="s">
        <v>85</v>
      </c>
      <c r="AE73" s="9" t="s">
        <v>85</v>
      </c>
      <c r="AF73" s="9" t="s">
        <v>85</v>
      </c>
      <c r="AG73" s="9" t="s">
        <v>85</v>
      </c>
      <c r="AH73" s="9" t="s">
        <v>85</v>
      </c>
      <c r="AI73" s="9">
        <v>0.421333</v>
      </c>
      <c r="AJ73" s="9" t="s">
        <v>85</v>
      </c>
      <c r="AK73" s="9" t="s">
        <v>85</v>
      </c>
      <c r="AL73" s="9">
        <v>0.461333</v>
      </c>
      <c r="AM73" s="9" t="s">
        <v>85</v>
      </c>
      <c r="AN73" s="9" t="s">
        <v>85</v>
      </c>
      <c r="AO73" s="9" t="s">
        <v>85</v>
      </c>
      <c r="AP73" s="9" t="s">
        <v>85</v>
      </c>
      <c r="AQ73" s="9" t="s">
        <v>85</v>
      </c>
      <c r="AR73" s="9" t="s">
        <v>85</v>
      </c>
      <c r="AS73" s="9" t="s">
        <v>85</v>
      </c>
      <c r="AT73" s="9" t="s">
        <v>85</v>
      </c>
      <c r="AU73" s="9">
        <v>0.445333</v>
      </c>
      <c r="AV73" s="9" t="s">
        <v>85</v>
      </c>
      <c r="AW73" s="9" t="s">
        <v>85</v>
      </c>
      <c r="AX73" s="9">
        <v>0.48</v>
      </c>
      <c r="AY73" s="9" t="s">
        <v>85</v>
      </c>
      <c r="AZ73" s="9" t="s">
        <v>85</v>
      </c>
      <c r="BA73" s="9" t="s">
        <v>85</v>
      </c>
      <c r="BB73" s="9" t="s">
        <v>85</v>
      </c>
      <c r="BC73" s="10" t="s">
        <v>85</v>
      </c>
      <c r="BD73" s="10" t="s">
        <v>85</v>
      </c>
      <c r="BE73" s="9" t="s">
        <v>85</v>
      </c>
      <c r="BF73" s="10" t="s">
        <v>85</v>
      </c>
      <c r="BG73" s="10" t="s">
        <v>85</v>
      </c>
      <c r="BH73" s="9" t="s">
        <v>85</v>
      </c>
      <c r="BI73" s="6"/>
      <c r="BJ73" s="6" t="str">
        <f t="shared" si="1"/>
        <v>12VB_Fold_Median</v>
      </c>
      <c r="BK73" s="6" t="str">
        <f t="shared" si="2"/>
        <v>10VB_Fold_Median</v>
      </c>
      <c r="BL73" s="6" t="str">
        <f t="shared" si="3"/>
        <v>5V_Fold_Median</v>
      </c>
      <c r="BM73" s="6"/>
      <c r="BN73" s="6"/>
      <c r="BO73" s="6"/>
      <c r="BP73" s="6"/>
      <c r="BQ73" s="6"/>
      <c r="BR73" s="6"/>
      <c r="BS73" s="6"/>
      <c r="BT73" s="6"/>
      <c r="BU73" s="6"/>
    </row>
    <row r="74" ht="15.75" customHeight="1">
      <c r="A74" s="1" t="s">
        <v>168</v>
      </c>
      <c r="B74" s="17">
        <v>1500.0</v>
      </c>
      <c r="C74" s="17">
        <v>2.0</v>
      </c>
      <c r="D74" s="9" t="s">
        <v>85</v>
      </c>
      <c r="E74" s="9" t="s">
        <v>85</v>
      </c>
      <c r="F74" s="9" t="s">
        <v>85</v>
      </c>
      <c r="G74" s="9" t="s">
        <v>85</v>
      </c>
      <c r="H74" s="9" t="s">
        <v>85</v>
      </c>
      <c r="I74" s="9" t="s">
        <v>85</v>
      </c>
      <c r="J74" s="9" t="s">
        <v>85</v>
      </c>
      <c r="K74" s="9">
        <v>0.873333</v>
      </c>
      <c r="L74" s="9" t="s">
        <v>85</v>
      </c>
      <c r="M74" s="9" t="s">
        <v>85</v>
      </c>
      <c r="N74" s="9">
        <v>0.878333</v>
      </c>
      <c r="O74" s="9" t="s">
        <v>85</v>
      </c>
      <c r="P74" s="9" t="s">
        <v>85</v>
      </c>
      <c r="Q74" s="9" t="s">
        <v>85</v>
      </c>
      <c r="R74" s="9" t="s">
        <v>85</v>
      </c>
      <c r="S74" s="9" t="s">
        <v>85</v>
      </c>
      <c r="T74" s="9" t="s">
        <v>85</v>
      </c>
      <c r="U74" s="9" t="s">
        <v>85</v>
      </c>
      <c r="V74" s="9" t="s">
        <v>85</v>
      </c>
      <c r="W74" s="9">
        <v>0.913333</v>
      </c>
      <c r="X74" s="9" t="s">
        <v>85</v>
      </c>
      <c r="Y74" s="9" t="s">
        <v>85</v>
      </c>
      <c r="Z74" s="9">
        <v>0.901667</v>
      </c>
      <c r="AA74" s="9" t="s">
        <v>85</v>
      </c>
      <c r="AB74" s="9" t="s">
        <v>85</v>
      </c>
      <c r="AC74" s="9" t="s">
        <v>85</v>
      </c>
      <c r="AD74" s="9" t="s">
        <v>85</v>
      </c>
      <c r="AE74" s="9" t="s">
        <v>85</v>
      </c>
      <c r="AF74" s="9" t="s">
        <v>85</v>
      </c>
      <c r="AG74" s="9" t="s">
        <v>85</v>
      </c>
      <c r="AH74" s="9" t="s">
        <v>85</v>
      </c>
      <c r="AI74" s="9">
        <v>0.896667</v>
      </c>
      <c r="AJ74" s="9" t="s">
        <v>85</v>
      </c>
      <c r="AK74" s="9" t="s">
        <v>85</v>
      </c>
      <c r="AL74" s="9">
        <v>0.903333</v>
      </c>
      <c r="AM74" s="9" t="s">
        <v>85</v>
      </c>
      <c r="AN74" s="9" t="s">
        <v>85</v>
      </c>
      <c r="AO74" s="9" t="s">
        <v>85</v>
      </c>
      <c r="AP74" s="9" t="s">
        <v>85</v>
      </c>
      <c r="AQ74" s="9" t="s">
        <v>85</v>
      </c>
      <c r="AR74" s="9" t="s">
        <v>85</v>
      </c>
      <c r="AS74" s="9" t="s">
        <v>85</v>
      </c>
      <c r="AT74" s="9" t="s">
        <v>85</v>
      </c>
      <c r="AU74" s="9">
        <v>0.906667</v>
      </c>
      <c r="AV74" s="9" t="s">
        <v>85</v>
      </c>
      <c r="AW74" s="9" t="s">
        <v>85</v>
      </c>
      <c r="AX74" s="9">
        <v>0.911667</v>
      </c>
      <c r="AY74" s="9" t="s">
        <v>85</v>
      </c>
      <c r="AZ74" s="9" t="s">
        <v>85</v>
      </c>
      <c r="BA74" s="9" t="s">
        <v>85</v>
      </c>
      <c r="BB74" s="9" t="s">
        <v>85</v>
      </c>
      <c r="BC74" s="10" t="s">
        <v>85</v>
      </c>
      <c r="BD74" s="10" t="s">
        <v>85</v>
      </c>
      <c r="BE74" s="9" t="s">
        <v>85</v>
      </c>
      <c r="BF74" s="10" t="s">
        <v>85</v>
      </c>
      <c r="BG74" s="10" t="s">
        <v>85</v>
      </c>
      <c r="BH74" s="9" t="s">
        <v>85</v>
      </c>
      <c r="BI74" s="6"/>
      <c r="BJ74" s="6" t="str">
        <f t="shared" si="1"/>
        <v>8V_Fold_Median</v>
      </c>
      <c r="BK74" s="6" t="str">
        <f t="shared" si="2"/>
        <v>12VB_Fold_Median</v>
      </c>
      <c r="BL74" s="6" t="str">
        <f t="shared" si="3"/>
        <v>12V_Fold_Median</v>
      </c>
      <c r="BM74" s="6"/>
      <c r="BN74" s="6"/>
      <c r="BO74" s="6"/>
      <c r="BP74" s="6"/>
      <c r="BQ74" s="6"/>
      <c r="BR74" s="6"/>
      <c r="BS74" s="6"/>
      <c r="BT74" s="6"/>
      <c r="BU74" s="6"/>
    </row>
    <row r="75" ht="15.75" customHeight="1">
      <c r="A75" s="1" t="s">
        <v>169</v>
      </c>
      <c r="B75" s="17">
        <v>1500.0</v>
      </c>
      <c r="C75" s="17">
        <v>6.0</v>
      </c>
      <c r="D75" s="9" t="s">
        <v>85</v>
      </c>
      <c r="E75" s="9" t="s">
        <v>85</v>
      </c>
      <c r="F75" s="9" t="s">
        <v>85</v>
      </c>
      <c r="G75" s="9" t="s">
        <v>85</v>
      </c>
      <c r="H75" s="9" t="s">
        <v>85</v>
      </c>
      <c r="I75" s="9" t="s">
        <v>85</v>
      </c>
      <c r="J75" s="9" t="s">
        <v>85</v>
      </c>
      <c r="K75" s="9">
        <v>0.602222</v>
      </c>
      <c r="L75" s="9" t="s">
        <v>85</v>
      </c>
      <c r="M75" s="9" t="s">
        <v>85</v>
      </c>
      <c r="N75" s="9">
        <v>0.582222</v>
      </c>
      <c r="O75" s="9" t="s">
        <v>85</v>
      </c>
      <c r="P75" s="9" t="s">
        <v>85</v>
      </c>
      <c r="Q75" s="9" t="s">
        <v>85</v>
      </c>
      <c r="R75" s="9" t="s">
        <v>85</v>
      </c>
      <c r="S75" s="9" t="s">
        <v>85</v>
      </c>
      <c r="T75" s="9" t="s">
        <v>85</v>
      </c>
      <c r="U75" s="9" t="s">
        <v>85</v>
      </c>
      <c r="V75" s="9" t="s">
        <v>85</v>
      </c>
      <c r="W75" s="9">
        <v>0.46</v>
      </c>
      <c r="X75" s="9" t="s">
        <v>85</v>
      </c>
      <c r="Y75" s="9" t="s">
        <v>85</v>
      </c>
      <c r="Z75" s="9">
        <v>0.455556</v>
      </c>
      <c r="AA75" s="9" t="s">
        <v>85</v>
      </c>
      <c r="AB75" s="9" t="s">
        <v>85</v>
      </c>
      <c r="AC75" s="9" t="s">
        <v>85</v>
      </c>
      <c r="AD75" s="9" t="s">
        <v>85</v>
      </c>
      <c r="AE75" s="9" t="s">
        <v>85</v>
      </c>
      <c r="AF75" s="9" t="s">
        <v>85</v>
      </c>
      <c r="AG75" s="9" t="s">
        <v>85</v>
      </c>
      <c r="AH75" s="9" t="s">
        <v>85</v>
      </c>
      <c r="AI75" s="9">
        <v>0.455556</v>
      </c>
      <c r="AJ75" s="9" t="s">
        <v>85</v>
      </c>
      <c r="AK75" s="9" t="s">
        <v>85</v>
      </c>
      <c r="AL75" s="9">
        <v>0.424444</v>
      </c>
      <c r="AM75" s="9" t="s">
        <v>85</v>
      </c>
      <c r="AN75" s="9" t="s">
        <v>85</v>
      </c>
      <c r="AO75" s="9" t="s">
        <v>85</v>
      </c>
      <c r="AP75" s="9" t="s">
        <v>85</v>
      </c>
      <c r="AQ75" s="9" t="s">
        <v>85</v>
      </c>
      <c r="AR75" s="9" t="s">
        <v>85</v>
      </c>
      <c r="AS75" s="9" t="s">
        <v>85</v>
      </c>
      <c r="AT75" s="9" t="s">
        <v>85</v>
      </c>
      <c r="AU75" s="9">
        <v>0.357778</v>
      </c>
      <c r="AV75" s="9" t="s">
        <v>85</v>
      </c>
      <c r="AW75" s="9" t="s">
        <v>85</v>
      </c>
      <c r="AX75" s="9">
        <v>0.462222</v>
      </c>
      <c r="AY75" s="9" t="s">
        <v>85</v>
      </c>
      <c r="AZ75" s="9" t="s">
        <v>85</v>
      </c>
      <c r="BA75" s="9" t="s">
        <v>85</v>
      </c>
      <c r="BB75" s="9" t="s">
        <v>85</v>
      </c>
      <c r="BC75" s="10" t="s">
        <v>85</v>
      </c>
      <c r="BD75" s="10" t="s">
        <v>85</v>
      </c>
      <c r="BE75" s="9" t="s">
        <v>85</v>
      </c>
      <c r="BF75" s="10" t="s">
        <v>85</v>
      </c>
      <c r="BG75" s="10" t="s">
        <v>85</v>
      </c>
      <c r="BH75" s="9" t="s">
        <v>85</v>
      </c>
      <c r="BI75" s="6"/>
      <c r="BJ75" s="6" t="str">
        <f t="shared" si="1"/>
        <v>5V_Fold_Median</v>
      </c>
      <c r="BK75" s="6" t="str">
        <f t="shared" si="2"/>
        <v>5VB_Fold_Median</v>
      </c>
      <c r="BL75" s="6" t="str">
        <f t="shared" si="3"/>
        <v>12VB_Fold_Median</v>
      </c>
      <c r="BM75" s="6"/>
      <c r="BN75" s="6"/>
      <c r="BO75" s="6"/>
      <c r="BP75" s="6"/>
      <c r="BQ75" s="6"/>
      <c r="BR75" s="6"/>
      <c r="BS75" s="6"/>
      <c r="BT75" s="6"/>
      <c r="BU75" s="6"/>
    </row>
    <row r="76" ht="15.75" customHeight="1">
      <c r="A76" s="1" t="s">
        <v>170</v>
      </c>
      <c r="B76" s="17">
        <v>1500.0</v>
      </c>
      <c r="C76" s="17">
        <v>5.0</v>
      </c>
      <c r="D76" s="9" t="s">
        <v>85</v>
      </c>
      <c r="E76" s="9" t="s">
        <v>85</v>
      </c>
      <c r="F76" s="9" t="s">
        <v>85</v>
      </c>
      <c r="G76" s="9" t="s">
        <v>85</v>
      </c>
      <c r="H76" s="9" t="s">
        <v>85</v>
      </c>
      <c r="I76" s="9" t="s">
        <v>85</v>
      </c>
      <c r="J76" s="9" t="s">
        <v>85</v>
      </c>
      <c r="K76" s="9">
        <v>0.833333</v>
      </c>
      <c r="L76" s="9" t="s">
        <v>85</v>
      </c>
      <c r="M76" s="9" t="s">
        <v>85</v>
      </c>
      <c r="N76" s="9">
        <v>0.817778</v>
      </c>
      <c r="O76" s="9" t="s">
        <v>85</v>
      </c>
      <c r="P76" s="9" t="s">
        <v>85</v>
      </c>
      <c r="Q76" s="9" t="s">
        <v>85</v>
      </c>
      <c r="R76" s="9" t="s">
        <v>85</v>
      </c>
      <c r="S76" s="9" t="s">
        <v>85</v>
      </c>
      <c r="T76" s="9" t="s">
        <v>85</v>
      </c>
      <c r="U76" s="9" t="s">
        <v>85</v>
      </c>
      <c r="V76" s="9" t="s">
        <v>85</v>
      </c>
      <c r="W76" s="9">
        <v>0.82</v>
      </c>
      <c r="X76" s="9" t="s">
        <v>85</v>
      </c>
      <c r="Y76" s="9" t="s">
        <v>85</v>
      </c>
      <c r="Z76" s="9">
        <v>0.831111</v>
      </c>
      <c r="AA76" s="9" t="s">
        <v>85</v>
      </c>
      <c r="AB76" s="9" t="s">
        <v>85</v>
      </c>
      <c r="AC76" s="9" t="s">
        <v>85</v>
      </c>
      <c r="AD76" s="9" t="s">
        <v>85</v>
      </c>
      <c r="AE76" s="9" t="s">
        <v>85</v>
      </c>
      <c r="AF76" s="9" t="s">
        <v>85</v>
      </c>
      <c r="AG76" s="9" t="s">
        <v>85</v>
      </c>
      <c r="AH76" s="9" t="s">
        <v>85</v>
      </c>
      <c r="AI76" s="9">
        <v>0.824444</v>
      </c>
      <c r="AJ76" s="9" t="s">
        <v>85</v>
      </c>
      <c r="AK76" s="9" t="s">
        <v>85</v>
      </c>
      <c r="AL76" s="9">
        <v>0.824444</v>
      </c>
      <c r="AM76" s="9" t="s">
        <v>85</v>
      </c>
      <c r="AN76" s="9" t="s">
        <v>85</v>
      </c>
      <c r="AO76" s="9" t="s">
        <v>85</v>
      </c>
      <c r="AP76" s="9" t="s">
        <v>85</v>
      </c>
      <c r="AQ76" s="9" t="s">
        <v>85</v>
      </c>
      <c r="AR76" s="9" t="s">
        <v>85</v>
      </c>
      <c r="AS76" s="9" t="s">
        <v>85</v>
      </c>
      <c r="AT76" s="9" t="s">
        <v>85</v>
      </c>
      <c r="AU76" s="9">
        <v>0.813333</v>
      </c>
      <c r="AV76" s="9" t="s">
        <v>85</v>
      </c>
      <c r="AW76" s="9" t="s">
        <v>85</v>
      </c>
      <c r="AX76" s="9">
        <v>0.844444</v>
      </c>
      <c r="AY76" s="9" t="s">
        <v>85</v>
      </c>
      <c r="AZ76" s="9" t="s">
        <v>85</v>
      </c>
      <c r="BA76" s="9" t="s">
        <v>85</v>
      </c>
      <c r="BB76" s="9" t="s">
        <v>85</v>
      </c>
      <c r="BC76" s="10" t="s">
        <v>85</v>
      </c>
      <c r="BD76" s="10" t="s">
        <v>85</v>
      </c>
      <c r="BE76" s="9" t="s">
        <v>85</v>
      </c>
      <c r="BF76" s="10" t="s">
        <v>85</v>
      </c>
      <c r="BG76" s="10" t="s">
        <v>85</v>
      </c>
      <c r="BH76" s="9" t="s">
        <v>85</v>
      </c>
      <c r="BI76" s="6"/>
      <c r="BJ76" s="6" t="str">
        <f t="shared" si="1"/>
        <v>12VB_Fold_Median</v>
      </c>
      <c r="BK76" s="6" t="str">
        <f t="shared" si="2"/>
        <v>5V_Fold_Median</v>
      </c>
      <c r="BL76" s="6" t="str">
        <f t="shared" si="3"/>
        <v>8VB_Fold_Median</v>
      </c>
      <c r="BM76" s="6"/>
      <c r="BN76" s="6"/>
      <c r="BO76" s="6"/>
      <c r="BP76" s="6"/>
      <c r="BQ76" s="6"/>
      <c r="BR76" s="6"/>
      <c r="BS76" s="6"/>
      <c r="BT76" s="6"/>
      <c r="BU76" s="6"/>
    </row>
    <row r="77" ht="15.75" customHeight="1">
      <c r="A77" s="1" t="s">
        <v>171</v>
      </c>
      <c r="B77" s="17">
        <v>500.0</v>
      </c>
      <c r="C77" s="17">
        <v>2.0</v>
      </c>
      <c r="D77" s="9" t="s">
        <v>85</v>
      </c>
      <c r="E77" s="9" t="s">
        <v>85</v>
      </c>
      <c r="F77" s="9" t="s">
        <v>85</v>
      </c>
      <c r="G77" s="9" t="s">
        <v>85</v>
      </c>
      <c r="H77" s="9" t="s">
        <v>85</v>
      </c>
      <c r="I77" s="9" t="s">
        <v>85</v>
      </c>
      <c r="J77" s="9" t="s">
        <v>85</v>
      </c>
      <c r="K77" s="9">
        <v>0.5</v>
      </c>
      <c r="L77" s="9" t="s">
        <v>85</v>
      </c>
      <c r="M77" s="9" t="s">
        <v>85</v>
      </c>
      <c r="N77" s="9">
        <v>0.5</v>
      </c>
      <c r="O77" s="9" t="s">
        <v>85</v>
      </c>
      <c r="P77" s="9" t="s">
        <v>85</v>
      </c>
      <c r="Q77" s="9" t="s">
        <v>85</v>
      </c>
      <c r="R77" s="9" t="s">
        <v>85</v>
      </c>
      <c r="S77" s="9" t="s">
        <v>85</v>
      </c>
      <c r="T77" s="9" t="s">
        <v>85</v>
      </c>
      <c r="U77" s="9" t="s">
        <v>85</v>
      </c>
      <c r="V77" s="9" t="s">
        <v>85</v>
      </c>
      <c r="W77" s="9">
        <v>0.505556</v>
      </c>
      <c r="X77" s="9" t="s">
        <v>85</v>
      </c>
      <c r="Y77" s="9" t="s">
        <v>85</v>
      </c>
      <c r="Z77" s="9">
        <v>0.5</v>
      </c>
      <c r="AA77" s="9" t="s">
        <v>85</v>
      </c>
      <c r="AB77" s="9" t="s">
        <v>85</v>
      </c>
      <c r="AC77" s="9" t="s">
        <v>85</v>
      </c>
      <c r="AD77" s="9" t="s">
        <v>85</v>
      </c>
      <c r="AE77" s="9" t="s">
        <v>85</v>
      </c>
      <c r="AF77" s="9" t="s">
        <v>85</v>
      </c>
      <c r="AG77" s="9" t="s">
        <v>85</v>
      </c>
      <c r="AH77" s="9" t="s">
        <v>85</v>
      </c>
      <c r="AI77" s="9">
        <v>0.5</v>
      </c>
      <c r="AJ77" s="9" t="s">
        <v>85</v>
      </c>
      <c r="AK77" s="9" t="s">
        <v>85</v>
      </c>
      <c r="AL77" s="9">
        <v>0.5</v>
      </c>
      <c r="AM77" s="9" t="s">
        <v>85</v>
      </c>
      <c r="AN77" s="9" t="s">
        <v>85</v>
      </c>
      <c r="AO77" s="9" t="s">
        <v>85</v>
      </c>
      <c r="AP77" s="9" t="s">
        <v>85</v>
      </c>
      <c r="AQ77" s="9" t="s">
        <v>85</v>
      </c>
      <c r="AR77" s="9" t="s">
        <v>85</v>
      </c>
      <c r="AS77" s="9" t="s">
        <v>85</v>
      </c>
      <c r="AT77" s="9" t="s">
        <v>85</v>
      </c>
      <c r="AU77" s="9">
        <v>0.483333</v>
      </c>
      <c r="AV77" s="9" t="s">
        <v>85</v>
      </c>
      <c r="AW77" s="9" t="s">
        <v>85</v>
      </c>
      <c r="AX77" s="9">
        <v>0.5</v>
      </c>
      <c r="AY77" s="9" t="s">
        <v>85</v>
      </c>
      <c r="AZ77" s="9" t="s">
        <v>85</v>
      </c>
      <c r="BA77" s="9" t="s">
        <v>85</v>
      </c>
      <c r="BB77" s="9" t="s">
        <v>85</v>
      </c>
      <c r="BC77" s="10" t="s">
        <v>85</v>
      </c>
      <c r="BD77" s="10" t="s">
        <v>85</v>
      </c>
      <c r="BE77" s="9" t="s">
        <v>85</v>
      </c>
      <c r="BF77" s="10" t="s">
        <v>85</v>
      </c>
      <c r="BG77" s="10" t="s">
        <v>85</v>
      </c>
      <c r="BH77" s="9" t="s">
        <v>85</v>
      </c>
      <c r="BI77" s="6"/>
      <c r="BJ77" s="6" t="str">
        <f t="shared" si="1"/>
        <v>8V_Fold_Median</v>
      </c>
      <c r="BK77" s="6" t="str">
        <f t="shared" si="2"/>
        <v>5V_Fold_Median</v>
      </c>
      <c r="BL77" s="6" t="str">
        <f t="shared" si="3"/>
        <v>5V_Fold_Median</v>
      </c>
      <c r="BM77" s="6"/>
      <c r="BN77" s="6"/>
      <c r="BO77" s="6"/>
      <c r="BP77" s="6"/>
      <c r="BQ77" s="6"/>
      <c r="BR77" s="6"/>
      <c r="BS77" s="6"/>
      <c r="BT77" s="6"/>
      <c r="BU77" s="6"/>
    </row>
    <row r="78" ht="15.75" customHeight="1">
      <c r="A78" s="1" t="s">
        <v>172</v>
      </c>
      <c r="B78" s="17">
        <v>512.0</v>
      </c>
      <c r="C78" s="17">
        <v>60.0</v>
      </c>
      <c r="D78" s="9" t="s">
        <v>85</v>
      </c>
      <c r="E78" s="9" t="s">
        <v>85</v>
      </c>
      <c r="F78" s="9" t="s">
        <v>85</v>
      </c>
      <c r="G78" s="9" t="s">
        <v>85</v>
      </c>
      <c r="H78" s="9" t="s">
        <v>85</v>
      </c>
      <c r="I78" s="9" t="s">
        <v>85</v>
      </c>
      <c r="J78" s="9" t="s">
        <v>85</v>
      </c>
      <c r="K78" s="9">
        <v>0.468333</v>
      </c>
      <c r="L78" s="9" t="s">
        <v>85</v>
      </c>
      <c r="M78" s="9" t="s">
        <v>85</v>
      </c>
      <c r="N78" s="9">
        <v>0.308333</v>
      </c>
      <c r="O78" s="9" t="s">
        <v>85</v>
      </c>
      <c r="P78" s="9" t="s">
        <v>85</v>
      </c>
      <c r="Q78" s="9" t="s">
        <v>85</v>
      </c>
      <c r="R78" s="9" t="s">
        <v>85</v>
      </c>
      <c r="S78" s="9" t="s">
        <v>85</v>
      </c>
      <c r="T78" s="9" t="s">
        <v>85</v>
      </c>
      <c r="U78" s="9" t="s">
        <v>85</v>
      </c>
      <c r="V78" s="9" t="s">
        <v>85</v>
      </c>
      <c r="W78" s="9">
        <v>0.35</v>
      </c>
      <c r="X78" s="9" t="s">
        <v>85</v>
      </c>
      <c r="Y78" s="9" t="s">
        <v>85</v>
      </c>
      <c r="Z78" s="9">
        <v>0.273333</v>
      </c>
      <c r="AA78" s="9" t="s">
        <v>85</v>
      </c>
      <c r="AB78" s="9" t="s">
        <v>85</v>
      </c>
      <c r="AC78" s="9" t="s">
        <v>85</v>
      </c>
      <c r="AD78" s="9" t="s">
        <v>85</v>
      </c>
      <c r="AE78" s="9" t="s">
        <v>85</v>
      </c>
      <c r="AF78" s="9" t="s">
        <v>85</v>
      </c>
      <c r="AG78" s="9" t="s">
        <v>85</v>
      </c>
      <c r="AH78" s="9" t="s">
        <v>85</v>
      </c>
      <c r="AI78" s="9">
        <v>0.346667</v>
      </c>
      <c r="AJ78" s="9" t="s">
        <v>85</v>
      </c>
      <c r="AK78" s="9" t="s">
        <v>85</v>
      </c>
      <c r="AL78" s="9">
        <v>0.328333</v>
      </c>
      <c r="AM78" s="9" t="s">
        <v>85</v>
      </c>
      <c r="AN78" s="9" t="s">
        <v>85</v>
      </c>
      <c r="AO78" s="9" t="s">
        <v>85</v>
      </c>
      <c r="AP78" s="9" t="s">
        <v>85</v>
      </c>
      <c r="AQ78" s="9" t="s">
        <v>85</v>
      </c>
      <c r="AR78" s="9" t="s">
        <v>85</v>
      </c>
      <c r="AS78" s="9" t="s">
        <v>85</v>
      </c>
      <c r="AT78" s="9" t="s">
        <v>85</v>
      </c>
      <c r="AU78" s="9">
        <v>0.356667</v>
      </c>
      <c r="AV78" s="9" t="s">
        <v>85</v>
      </c>
      <c r="AW78" s="9" t="s">
        <v>85</v>
      </c>
      <c r="AX78" s="9">
        <v>0.416667</v>
      </c>
      <c r="AY78" s="9" t="s">
        <v>85</v>
      </c>
      <c r="AZ78" s="9" t="s">
        <v>85</v>
      </c>
      <c r="BA78" s="9" t="s">
        <v>85</v>
      </c>
      <c r="BB78" s="9" t="s">
        <v>85</v>
      </c>
      <c r="BC78" s="10" t="s">
        <v>85</v>
      </c>
      <c r="BD78" s="10" t="s">
        <v>85</v>
      </c>
      <c r="BE78" s="9" t="s">
        <v>85</v>
      </c>
      <c r="BF78" s="10" t="s">
        <v>85</v>
      </c>
      <c r="BG78" s="10" t="s">
        <v>85</v>
      </c>
      <c r="BH78" s="9" t="s">
        <v>85</v>
      </c>
      <c r="BI78" s="6"/>
      <c r="BJ78" s="6" t="str">
        <f t="shared" si="1"/>
        <v>5V_Fold_Median</v>
      </c>
      <c r="BK78" s="6" t="str">
        <f t="shared" si="2"/>
        <v>12VB_Fold_Median</v>
      </c>
      <c r="BL78" s="6" t="str">
        <f t="shared" si="3"/>
        <v>12V_Fold_Median</v>
      </c>
      <c r="BM78" s="6"/>
      <c r="BN78" s="6"/>
      <c r="BO78" s="6"/>
      <c r="BP78" s="6"/>
      <c r="BQ78" s="6"/>
      <c r="BR78" s="6"/>
      <c r="BS78" s="6"/>
      <c r="BT78" s="6"/>
      <c r="BU78" s="6"/>
    </row>
    <row r="79" ht="15.75" customHeight="1">
      <c r="A79" s="1" t="s">
        <v>173</v>
      </c>
      <c r="B79" s="17">
        <v>720.0</v>
      </c>
      <c r="C79" s="17">
        <v>3.0</v>
      </c>
      <c r="D79" s="9" t="s">
        <v>85</v>
      </c>
      <c r="E79" s="9" t="s">
        <v>85</v>
      </c>
      <c r="F79" s="9" t="s">
        <v>85</v>
      </c>
      <c r="G79" s="9" t="s">
        <v>85</v>
      </c>
      <c r="H79" s="9" t="s">
        <v>85</v>
      </c>
      <c r="I79" s="9" t="s">
        <v>85</v>
      </c>
      <c r="J79" s="9" t="s">
        <v>85</v>
      </c>
      <c r="K79" s="9">
        <v>0.786667</v>
      </c>
      <c r="L79" s="9" t="s">
        <v>85</v>
      </c>
      <c r="M79" s="9" t="s">
        <v>85</v>
      </c>
      <c r="N79" s="9">
        <v>0.773333</v>
      </c>
      <c r="O79" s="9" t="s">
        <v>85</v>
      </c>
      <c r="P79" s="9" t="s">
        <v>85</v>
      </c>
      <c r="Q79" s="9" t="s">
        <v>85</v>
      </c>
      <c r="R79" s="9" t="s">
        <v>85</v>
      </c>
      <c r="S79" s="9" t="s">
        <v>85</v>
      </c>
      <c r="T79" s="9" t="s">
        <v>85</v>
      </c>
      <c r="U79" s="9" t="s">
        <v>85</v>
      </c>
      <c r="V79" s="9" t="s">
        <v>85</v>
      </c>
      <c r="W79" s="9">
        <v>0.818667</v>
      </c>
      <c r="X79" s="9" t="s">
        <v>85</v>
      </c>
      <c r="Y79" s="9" t="s">
        <v>85</v>
      </c>
      <c r="Z79" s="9">
        <v>0.792</v>
      </c>
      <c r="AA79" s="9" t="s">
        <v>85</v>
      </c>
      <c r="AB79" s="9" t="s">
        <v>85</v>
      </c>
      <c r="AC79" s="9" t="s">
        <v>85</v>
      </c>
      <c r="AD79" s="9" t="s">
        <v>85</v>
      </c>
      <c r="AE79" s="9" t="s">
        <v>85</v>
      </c>
      <c r="AF79" s="9" t="s">
        <v>85</v>
      </c>
      <c r="AG79" s="9" t="s">
        <v>85</v>
      </c>
      <c r="AH79" s="9" t="s">
        <v>85</v>
      </c>
      <c r="AI79" s="9">
        <v>0.805333</v>
      </c>
      <c r="AJ79" s="9" t="s">
        <v>85</v>
      </c>
      <c r="AK79" s="9" t="s">
        <v>85</v>
      </c>
      <c r="AL79" s="9">
        <v>0.802667</v>
      </c>
      <c r="AM79" s="9" t="s">
        <v>85</v>
      </c>
      <c r="AN79" s="9" t="s">
        <v>85</v>
      </c>
      <c r="AO79" s="9" t="s">
        <v>85</v>
      </c>
      <c r="AP79" s="9" t="s">
        <v>85</v>
      </c>
      <c r="AQ79" s="9" t="s">
        <v>85</v>
      </c>
      <c r="AR79" s="9" t="s">
        <v>85</v>
      </c>
      <c r="AS79" s="9" t="s">
        <v>85</v>
      </c>
      <c r="AT79" s="9" t="s">
        <v>85</v>
      </c>
      <c r="AU79" s="9">
        <v>0.792</v>
      </c>
      <c r="AV79" s="9" t="s">
        <v>85</v>
      </c>
      <c r="AW79" s="9" t="s">
        <v>85</v>
      </c>
      <c r="AX79" s="9">
        <v>0.784</v>
      </c>
      <c r="AY79" s="9" t="s">
        <v>85</v>
      </c>
      <c r="AZ79" s="9" t="s">
        <v>85</v>
      </c>
      <c r="BA79" s="9" t="s">
        <v>85</v>
      </c>
      <c r="BB79" s="9" t="s">
        <v>85</v>
      </c>
      <c r="BC79" s="10" t="s">
        <v>85</v>
      </c>
      <c r="BD79" s="10" t="s">
        <v>85</v>
      </c>
      <c r="BE79" s="9" t="s">
        <v>85</v>
      </c>
      <c r="BF79" s="10" t="s">
        <v>85</v>
      </c>
      <c r="BG79" s="10" t="s">
        <v>85</v>
      </c>
      <c r="BH79" s="9" t="s">
        <v>85</v>
      </c>
      <c r="BI79" s="6"/>
      <c r="BJ79" s="6" t="str">
        <f t="shared" si="1"/>
        <v>8V_Fold_Median</v>
      </c>
      <c r="BK79" s="6" t="str">
        <f t="shared" si="2"/>
        <v>10V_Fold_Median</v>
      </c>
      <c r="BL79" s="6" t="str">
        <f t="shared" si="3"/>
        <v>10VB_Fold_Median</v>
      </c>
      <c r="BM79" s="6"/>
      <c r="BN79" s="6"/>
      <c r="BO79" s="6"/>
      <c r="BP79" s="6"/>
      <c r="BQ79" s="6"/>
      <c r="BR79" s="6"/>
      <c r="BS79" s="6"/>
      <c r="BT79" s="6"/>
      <c r="BU79" s="6"/>
    </row>
    <row r="80" ht="15.75" customHeight="1">
      <c r="A80" s="1" t="s">
        <v>174</v>
      </c>
      <c r="B80" s="17">
        <v>15.0</v>
      </c>
      <c r="C80" s="17">
        <v>3.0</v>
      </c>
      <c r="D80" s="9" t="s">
        <v>85</v>
      </c>
      <c r="E80" s="9" t="s">
        <v>85</v>
      </c>
      <c r="F80" s="9" t="s">
        <v>85</v>
      </c>
      <c r="G80" s="9" t="s">
        <v>85</v>
      </c>
      <c r="H80" s="9" t="s">
        <v>85</v>
      </c>
      <c r="I80" s="9" t="s">
        <v>85</v>
      </c>
      <c r="J80" s="9" t="s">
        <v>85</v>
      </c>
      <c r="K80" s="9">
        <v>0.906667</v>
      </c>
      <c r="L80" s="9" t="s">
        <v>85</v>
      </c>
      <c r="M80" s="9" t="s">
        <v>85</v>
      </c>
      <c r="N80" s="9">
        <v>0.933333</v>
      </c>
      <c r="O80" s="9" t="s">
        <v>85</v>
      </c>
      <c r="P80" s="9" t="s">
        <v>85</v>
      </c>
      <c r="Q80" s="9" t="s">
        <v>85</v>
      </c>
      <c r="R80" s="9" t="s">
        <v>85</v>
      </c>
      <c r="S80" s="9" t="s">
        <v>85</v>
      </c>
      <c r="T80" s="9" t="s">
        <v>85</v>
      </c>
      <c r="U80" s="9" t="s">
        <v>85</v>
      </c>
      <c r="V80" s="9" t="s">
        <v>85</v>
      </c>
      <c r="W80" s="9">
        <v>0.333333</v>
      </c>
      <c r="X80" s="9" t="s">
        <v>85</v>
      </c>
      <c r="Y80" s="9" t="s">
        <v>85</v>
      </c>
      <c r="Z80" s="9">
        <v>0.92</v>
      </c>
      <c r="AA80" s="9" t="s">
        <v>85</v>
      </c>
      <c r="AB80" s="9" t="s">
        <v>85</v>
      </c>
      <c r="AC80" s="9" t="s">
        <v>85</v>
      </c>
      <c r="AD80" s="9" t="s">
        <v>85</v>
      </c>
      <c r="AE80" s="9" t="s">
        <v>85</v>
      </c>
      <c r="AF80" s="9" t="s">
        <v>85</v>
      </c>
      <c r="AG80" s="9" t="s">
        <v>85</v>
      </c>
      <c r="AH80" s="9" t="s">
        <v>85</v>
      </c>
      <c r="AI80" s="9">
        <v>0.333333</v>
      </c>
      <c r="AJ80" s="9" t="s">
        <v>85</v>
      </c>
      <c r="AK80" s="9" t="s">
        <v>85</v>
      </c>
      <c r="AL80" s="9">
        <v>0.92</v>
      </c>
      <c r="AM80" s="9" t="s">
        <v>85</v>
      </c>
      <c r="AN80" s="9" t="s">
        <v>85</v>
      </c>
      <c r="AO80" s="9" t="s">
        <v>85</v>
      </c>
      <c r="AP80" s="9" t="s">
        <v>85</v>
      </c>
      <c r="AQ80" s="9" t="s">
        <v>85</v>
      </c>
      <c r="AR80" s="9" t="s">
        <v>85</v>
      </c>
      <c r="AS80" s="9" t="s">
        <v>85</v>
      </c>
      <c r="AT80" s="9" t="s">
        <v>85</v>
      </c>
      <c r="AU80" s="9">
        <v>0.333333</v>
      </c>
      <c r="AV80" s="9" t="s">
        <v>85</v>
      </c>
      <c r="AW80" s="9" t="s">
        <v>85</v>
      </c>
      <c r="AX80" s="9">
        <v>0.94</v>
      </c>
      <c r="AY80" s="9" t="s">
        <v>85</v>
      </c>
      <c r="AZ80" s="9" t="s">
        <v>85</v>
      </c>
      <c r="BA80" s="9" t="s">
        <v>85</v>
      </c>
      <c r="BB80" s="9" t="s">
        <v>85</v>
      </c>
      <c r="BC80" s="10" t="s">
        <v>85</v>
      </c>
      <c r="BD80" s="10" t="s">
        <v>85</v>
      </c>
      <c r="BE80" s="9" t="s">
        <v>85</v>
      </c>
      <c r="BF80" s="10" t="s">
        <v>85</v>
      </c>
      <c r="BG80" s="10" t="s">
        <v>85</v>
      </c>
      <c r="BH80" s="9" t="s">
        <v>85</v>
      </c>
      <c r="BI80" s="6"/>
      <c r="BJ80" s="6" t="str">
        <f t="shared" si="1"/>
        <v>12VB_Fold_Median</v>
      </c>
      <c r="BK80" s="6" t="str">
        <f t="shared" si="2"/>
        <v>5VB_Fold_Median</v>
      </c>
      <c r="BL80" s="6" t="str">
        <f t="shared" si="3"/>
        <v>8VB_Fold_Median</v>
      </c>
      <c r="BM80" s="6"/>
      <c r="BN80" s="6"/>
      <c r="BO80" s="6"/>
      <c r="BP80" s="6"/>
      <c r="BQ80" s="6"/>
      <c r="BR80" s="6"/>
      <c r="BS80" s="6"/>
      <c r="BT80" s="6"/>
      <c r="BU80" s="6"/>
    </row>
    <row r="81" ht="15.75" customHeight="1">
      <c r="A81" s="1" t="s">
        <v>175</v>
      </c>
      <c r="B81" s="17">
        <v>70.0</v>
      </c>
      <c r="C81" s="17">
        <v>2.0</v>
      </c>
      <c r="D81" s="9" t="s">
        <v>85</v>
      </c>
      <c r="E81" s="9" t="s">
        <v>85</v>
      </c>
      <c r="F81" s="9" t="s">
        <v>85</v>
      </c>
      <c r="G81" s="9" t="s">
        <v>85</v>
      </c>
      <c r="H81" s="9" t="s">
        <v>85</v>
      </c>
      <c r="I81" s="9" t="s">
        <v>85</v>
      </c>
      <c r="J81" s="9" t="s">
        <v>85</v>
      </c>
      <c r="K81" s="9">
        <v>0.429285</v>
      </c>
      <c r="L81" s="9" t="s">
        <v>85</v>
      </c>
      <c r="M81" s="9" t="s">
        <v>85</v>
      </c>
      <c r="N81" s="9">
        <v>0.429285</v>
      </c>
      <c r="O81" s="9" t="s">
        <v>85</v>
      </c>
      <c r="P81" s="9" t="s">
        <v>85</v>
      </c>
      <c r="Q81" s="9" t="s">
        <v>85</v>
      </c>
      <c r="R81" s="9" t="s">
        <v>85</v>
      </c>
      <c r="S81" s="9" t="s">
        <v>85</v>
      </c>
      <c r="T81" s="9" t="s">
        <v>85</v>
      </c>
      <c r="U81" s="9" t="s">
        <v>85</v>
      </c>
      <c r="V81" s="9" t="s">
        <v>85</v>
      </c>
      <c r="W81" s="9">
        <v>0.429285</v>
      </c>
      <c r="X81" s="9" t="s">
        <v>85</v>
      </c>
      <c r="Y81" s="9" t="s">
        <v>85</v>
      </c>
      <c r="Z81" s="9">
        <v>0.487521</v>
      </c>
      <c r="AA81" s="9" t="s">
        <v>85</v>
      </c>
      <c r="AB81" s="9" t="s">
        <v>85</v>
      </c>
      <c r="AC81" s="9" t="s">
        <v>85</v>
      </c>
      <c r="AD81" s="9" t="s">
        <v>85</v>
      </c>
      <c r="AE81" s="9" t="s">
        <v>85</v>
      </c>
      <c r="AF81" s="9" t="s">
        <v>85</v>
      </c>
      <c r="AG81" s="9" t="s">
        <v>85</v>
      </c>
      <c r="AH81" s="9" t="s">
        <v>85</v>
      </c>
      <c r="AI81" s="9">
        <v>0.429285</v>
      </c>
      <c r="AJ81" s="9" t="s">
        <v>85</v>
      </c>
      <c r="AK81" s="9" t="s">
        <v>85</v>
      </c>
      <c r="AL81" s="9">
        <v>0.462562</v>
      </c>
      <c r="AM81" s="9" t="s">
        <v>85</v>
      </c>
      <c r="AN81" s="9" t="s">
        <v>85</v>
      </c>
      <c r="AO81" s="9" t="s">
        <v>85</v>
      </c>
      <c r="AP81" s="9" t="s">
        <v>85</v>
      </c>
      <c r="AQ81" s="9" t="s">
        <v>85</v>
      </c>
      <c r="AR81" s="9" t="s">
        <v>85</v>
      </c>
      <c r="AS81" s="9" t="s">
        <v>85</v>
      </c>
      <c r="AT81" s="9" t="s">
        <v>85</v>
      </c>
      <c r="AU81" s="9">
        <v>0.638935</v>
      </c>
      <c r="AV81" s="9" t="s">
        <v>85</v>
      </c>
      <c r="AW81" s="9" t="s">
        <v>85</v>
      </c>
      <c r="AX81" s="9">
        <v>0.497504</v>
      </c>
      <c r="AY81" s="9" t="s">
        <v>85</v>
      </c>
      <c r="AZ81" s="9" t="s">
        <v>85</v>
      </c>
      <c r="BA81" s="9" t="s">
        <v>85</v>
      </c>
      <c r="BB81" s="9" t="s">
        <v>85</v>
      </c>
      <c r="BC81" s="10" t="s">
        <v>85</v>
      </c>
      <c r="BD81" s="10" t="s">
        <v>85</v>
      </c>
      <c r="BE81" s="9" t="s">
        <v>85</v>
      </c>
      <c r="BF81" s="10" t="s">
        <v>85</v>
      </c>
      <c r="BG81" s="10" t="s">
        <v>85</v>
      </c>
      <c r="BH81" s="9" t="s">
        <v>85</v>
      </c>
      <c r="BI81" s="6"/>
      <c r="BJ81" s="6" t="str">
        <f t="shared" si="1"/>
        <v>12V_Fold_Median</v>
      </c>
      <c r="BK81" s="6" t="str">
        <f t="shared" si="2"/>
        <v>12VB_Fold_Median</v>
      </c>
      <c r="BL81" s="6" t="str">
        <f t="shared" si="3"/>
        <v>8VB_Fold_Median</v>
      </c>
      <c r="BM81" s="6"/>
      <c r="BN81" s="6"/>
      <c r="BO81" s="6"/>
      <c r="BP81" s="6"/>
      <c r="BQ81" s="6"/>
      <c r="BR81" s="6"/>
      <c r="BS81" s="6"/>
      <c r="BT81" s="6"/>
      <c r="BU81" s="6"/>
    </row>
    <row r="82" ht="15.75" customHeight="1">
      <c r="A82" s="1" t="s">
        <v>176</v>
      </c>
      <c r="B82" s="17">
        <v>65.0</v>
      </c>
      <c r="C82" s="17">
        <v>2.0</v>
      </c>
      <c r="D82" s="9" t="s">
        <v>85</v>
      </c>
      <c r="E82" s="9" t="s">
        <v>85</v>
      </c>
      <c r="F82" s="9" t="s">
        <v>85</v>
      </c>
      <c r="G82" s="9" t="s">
        <v>85</v>
      </c>
      <c r="H82" s="9" t="s">
        <v>85</v>
      </c>
      <c r="I82" s="9" t="s">
        <v>85</v>
      </c>
      <c r="J82" s="9" t="s">
        <v>85</v>
      </c>
      <c r="K82" s="9">
        <v>0.758657</v>
      </c>
      <c r="L82" s="9" t="s">
        <v>85</v>
      </c>
      <c r="M82" s="9" t="s">
        <v>85</v>
      </c>
      <c r="N82" s="9">
        <v>0.759706</v>
      </c>
      <c r="O82" s="9" t="s">
        <v>85</v>
      </c>
      <c r="P82" s="9" t="s">
        <v>85</v>
      </c>
      <c r="Q82" s="9" t="s">
        <v>85</v>
      </c>
      <c r="R82" s="9" t="s">
        <v>85</v>
      </c>
      <c r="S82" s="9" t="s">
        <v>85</v>
      </c>
      <c r="T82" s="9" t="s">
        <v>85</v>
      </c>
      <c r="U82" s="9" t="s">
        <v>85</v>
      </c>
      <c r="V82" s="9" t="s">
        <v>85</v>
      </c>
      <c r="W82" s="9">
        <v>0.76915</v>
      </c>
      <c r="X82" s="9" t="s">
        <v>85</v>
      </c>
      <c r="Y82" s="9" t="s">
        <v>85</v>
      </c>
      <c r="Z82" s="9">
        <v>0.770199</v>
      </c>
      <c r="AA82" s="9" t="s">
        <v>85</v>
      </c>
      <c r="AB82" s="9" t="s">
        <v>85</v>
      </c>
      <c r="AC82" s="9" t="s">
        <v>85</v>
      </c>
      <c r="AD82" s="9" t="s">
        <v>85</v>
      </c>
      <c r="AE82" s="9" t="s">
        <v>85</v>
      </c>
      <c r="AF82" s="9" t="s">
        <v>85</v>
      </c>
      <c r="AG82" s="9" t="s">
        <v>85</v>
      </c>
      <c r="AH82" s="9" t="s">
        <v>85</v>
      </c>
      <c r="AI82" s="9">
        <v>0.755509</v>
      </c>
      <c r="AJ82" s="9" t="s">
        <v>85</v>
      </c>
      <c r="AK82" s="9" t="s">
        <v>85</v>
      </c>
      <c r="AL82" s="9">
        <v>0.758657</v>
      </c>
      <c r="AM82" s="9" t="s">
        <v>85</v>
      </c>
      <c r="AN82" s="9" t="s">
        <v>85</v>
      </c>
      <c r="AO82" s="9" t="s">
        <v>85</v>
      </c>
      <c r="AP82" s="9" t="s">
        <v>85</v>
      </c>
      <c r="AQ82" s="9" t="s">
        <v>85</v>
      </c>
      <c r="AR82" s="9" t="s">
        <v>85</v>
      </c>
      <c r="AS82" s="9" t="s">
        <v>85</v>
      </c>
      <c r="AT82" s="9" t="s">
        <v>85</v>
      </c>
      <c r="AU82" s="9">
        <v>0.786988</v>
      </c>
      <c r="AV82" s="9" t="s">
        <v>85</v>
      </c>
      <c r="AW82" s="9" t="s">
        <v>85</v>
      </c>
      <c r="AX82" s="9">
        <v>0.792235</v>
      </c>
      <c r="AY82" s="9" t="s">
        <v>85</v>
      </c>
      <c r="AZ82" s="9" t="s">
        <v>85</v>
      </c>
      <c r="BA82" s="9" t="s">
        <v>85</v>
      </c>
      <c r="BB82" s="9" t="s">
        <v>85</v>
      </c>
      <c r="BC82" s="10" t="s">
        <v>85</v>
      </c>
      <c r="BD82" s="10" t="s">
        <v>85</v>
      </c>
      <c r="BE82" s="9" t="s">
        <v>85</v>
      </c>
      <c r="BF82" s="10" t="s">
        <v>85</v>
      </c>
      <c r="BG82" s="10" t="s">
        <v>85</v>
      </c>
      <c r="BH82" s="9" t="s">
        <v>85</v>
      </c>
      <c r="BI82" s="6"/>
      <c r="BJ82" s="6" t="str">
        <f t="shared" si="1"/>
        <v>12VB_Fold_Median</v>
      </c>
      <c r="BK82" s="6" t="str">
        <f t="shared" si="2"/>
        <v>12V_Fold_Median</v>
      </c>
      <c r="BL82" s="6" t="str">
        <f t="shared" si="3"/>
        <v>8VB_Fold_Median</v>
      </c>
      <c r="BM82" s="6"/>
      <c r="BN82" s="6"/>
      <c r="BO82" s="6"/>
      <c r="BP82" s="6"/>
      <c r="BQ82" s="6"/>
      <c r="BR82" s="6"/>
      <c r="BS82" s="6"/>
      <c r="BT82" s="6"/>
      <c r="BU82" s="6"/>
    </row>
    <row r="83" ht="15.75" customHeight="1">
      <c r="A83" s="1" t="s">
        <v>177</v>
      </c>
      <c r="B83" s="17">
        <v>1024.0</v>
      </c>
      <c r="C83" s="17">
        <v>3.0</v>
      </c>
      <c r="D83" s="9" t="s">
        <v>85</v>
      </c>
      <c r="E83" s="9" t="s">
        <v>85</v>
      </c>
      <c r="F83" s="9" t="s">
        <v>85</v>
      </c>
      <c r="G83" s="9" t="s">
        <v>85</v>
      </c>
      <c r="H83" s="9" t="s">
        <v>85</v>
      </c>
      <c r="I83" s="9" t="s">
        <v>85</v>
      </c>
      <c r="J83" s="9" t="s">
        <v>85</v>
      </c>
      <c r="K83" s="9">
        <v>0.930063</v>
      </c>
      <c r="L83" s="9" t="s">
        <v>85</v>
      </c>
      <c r="M83" s="9" t="s">
        <v>85</v>
      </c>
      <c r="N83" s="9">
        <v>0.923992</v>
      </c>
      <c r="O83" s="9" t="s">
        <v>85</v>
      </c>
      <c r="P83" s="9" t="s">
        <v>85</v>
      </c>
      <c r="Q83" s="9" t="s">
        <v>85</v>
      </c>
      <c r="R83" s="9" t="s">
        <v>85</v>
      </c>
      <c r="S83" s="9" t="s">
        <v>85</v>
      </c>
      <c r="T83" s="9" t="s">
        <v>85</v>
      </c>
      <c r="U83" s="9" t="s">
        <v>85</v>
      </c>
      <c r="V83" s="9" t="s">
        <v>85</v>
      </c>
      <c r="W83" s="9">
        <v>0.927635</v>
      </c>
      <c r="X83" s="9" t="s">
        <v>85</v>
      </c>
      <c r="Y83" s="9" t="s">
        <v>85</v>
      </c>
      <c r="Z83" s="9">
        <v>0.92812</v>
      </c>
      <c r="AA83" s="9" t="s">
        <v>85</v>
      </c>
      <c r="AB83" s="9" t="s">
        <v>85</v>
      </c>
      <c r="AC83" s="9" t="s">
        <v>85</v>
      </c>
      <c r="AD83" s="9" t="s">
        <v>85</v>
      </c>
      <c r="AE83" s="9" t="s">
        <v>85</v>
      </c>
      <c r="AF83" s="9" t="s">
        <v>85</v>
      </c>
      <c r="AG83" s="9" t="s">
        <v>85</v>
      </c>
      <c r="AH83" s="9" t="s">
        <v>85</v>
      </c>
      <c r="AI83" s="9">
        <v>0.932734</v>
      </c>
      <c r="AJ83" s="9" t="s">
        <v>85</v>
      </c>
      <c r="AK83" s="9" t="s">
        <v>85</v>
      </c>
      <c r="AL83" s="9">
        <v>0.932491</v>
      </c>
      <c r="AM83" s="9" t="s">
        <v>85</v>
      </c>
      <c r="AN83" s="9" t="s">
        <v>85</v>
      </c>
      <c r="AO83" s="9" t="s">
        <v>85</v>
      </c>
      <c r="AP83" s="9" t="s">
        <v>85</v>
      </c>
      <c r="AQ83" s="9" t="s">
        <v>85</v>
      </c>
      <c r="AR83" s="9" t="s">
        <v>85</v>
      </c>
      <c r="AS83" s="9" t="s">
        <v>85</v>
      </c>
      <c r="AT83" s="9" t="s">
        <v>85</v>
      </c>
      <c r="AU83" s="9">
        <v>0.936863</v>
      </c>
      <c r="AV83" s="9" t="s">
        <v>85</v>
      </c>
      <c r="AW83" s="9" t="s">
        <v>85</v>
      </c>
      <c r="AX83" s="9">
        <v>0.940748</v>
      </c>
      <c r="AY83" s="9" t="s">
        <v>85</v>
      </c>
      <c r="AZ83" s="9" t="s">
        <v>85</v>
      </c>
      <c r="BA83" s="9" t="s">
        <v>85</v>
      </c>
      <c r="BB83" s="9" t="s">
        <v>85</v>
      </c>
      <c r="BC83" s="10" t="s">
        <v>85</v>
      </c>
      <c r="BD83" s="10" t="s">
        <v>85</v>
      </c>
      <c r="BE83" s="9" t="s">
        <v>85</v>
      </c>
      <c r="BF83" s="10" t="s">
        <v>85</v>
      </c>
      <c r="BG83" s="10" t="s">
        <v>85</v>
      </c>
      <c r="BH83" s="9" t="s">
        <v>85</v>
      </c>
      <c r="BI83" s="6"/>
      <c r="BJ83" s="6" t="str">
        <f t="shared" si="1"/>
        <v>12VB_Fold_Median</v>
      </c>
      <c r="BK83" s="6" t="str">
        <f t="shared" si="2"/>
        <v>12V_Fold_Median</v>
      </c>
      <c r="BL83" s="6" t="str">
        <f t="shared" si="3"/>
        <v>10V_Fold_Median</v>
      </c>
      <c r="BM83" s="6"/>
      <c r="BN83" s="6"/>
      <c r="BO83" s="6"/>
      <c r="BP83" s="6"/>
      <c r="BQ83" s="6"/>
      <c r="BR83" s="6"/>
      <c r="BS83" s="6"/>
      <c r="BT83" s="6"/>
      <c r="BU83" s="6"/>
    </row>
    <row r="84" ht="15.75" customHeight="1">
      <c r="A84" s="1" t="s">
        <v>178</v>
      </c>
      <c r="B84" s="17">
        <v>235.0</v>
      </c>
      <c r="C84" s="17">
        <v>2.0</v>
      </c>
      <c r="D84" s="9" t="s">
        <v>85</v>
      </c>
      <c r="E84" s="9" t="s">
        <v>85</v>
      </c>
      <c r="F84" s="9" t="s">
        <v>85</v>
      </c>
      <c r="G84" s="9" t="s">
        <v>85</v>
      </c>
      <c r="H84" s="9" t="s">
        <v>85</v>
      </c>
      <c r="I84" s="9" t="s">
        <v>85</v>
      </c>
      <c r="J84" s="9" t="s">
        <v>85</v>
      </c>
      <c r="K84" s="9">
        <v>0.908108</v>
      </c>
      <c r="L84" s="9" t="s">
        <v>85</v>
      </c>
      <c r="M84" s="9" t="s">
        <v>85</v>
      </c>
      <c r="N84" s="9">
        <v>0.905405</v>
      </c>
      <c r="O84" s="9" t="s">
        <v>85</v>
      </c>
      <c r="P84" s="9" t="s">
        <v>85</v>
      </c>
      <c r="Q84" s="9" t="s">
        <v>85</v>
      </c>
      <c r="R84" s="9" t="s">
        <v>85</v>
      </c>
      <c r="S84" s="9" t="s">
        <v>85</v>
      </c>
      <c r="T84" s="9" t="s">
        <v>85</v>
      </c>
      <c r="U84" s="9" t="s">
        <v>85</v>
      </c>
      <c r="V84" s="9" t="s">
        <v>85</v>
      </c>
      <c r="W84" s="9">
        <v>0.886486</v>
      </c>
      <c r="X84" s="9" t="s">
        <v>85</v>
      </c>
      <c r="Y84" s="9" t="s">
        <v>85</v>
      </c>
      <c r="Z84" s="9">
        <v>0.905405</v>
      </c>
      <c r="AA84" s="9" t="s">
        <v>85</v>
      </c>
      <c r="AB84" s="9" t="s">
        <v>85</v>
      </c>
      <c r="AC84" s="9" t="s">
        <v>85</v>
      </c>
      <c r="AD84" s="9" t="s">
        <v>85</v>
      </c>
      <c r="AE84" s="9" t="s">
        <v>85</v>
      </c>
      <c r="AF84" s="9" t="s">
        <v>85</v>
      </c>
      <c r="AG84" s="9" t="s">
        <v>85</v>
      </c>
      <c r="AH84" s="9" t="s">
        <v>85</v>
      </c>
      <c r="AI84" s="9">
        <v>0.910811</v>
      </c>
      <c r="AJ84" s="9" t="s">
        <v>85</v>
      </c>
      <c r="AK84" s="9" t="s">
        <v>85</v>
      </c>
      <c r="AL84" s="9">
        <v>0.918919</v>
      </c>
      <c r="AM84" s="9" t="s">
        <v>85</v>
      </c>
      <c r="AN84" s="9" t="s">
        <v>85</v>
      </c>
      <c r="AO84" s="9" t="s">
        <v>85</v>
      </c>
      <c r="AP84" s="9" t="s">
        <v>85</v>
      </c>
      <c r="AQ84" s="9" t="s">
        <v>85</v>
      </c>
      <c r="AR84" s="9" t="s">
        <v>85</v>
      </c>
      <c r="AS84" s="9" t="s">
        <v>85</v>
      </c>
      <c r="AT84" s="9" t="s">
        <v>85</v>
      </c>
      <c r="AU84" s="9">
        <v>0.92973</v>
      </c>
      <c r="AV84" s="9" t="s">
        <v>85</v>
      </c>
      <c r="AW84" s="9" t="s">
        <v>85</v>
      </c>
      <c r="AX84" s="9">
        <v>0.932432</v>
      </c>
      <c r="AY84" s="9" t="s">
        <v>85</v>
      </c>
      <c r="AZ84" s="9" t="s">
        <v>85</v>
      </c>
      <c r="BA84" s="9" t="s">
        <v>85</v>
      </c>
      <c r="BB84" s="9" t="s">
        <v>85</v>
      </c>
      <c r="BC84" s="10" t="s">
        <v>85</v>
      </c>
      <c r="BD84" s="10" t="s">
        <v>85</v>
      </c>
      <c r="BE84" s="9" t="s">
        <v>85</v>
      </c>
      <c r="BF84" s="10" t="s">
        <v>85</v>
      </c>
      <c r="BG84" s="10" t="s">
        <v>85</v>
      </c>
      <c r="BH84" s="9" t="s">
        <v>85</v>
      </c>
      <c r="BI84" s="6"/>
      <c r="BJ84" s="6" t="str">
        <f t="shared" si="1"/>
        <v>12VB_Fold_Median</v>
      </c>
      <c r="BK84" s="6" t="str">
        <f t="shared" si="2"/>
        <v>12V_Fold_Median</v>
      </c>
      <c r="BL84" s="6" t="str">
        <f t="shared" si="3"/>
        <v>10VB_Fold_Median</v>
      </c>
      <c r="BM84" s="6"/>
      <c r="BN84" s="6"/>
      <c r="BO84" s="6"/>
      <c r="BP84" s="6"/>
      <c r="BQ84" s="6"/>
      <c r="BR84" s="6"/>
      <c r="BS84" s="6"/>
      <c r="BT84" s="6"/>
      <c r="BU84" s="6"/>
    </row>
    <row r="85" ht="15.75" customHeight="1">
      <c r="A85" s="1" t="s">
        <v>179</v>
      </c>
      <c r="B85" s="17">
        <v>128.0</v>
      </c>
      <c r="C85" s="17">
        <v>15.0</v>
      </c>
      <c r="D85" s="9" t="s">
        <v>85</v>
      </c>
      <c r="E85" s="9" t="s">
        <v>85</v>
      </c>
      <c r="F85" s="9" t="s">
        <v>85</v>
      </c>
      <c r="G85" s="9" t="s">
        <v>85</v>
      </c>
      <c r="H85" s="9" t="s">
        <v>85</v>
      </c>
      <c r="I85" s="9" t="s">
        <v>85</v>
      </c>
      <c r="J85" s="9" t="s">
        <v>85</v>
      </c>
      <c r="K85" s="9">
        <v>0.696</v>
      </c>
      <c r="L85" s="9" t="s">
        <v>85</v>
      </c>
      <c r="M85" s="9" t="s">
        <v>85</v>
      </c>
      <c r="N85" s="9">
        <v>0.6208</v>
      </c>
      <c r="O85" s="9" t="s">
        <v>85</v>
      </c>
      <c r="P85" s="9" t="s">
        <v>85</v>
      </c>
      <c r="Q85" s="9" t="s">
        <v>85</v>
      </c>
      <c r="R85" s="9" t="s">
        <v>85</v>
      </c>
      <c r="S85" s="9" t="s">
        <v>85</v>
      </c>
      <c r="T85" s="9" t="s">
        <v>85</v>
      </c>
      <c r="U85" s="9" t="s">
        <v>85</v>
      </c>
      <c r="V85" s="9" t="s">
        <v>85</v>
      </c>
      <c r="W85" s="9">
        <v>0.768</v>
      </c>
      <c r="X85" s="9" t="s">
        <v>85</v>
      </c>
      <c r="Y85" s="9" t="s">
        <v>85</v>
      </c>
      <c r="Z85" s="9">
        <v>0.6256</v>
      </c>
      <c r="AA85" s="9" t="s">
        <v>85</v>
      </c>
      <c r="AB85" s="9" t="s">
        <v>85</v>
      </c>
      <c r="AC85" s="9" t="s">
        <v>85</v>
      </c>
      <c r="AD85" s="9" t="s">
        <v>85</v>
      </c>
      <c r="AE85" s="9" t="s">
        <v>85</v>
      </c>
      <c r="AF85" s="9" t="s">
        <v>85</v>
      </c>
      <c r="AG85" s="9" t="s">
        <v>85</v>
      </c>
      <c r="AH85" s="9" t="s">
        <v>85</v>
      </c>
      <c r="AI85" s="9">
        <v>0.7488</v>
      </c>
      <c r="AJ85" s="9" t="s">
        <v>85</v>
      </c>
      <c r="AK85" s="9" t="s">
        <v>85</v>
      </c>
      <c r="AL85" s="9">
        <v>0.68</v>
      </c>
      <c r="AM85" s="9" t="s">
        <v>85</v>
      </c>
      <c r="AN85" s="9" t="s">
        <v>85</v>
      </c>
      <c r="AO85" s="9" t="s">
        <v>85</v>
      </c>
      <c r="AP85" s="9" t="s">
        <v>85</v>
      </c>
      <c r="AQ85" s="9" t="s">
        <v>85</v>
      </c>
      <c r="AR85" s="9" t="s">
        <v>85</v>
      </c>
      <c r="AS85" s="9" t="s">
        <v>85</v>
      </c>
      <c r="AT85" s="9" t="s">
        <v>85</v>
      </c>
      <c r="AU85" s="9">
        <v>0.704</v>
      </c>
      <c r="AV85" s="9" t="s">
        <v>85</v>
      </c>
      <c r="AW85" s="9" t="s">
        <v>85</v>
      </c>
      <c r="AX85" s="9">
        <v>0.7776</v>
      </c>
      <c r="AY85" s="9" t="s">
        <v>85</v>
      </c>
      <c r="AZ85" s="9" t="s">
        <v>85</v>
      </c>
      <c r="BA85" s="9" t="s">
        <v>85</v>
      </c>
      <c r="BB85" s="9" t="s">
        <v>85</v>
      </c>
      <c r="BC85" s="10" t="s">
        <v>85</v>
      </c>
      <c r="BD85" s="10" t="s">
        <v>85</v>
      </c>
      <c r="BE85" s="9" t="s">
        <v>85</v>
      </c>
      <c r="BF85" s="10" t="s">
        <v>85</v>
      </c>
      <c r="BG85" s="10" t="s">
        <v>85</v>
      </c>
      <c r="BH85" s="9" t="s">
        <v>85</v>
      </c>
      <c r="BI85" s="6"/>
      <c r="BJ85" s="6" t="str">
        <f t="shared" si="1"/>
        <v>12VB_Fold_Median</v>
      </c>
      <c r="BK85" s="6" t="str">
        <f t="shared" si="2"/>
        <v>8V_Fold_Median</v>
      </c>
      <c r="BL85" s="6" t="str">
        <f t="shared" si="3"/>
        <v>10V_Fold_Median</v>
      </c>
      <c r="BM85" s="6"/>
      <c r="BN85" s="6"/>
      <c r="BO85" s="6"/>
      <c r="BP85" s="6"/>
      <c r="BQ85" s="6"/>
      <c r="BR85" s="6"/>
      <c r="BS85" s="6"/>
      <c r="BT85" s="6"/>
      <c r="BU85" s="6"/>
    </row>
    <row r="86" ht="15.75" customHeight="1">
      <c r="A86" s="1" t="s">
        <v>180</v>
      </c>
      <c r="B86" s="17">
        <v>398.0</v>
      </c>
      <c r="C86" s="17">
        <v>6.0</v>
      </c>
      <c r="D86" s="9" t="s">
        <v>85</v>
      </c>
      <c r="E86" s="9" t="s">
        <v>85</v>
      </c>
      <c r="F86" s="9" t="s">
        <v>85</v>
      </c>
      <c r="G86" s="9" t="s">
        <v>85</v>
      </c>
      <c r="H86" s="9" t="s">
        <v>85</v>
      </c>
      <c r="I86" s="9" t="s">
        <v>85</v>
      </c>
      <c r="J86" s="9" t="s">
        <v>85</v>
      </c>
      <c r="K86" s="9">
        <v>0.767839</v>
      </c>
      <c r="L86" s="9" t="s">
        <v>85</v>
      </c>
      <c r="M86" s="9" t="s">
        <v>85</v>
      </c>
      <c r="N86" s="9">
        <v>0.78794</v>
      </c>
      <c r="O86" s="9" t="s">
        <v>85</v>
      </c>
      <c r="P86" s="9" t="s">
        <v>85</v>
      </c>
      <c r="Q86" s="9" t="s">
        <v>85</v>
      </c>
      <c r="R86" s="9" t="s">
        <v>85</v>
      </c>
      <c r="S86" s="9" t="s">
        <v>85</v>
      </c>
      <c r="T86" s="9" t="s">
        <v>85</v>
      </c>
      <c r="U86" s="9" t="s">
        <v>85</v>
      </c>
      <c r="V86" s="9" t="s">
        <v>85</v>
      </c>
      <c r="W86" s="9">
        <v>0.78191</v>
      </c>
      <c r="X86" s="9" t="s">
        <v>85</v>
      </c>
      <c r="Y86" s="9" t="s">
        <v>85</v>
      </c>
      <c r="Z86" s="9">
        <v>0.722613</v>
      </c>
      <c r="AA86" s="9" t="s">
        <v>85</v>
      </c>
      <c r="AB86" s="9" t="s">
        <v>85</v>
      </c>
      <c r="AC86" s="9" t="s">
        <v>85</v>
      </c>
      <c r="AD86" s="9" t="s">
        <v>85</v>
      </c>
      <c r="AE86" s="9" t="s">
        <v>85</v>
      </c>
      <c r="AF86" s="9" t="s">
        <v>85</v>
      </c>
      <c r="AG86" s="9" t="s">
        <v>85</v>
      </c>
      <c r="AH86" s="9" t="s">
        <v>85</v>
      </c>
      <c r="AI86" s="9">
        <v>0.736683</v>
      </c>
      <c r="AJ86" s="9" t="s">
        <v>85</v>
      </c>
      <c r="AK86" s="9" t="s">
        <v>85</v>
      </c>
      <c r="AL86" s="9">
        <v>0.777889</v>
      </c>
      <c r="AM86" s="9" t="s">
        <v>85</v>
      </c>
      <c r="AN86" s="9" t="s">
        <v>85</v>
      </c>
      <c r="AO86" s="9" t="s">
        <v>85</v>
      </c>
      <c r="AP86" s="9" t="s">
        <v>85</v>
      </c>
      <c r="AQ86" s="9" t="s">
        <v>85</v>
      </c>
      <c r="AR86" s="9" t="s">
        <v>85</v>
      </c>
      <c r="AS86" s="9" t="s">
        <v>85</v>
      </c>
      <c r="AT86" s="9" t="s">
        <v>85</v>
      </c>
      <c r="AU86" s="9">
        <v>0.750754</v>
      </c>
      <c r="AV86" s="9" t="s">
        <v>85</v>
      </c>
      <c r="AW86" s="9" t="s">
        <v>85</v>
      </c>
      <c r="AX86" s="9">
        <v>0.722613</v>
      </c>
      <c r="AY86" s="9" t="s">
        <v>85</v>
      </c>
      <c r="AZ86" s="9" t="s">
        <v>85</v>
      </c>
      <c r="BA86" s="9" t="s">
        <v>85</v>
      </c>
      <c r="BB86" s="9" t="s">
        <v>85</v>
      </c>
      <c r="BC86" s="10" t="s">
        <v>85</v>
      </c>
      <c r="BD86" s="10" t="s">
        <v>85</v>
      </c>
      <c r="BE86" s="9" t="s">
        <v>85</v>
      </c>
      <c r="BF86" s="10" t="s">
        <v>85</v>
      </c>
      <c r="BG86" s="10" t="s">
        <v>85</v>
      </c>
      <c r="BH86" s="9" t="s">
        <v>85</v>
      </c>
      <c r="BI86" s="6"/>
      <c r="BJ86" s="6" t="str">
        <f t="shared" si="1"/>
        <v>5VB_Fold_Median</v>
      </c>
      <c r="BK86" s="6" t="str">
        <f t="shared" si="2"/>
        <v>8V_Fold_Median</v>
      </c>
      <c r="BL86" s="6" t="str">
        <f t="shared" si="3"/>
        <v>10VB_Fold_Median</v>
      </c>
      <c r="BM86" s="6"/>
      <c r="BN86" s="6"/>
      <c r="BO86" s="6"/>
      <c r="BP86" s="6"/>
      <c r="BQ86" s="6"/>
      <c r="BR86" s="6"/>
      <c r="BS86" s="6"/>
      <c r="BT86" s="6"/>
      <c r="BU86" s="6"/>
    </row>
    <row r="87" ht="15.75" customHeight="1">
      <c r="A87" s="1" t="s">
        <v>181</v>
      </c>
      <c r="B87" s="17">
        <v>60.0</v>
      </c>
      <c r="C87" s="17">
        <v>6.0</v>
      </c>
      <c r="D87" s="9" t="s">
        <v>85</v>
      </c>
      <c r="E87" s="9" t="s">
        <v>85</v>
      </c>
      <c r="F87" s="9" t="s">
        <v>85</v>
      </c>
      <c r="G87" s="9" t="s">
        <v>85</v>
      </c>
      <c r="H87" s="9" t="s">
        <v>85</v>
      </c>
      <c r="I87" s="9" t="s">
        <v>85</v>
      </c>
      <c r="J87" s="9" t="s">
        <v>85</v>
      </c>
      <c r="K87" s="9">
        <v>0.94</v>
      </c>
      <c r="L87" s="9" t="s">
        <v>85</v>
      </c>
      <c r="M87" s="9" t="s">
        <v>85</v>
      </c>
      <c r="N87" s="9">
        <v>0.933333</v>
      </c>
      <c r="O87" s="9" t="s">
        <v>85</v>
      </c>
      <c r="P87" s="9" t="s">
        <v>85</v>
      </c>
      <c r="Q87" s="9" t="s">
        <v>85</v>
      </c>
      <c r="R87" s="9" t="s">
        <v>85</v>
      </c>
      <c r="S87" s="9" t="s">
        <v>85</v>
      </c>
      <c r="T87" s="9" t="s">
        <v>85</v>
      </c>
      <c r="U87" s="9" t="s">
        <v>85</v>
      </c>
      <c r="V87" s="9" t="s">
        <v>85</v>
      </c>
      <c r="W87" s="9">
        <v>0.923333</v>
      </c>
      <c r="X87" s="9" t="s">
        <v>85</v>
      </c>
      <c r="Y87" s="9" t="s">
        <v>85</v>
      </c>
      <c r="Z87" s="9">
        <v>0.923333</v>
      </c>
      <c r="AA87" s="9" t="s">
        <v>85</v>
      </c>
      <c r="AB87" s="9" t="s">
        <v>85</v>
      </c>
      <c r="AC87" s="9" t="s">
        <v>85</v>
      </c>
      <c r="AD87" s="9" t="s">
        <v>85</v>
      </c>
      <c r="AE87" s="9" t="s">
        <v>85</v>
      </c>
      <c r="AF87" s="9" t="s">
        <v>85</v>
      </c>
      <c r="AG87" s="9" t="s">
        <v>85</v>
      </c>
      <c r="AH87" s="9" t="s">
        <v>85</v>
      </c>
      <c r="AI87" s="9">
        <v>0.95</v>
      </c>
      <c r="AJ87" s="9" t="s">
        <v>85</v>
      </c>
      <c r="AK87" s="9" t="s">
        <v>85</v>
      </c>
      <c r="AL87" s="9">
        <v>0.95</v>
      </c>
      <c r="AM87" s="9" t="s">
        <v>85</v>
      </c>
      <c r="AN87" s="9" t="s">
        <v>85</v>
      </c>
      <c r="AO87" s="9" t="s">
        <v>85</v>
      </c>
      <c r="AP87" s="9" t="s">
        <v>85</v>
      </c>
      <c r="AQ87" s="9" t="s">
        <v>85</v>
      </c>
      <c r="AR87" s="9" t="s">
        <v>85</v>
      </c>
      <c r="AS87" s="9" t="s">
        <v>85</v>
      </c>
      <c r="AT87" s="9" t="s">
        <v>85</v>
      </c>
      <c r="AU87" s="9">
        <v>0.95</v>
      </c>
      <c r="AV87" s="9" t="s">
        <v>85</v>
      </c>
      <c r="AW87" s="9" t="s">
        <v>85</v>
      </c>
      <c r="AX87" s="9">
        <v>0.95</v>
      </c>
      <c r="AY87" s="9" t="s">
        <v>85</v>
      </c>
      <c r="AZ87" s="9" t="s">
        <v>85</v>
      </c>
      <c r="BA87" s="9" t="s">
        <v>85</v>
      </c>
      <c r="BB87" s="9" t="s">
        <v>85</v>
      </c>
      <c r="BC87" s="10" t="s">
        <v>85</v>
      </c>
      <c r="BD87" s="10" t="s">
        <v>85</v>
      </c>
      <c r="BE87" s="9" t="s">
        <v>85</v>
      </c>
      <c r="BF87" s="10" t="s">
        <v>85</v>
      </c>
      <c r="BG87" s="10" t="s">
        <v>85</v>
      </c>
      <c r="BH87" s="9" t="s">
        <v>85</v>
      </c>
      <c r="BI87" s="6"/>
      <c r="BJ87" s="6" t="str">
        <f t="shared" si="1"/>
        <v>10V_Fold_Median</v>
      </c>
      <c r="BK87" s="6" t="str">
        <f t="shared" si="2"/>
        <v>10V_Fold_Median</v>
      </c>
      <c r="BL87" s="6" t="str">
        <f t="shared" si="3"/>
        <v>10V_Fold_Median</v>
      </c>
      <c r="BM87" s="6"/>
      <c r="BN87" s="6"/>
      <c r="BO87" s="6"/>
      <c r="BP87" s="6"/>
      <c r="BQ87" s="6"/>
      <c r="BR87" s="6"/>
      <c r="BS87" s="6"/>
      <c r="BT87" s="6"/>
      <c r="BU87" s="6"/>
    </row>
    <row r="88" ht="15.75" customHeight="1">
      <c r="A88" s="1" t="s">
        <v>182</v>
      </c>
      <c r="B88" s="17">
        <v>277.0</v>
      </c>
      <c r="C88" s="17">
        <v>2.0</v>
      </c>
      <c r="D88" s="9" t="s">
        <v>85</v>
      </c>
      <c r="E88" s="9" t="s">
        <v>85</v>
      </c>
      <c r="F88" s="9" t="s">
        <v>85</v>
      </c>
      <c r="G88" s="9" t="s">
        <v>85</v>
      </c>
      <c r="H88" s="9" t="s">
        <v>85</v>
      </c>
      <c r="I88" s="9" t="s">
        <v>85</v>
      </c>
      <c r="J88" s="9" t="s">
        <v>85</v>
      </c>
      <c r="K88" s="9">
        <v>0.644737</v>
      </c>
      <c r="L88" s="9" t="s">
        <v>85</v>
      </c>
      <c r="M88" s="9" t="s">
        <v>85</v>
      </c>
      <c r="N88" s="9">
        <v>0.723684</v>
      </c>
      <c r="O88" s="9" t="s">
        <v>85</v>
      </c>
      <c r="P88" s="9" t="s">
        <v>85</v>
      </c>
      <c r="Q88" s="9" t="s">
        <v>85</v>
      </c>
      <c r="R88" s="9" t="s">
        <v>85</v>
      </c>
      <c r="S88" s="9" t="s">
        <v>85</v>
      </c>
      <c r="T88" s="9" t="s">
        <v>85</v>
      </c>
      <c r="U88" s="9" t="s">
        <v>85</v>
      </c>
      <c r="V88" s="9" t="s">
        <v>85</v>
      </c>
      <c r="W88" s="9">
        <v>0.732456</v>
      </c>
      <c r="X88" s="9" t="s">
        <v>85</v>
      </c>
      <c r="Y88" s="9" t="s">
        <v>85</v>
      </c>
      <c r="Z88" s="9">
        <v>0.697368</v>
      </c>
      <c r="AA88" s="9" t="s">
        <v>85</v>
      </c>
      <c r="AB88" s="9" t="s">
        <v>85</v>
      </c>
      <c r="AC88" s="9" t="s">
        <v>85</v>
      </c>
      <c r="AD88" s="9" t="s">
        <v>85</v>
      </c>
      <c r="AE88" s="9" t="s">
        <v>85</v>
      </c>
      <c r="AF88" s="9" t="s">
        <v>85</v>
      </c>
      <c r="AG88" s="9" t="s">
        <v>85</v>
      </c>
      <c r="AH88" s="9" t="s">
        <v>85</v>
      </c>
      <c r="AI88" s="9">
        <v>0.723684</v>
      </c>
      <c r="AJ88" s="9" t="s">
        <v>85</v>
      </c>
      <c r="AK88" s="9" t="s">
        <v>85</v>
      </c>
      <c r="AL88" s="9">
        <v>0.745614</v>
      </c>
      <c r="AM88" s="9" t="s">
        <v>85</v>
      </c>
      <c r="AN88" s="9" t="s">
        <v>85</v>
      </c>
      <c r="AO88" s="9" t="s">
        <v>85</v>
      </c>
      <c r="AP88" s="9" t="s">
        <v>85</v>
      </c>
      <c r="AQ88" s="9" t="s">
        <v>85</v>
      </c>
      <c r="AR88" s="9" t="s">
        <v>85</v>
      </c>
      <c r="AS88" s="9" t="s">
        <v>85</v>
      </c>
      <c r="AT88" s="9" t="s">
        <v>85</v>
      </c>
      <c r="AU88" s="9">
        <v>0.72807</v>
      </c>
      <c r="AV88" s="9" t="s">
        <v>85</v>
      </c>
      <c r="AW88" s="9" t="s">
        <v>85</v>
      </c>
      <c r="AX88" s="9">
        <v>0.649123</v>
      </c>
      <c r="AY88" s="9" t="s">
        <v>85</v>
      </c>
      <c r="AZ88" s="9" t="s">
        <v>85</v>
      </c>
      <c r="BA88" s="9" t="s">
        <v>85</v>
      </c>
      <c r="BB88" s="9" t="s">
        <v>85</v>
      </c>
      <c r="BC88" s="10" t="s">
        <v>85</v>
      </c>
      <c r="BD88" s="10" t="s">
        <v>85</v>
      </c>
      <c r="BE88" s="9" t="s">
        <v>85</v>
      </c>
      <c r="BF88" s="10" t="s">
        <v>85</v>
      </c>
      <c r="BG88" s="10" t="s">
        <v>85</v>
      </c>
      <c r="BH88" s="9" t="s">
        <v>85</v>
      </c>
      <c r="BI88" s="6"/>
      <c r="BJ88" s="6" t="str">
        <f t="shared" si="1"/>
        <v>10VB_Fold_Median</v>
      </c>
      <c r="BK88" s="6" t="str">
        <f t="shared" si="2"/>
        <v>8V_Fold_Median</v>
      </c>
      <c r="BL88" s="6" t="str">
        <f t="shared" si="3"/>
        <v>12V_Fold_Median</v>
      </c>
      <c r="BM88" s="6"/>
      <c r="BN88" s="6"/>
      <c r="BO88" s="6"/>
      <c r="BP88" s="6"/>
      <c r="BQ88" s="6"/>
      <c r="BR88" s="6"/>
      <c r="BS88" s="6"/>
      <c r="BT88" s="6"/>
      <c r="BU88" s="6"/>
    </row>
    <row r="89" ht="15.75" customHeight="1">
      <c r="A89" s="1" t="s">
        <v>183</v>
      </c>
      <c r="B89" s="17">
        <v>343.0</v>
      </c>
      <c r="C89" s="17">
        <v>2.0</v>
      </c>
      <c r="D89" s="9" t="s">
        <v>85</v>
      </c>
      <c r="E89" s="9" t="s">
        <v>85</v>
      </c>
      <c r="F89" s="9" t="s">
        <v>85</v>
      </c>
      <c r="G89" s="9" t="s">
        <v>85</v>
      </c>
      <c r="H89" s="9" t="s">
        <v>85</v>
      </c>
      <c r="I89" s="9" t="s">
        <v>85</v>
      </c>
      <c r="J89" s="9" t="s">
        <v>85</v>
      </c>
      <c r="K89" s="9">
        <v>0.730769</v>
      </c>
      <c r="L89" s="9" t="s">
        <v>85</v>
      </c>
      <c r="M89" s="9" t="s">
        <v>85</v>
      </c>
      <c r="N89" s="9">
        <v>0.846154</v>
      </c>
      <c r="O89" s="9" t="s">
        <v>85</v>
      </c>
      <c r="P89" s="9" t="s">
        <v>85</v>
      </c>
      <c r="Q89" s="9" t="s">
        <v>85</v>
      </c>
      <c r="R89" s="9" t="s">
        <v>85</v>
      </c>
      <c r="S89" s="9" t="s">
        <v>85</v>
      </c>
      <c r="T89" s="9" t="s">
        <v>85</v>
      </c>
      <c r="U89" s="9" t="s">
        <v>85</v>
      </c>
      <c r="V89" s="9" t="s">
        <v>85</v>
      </c>
      <c r="W89" s="9">
        <v>0.8</v>
      </c>
      <c r="X89" s="9" t="s">
        <v>85</v>
      </c>
      <c r="Y89" s="9" t="s">
        <v>85</v>
      </c>
      <c r="Z89" s="9">
        <v>0.723077</v>
      </c>
      <c r="AA89" s="9" t="s">
        <v>85</v>
      </c>
      <c r="AB89" s="9" t="s">
        <v>85</v>
      </c>
      <c r="AC89" s="9" t="s">
        <v>85</v>
      </c>
      <c r="AD89" s="9" t="s">
        <v>85</v>
      </c>
      <c r="AE89" s="9" t="s">
        <v>85</v>
      </c>
      <c r="AF89" s="9" t="s">
        <v>85</v>
      </c>
      <c r="AG89" s="9" t="s">
        <v>85</v>
      </c>
      <c r="AH89" s="9" t="s">
        <v>85</v>
      </c>
      <c r="AI89" s="9">
        <v>0.823077</v>
      </c>
      <c r="AJ89" s="9" t="s">
        <v>85</v>
      </c>
      <c r="AK89" s="9" t="s">
        <v>85</v>
      </c>
      <c r="AL89" s="9">
        <v>0.784615</v>
      </c>
      <c r="AM89" s="9" t="s">
        <v>85</v>
      </c>
      <c r="AN89" s="9" t="s">
        <v>85</v>
      </c>
      <c r="AO89" s="9" t="s">
        <v>85</v>
      </c>
      <c r="AP89" s="9" t="s">
        <v>85</v>
      </c>
      <c r="AQ89" s="9" t="s">
        <v>85</v>
      </c>
      <c r="AR89" s="9" t="s">
        <v>85</v>
      </c>
      <c r="AS89" s="9" t="s">
        <v>85</v>
      </c>
      <c r="AT89" s="9" t="s">
        <v>85</v>
      </c>
      <c r="AU89" s="9">
        <v>0.730769</v>
      </c>
      <c r="AV89" s="9" t="s">
        <v>85</v>
      </c>
      <c r="AW89" s="9" t="s">
        <v>85</v>
      </c>
      <c r="AX89" s="9">
        <v>0.707692</v>
      </c>
      <c r="AY89" s="9" t="s">
        <v>85</v>
      </c>
      <c r="AZ89" s="9" t="s">
        <v>85</v>
      </c>
      <c r="BA89" s="9" t="s">
        <v>85</v>
      </c>
      <c r="BB89" s="9" t="s">
        <v>85</v>
      </c>
      <c r="BC89" s="10" t="s">
        <v>85</v>
      </c>
      <c r="BD89" s="10" t="s">
        <v>85</v>
      </c>
      <c r="BE89" s="9" t="s">
        <v>85</v>
      </c>
      <c r="BF89" s="10" t="s">
        <v>85</v>
      </c>
      <c r="BG89" s="10" t="s">
        <v>85</v>
      </c>
      <c r="BH89" s="9" t="s">
        <v>85</v>
      </c>
      <c r="BI89" s="6"/>
      <c r="BJ89" s="6" t="str">
        <f t="shared" si="1"/>
        <v>5VB_Fold_Median</v>
      </c>
      <c r="BK89" s="6" t="str">
        <f t="shared" si="2"/>
        <v>10V_Fold_Median</v>
      </c>
      <c r="BL89" s="6" t="str">
        <f t="shared" si="3"/>
        <v>8V_Fold_Median</v>
      </c>
      <c r="BM89" s="6"/>
      <c r="BN89" s="6"/>
      <c r="BO89" s="6"/>
      <c r="BP89" s="6"/>
      <c r="BQ89" s="6"/>
      <c r="BR89" s="6"/>
      <c r="BS89" s="6"/>
      <c r="BT89" s="6"/>
      <c r="BU89" s="6"/>
    </row>
    <row r="90" ht="15.75" customHeight="1">
      <c r="A90" s="1" t="s">
        <v>184</v>
      </c>
      <c r="B90" s="17">
        <v>275.0</v>
      </c>
      <c r="C90" s="17">
        <v>4.0</v>
      </c>
      <c r="D90" s="9" t="s">
        <v>85</v>
      </c>
      <c r="E90" s="9" t="s">
        <v>85</v>
      </c>
      <c r="F90" s="9" t="s">
        <v>85</v>
      </c>
      <c r="G90" s="9" t="s">
        <v>85</v>
      </c>
      <c r="H90" s="9" t="s">
        <v>85</v>
      </c>
      <c r="I90" s="9" t="s">
        <v>85</v>
      </c>
      <c r="J90" s="9" t="s">
        <v>85</v>
      </c>
      <c r="K90" s="9">
        <v>0.99</v>
      </c>
      <c r="L90" s="9" t="s">
        <v>85</v>
      </c>
      <c r="M90" s="9" t="s">
        <v>85</v>
      </c>
      <c r="N90" s="9">
        <v>0.98</v>
      </c>
      <c r="O90" s="9" t="s">
        <v>85</v>
      </c>
      <c r="P90" s="9" t="s">
        <v>85</v>
      </c>
      <c r="Q90" s="9" t="s">
        <v>85</v>
      </c>
      <c r="R90" s="9" t="s">
        <v>85</v>
      </c>
      <c r="S90" s="9" t="s">
        <v>85</v>
      </c>
      <c r="T90" s="9" t="s">
        <v>85</v>
      </c>
      <c r="U90" s="9" t="s">
        <v>85</v>
      </c>
      <c r="V90" s="9" t="s">
        <v>85</v>
      </c>
      <c r="W90" s="9">
        <v>0.97</v>
      </c>
      <c r="X90" s="9" t="s">
        <v>85</v>
      </c>
      <c r="Y90" s="9" t="s">
        <v>85</v>
      </c>
      <c r="Z90" s="9">
        <v>0.96</v>
      </c>
      <c r="AA90" s="9" t="s">
        <v>85</v>
      </c>
      <c r="AB90" s="9" t="s">
        <v>85</v>
      </c>
      <c r="AC90" s="9" t="s">
        <v>85</v>
      </c>
      <c r="AD90" s="9" t="s">
        <v>85</v>
      </c>
      <c r="AE90" s="9" t="s">
        <v>85</v>
      </c>
      <c r="AF90" s="9" t="s">
        <v>85</v>
      </c>
      <c r="AG90" s="9" t="s">
        <v>85</v>
      </c>
      <c r="AH90" s="9" t="s">
        <v>85</v>
      </c>
      <c r="AI90" s="9">
        <v>0.99</v>
      </c>
      <c r="AJ90" s="9" t="s">
        <v>85</v>
      </c>
      <c r="AK90" s="9" t="s">
        <v>85</v>
      </c>
      <c r="AL90" s="9">
        <v>0.99</v>
      </c>
      <c r="AM90" s="9" t="s">
        <v>85</v>
      </c>
      <c r="AN90" s="9" t="s">
        <v>85</v>
      </c>
      <c r="AO90" s="9" t="s">
        <v>85</v>
      </c>
      <c r="AP90" s="9" t="s">
        <v>85</v>
      </c>
      <c r="AQ90" s="9" t="s">
        <v>85</v>
      </c>
      <c r="AR90" s="9" t="s">
        <v>85</v>
      </c>
      <c r="AS90" s="9" t="s">
        <v>85</v>
      </c>
      <c r="AT90" s="9" t="s">
        <v>85</v>
      </c>
      <c r="AU90" s="9">
        <v>0.99</v>
      </c>
      <c r="AV90" s="9" t="s">
        <v>85</v>
      </c>
      <c r="AW90" s="9" t="s">
        <v>85</v>
      </c>
      <c r="AX90" s="9">
        <v>0.99</v>
      </c>
      <c r="AY90" s="9" t="s">
        <v>85</v>
      </c>
      <c r="AZ90" s="9" t="s">
        <v>85</v>
      </c>
      <c r="BA90" s="9" t="s">
        <v>85</v>
      </c>
      <c r="BB90" s="9" t="s">
        <v>85</v>
      </c>
      <c r="BC90" s="10" t="s">
        <v>85</v>
      </c>
      <c r="BD90" s="10" t="s">
        <v>85</v>
      </c>
      <c r="BE90" s="9" t="s">
        <v>85</v>
      </c>
      <c r="BF90" s="10" t="s">
        <v>85</v>
      </c>
      <c r="BG90" s="10" t="s">
        <v>85</v>
      </c>
      <c r="BH90" s="9" t="s">
        <v>85</v>
      </c>
      <c r="BI90" s="6"/>
      <c r="BJ90" s="6" t="str">
        <f t="shared" si="1"/>
        <v>5V_Fold_Median</v>
      </c>
      <c r="BK90" s="6" t="str">
        <f t="shared" si="2"/>
        <v>5V_Fold_Median</v>
      </c>
      <c r="BL90" s="6" t="str">
        <f t="shared" si="3"/>
        <v>5V_Fold_Median</v>
      </c>
      <c r="BM90" s="6"/>
      <c r="BN90" s="6"/>
      <c r="BO90" s="6"/>
      <c r="BP90" s="6"/>
      <c r="BQ90" s="6"/>
      <c r="BR90" s="6"/>
      <c r="BS90" s="6"/>
      <c r="BT90" s="6"/>
      <c r="BU90" s="6"/>
    </row>
    <row r="91" ht="15.75" customHeight="1">
      <c r="A91" s="1" t="s">
        <v>185</v>
      </c>
      <c r="B91" s="17">
        <v>82.0</v>
      </c>
      <c r="C91" s="17">
        <v>2.0</v>
      </c>
      <c r="D91" s="9" t="s">
        <v>85</v>
      </c>
      <c r="E91" s="9" t="s">
        <v>85</v>
      </c>
      <c r="F91" s="9" t="s">
        <v>85</v>
      </c>
      <c r="G91" s="9" t="s">
        <v>85</v>
      </c>
      <c r="H91" s="9" t="s">
        <v>85</v>
      </c>
      <c r="I91" s="9" t="s">
        <v>85</v>
      </c>
      <c r="J91" s="9" t="s">
        <v>85</v>
      </c>
      <c r="K91" s="9">
        <v>0.849868</v>
      </c>
      <c r="L91" s="9" t="s">
        <v>85</v>
      </c>
      <c r="M91" s="9" t="s">
        <v>85</v>
      </c>
      <c r="N91" s="9">
        <v>0.838455</v>
      </c>
      <c r="O91" s="9" t="s">
        <v>85</v>
      </c>
      <c r="P91" s="9" t="s">
        <v>85</v>
      </c>
      <c r="Q91" s="9" t="s">
        <v>85</v>
      </c>
      <c r="R91" s="9" t="s">
        <v>85</v>
      </c>
      <c r="S91" s="9" t="s">
        <v>85</v>
      </c>
      <c r="T91" s="9" t="s">
        <v>85</v>
      </c>
      <c r="U91" s="9" t="s">
        <v>85</v>
      </c>
      <c r="V91" s="9" t="s">
        <v>85</v>
      </c>
      <c r="W91" s="9">
        <v>0.806848</v>
      </c>
      <c r="X91" s="9" t="s">
        <v>85</v>
      </c>
      <c r="Y91" s="9" t="s">
        <v>85</v>
      </c>
      <c r="Z91" s="9">
        <v>0.824407</v>
      </c>
      <c r="AA91" s="9" t="s">
        <v>85</v>
      </c>
      <c r="AB91" s="9" t="s">
        <v>85</v>
      </c>
      <c r="AC91" s="9" t="s">
        <v>85</v>
      </c>
      <c r="AD91" s="9" t="s">
        <v>85</v>
      </c>
      <c r="AE91" s="9" t="s">
        <v>85</v>
      </c>
      <c r="AF91" s="9" t="s">
        <v>85</v>
      </c>
      <c r="AG91" s="9" t="s">
        <v>85</v>
      </c>
      <c r="AH91" s="9" t="s">
        <v>85</v>
      </c>
      <c r="AI91" s="9">
        <v>0.877085</v>
      </c>
      <c r="AJ91" s="9" t="s">
        <v>85</v>
      </c>
      <c r="AK91" s="9" t="s">
        <v>85</v>
      </c>
      <c r="AL91" s="9">
        <v>0.85777</v>
      </c>
      <c r="AM91" s="9" t="s">
        <v>85</v>
      </c>
      <c r="AN91" s="9" t="s">
        <v>85</v>
      </c>
      <c r="AO91" s="9" t="s">
        <v>85</v>
      </c>
      <c r="AP91" s="9" t="s">
        <v>85</v>
      </c>
      <c r="AQ91" s="9" t="s">
        <v>85</v>
      </c>
      <c r="AR91" s="9" t="s">
        <v>85</v>
      </c>
      <c r="AS91" s="9" t="s">
        <v>85</v>
      </c>
      <c r="AT91" s="9" t="s">
        <v>85</v>
      </c>
      <c r="AU91" s="9">
        <v>0.777875</v>
      </c>
      <c r="AV91" s="9" t="s">
        <v>85</v>
      </c>
      <c r="AW91" s="9" t="s">
        <v>85</v>
      </c>
      <c r="AX91" s="9">
        <v>0.768218</v>
      </c>
      <c r="AY91" s="9" t="s">
        <v>85</v>
      </c>
      <c r="AZ91" s="9" t="s">
        <v>85</v>
      </c>
      <c r="BA91" s="9" t="s">
        <v>85</v>
      </c>
      <c r="BB91" s="9" t="s">
        <v>85</v>
      </c>
      <c r="BC91" s="10" t="s">
        <v>85</v>
      </c>
      <c r="BD91" s="10" t="s">
        <v>85</v>
      </c>
      <c r="BE91" s="9" t="s">
        <v>85</v>
      </c>
      <c r="BF91" s="10" t="s">
        <v>85</v>
      </c>
      <c r="BG91" s="10" t="s">
        <v>85</v>
      </c>
      <c r="BH91" s="9" t="s">
        <v>85</v>
      </c>
      <c r="BI91" s="6"/>
      <c r="BJ91" s="6" t="str">
        <f t="shared" si="1"/>
        <v>10V_Fold_Median</v>
      </c>
      <c r="BK91" s="6" t="str">
        <f t="shared" si="2"/>
        <v>10VB_Fold_Median</v>
      </c>
      <c r="BL91" s="6" t="str">
        <f t="shared" si="3"/>
        <v>5V_Fold_Median</v>
      </c>
      <c r="BM91" s="6"/>
      <c r="BN91" s="6"/>
      <c r="BO91" s="6"/>
      <c r="BP91" s="6"/>
      <c r="BQ91" s="6"/>
      <c r="BR91" s="6"/>
      <c r="BS91" s="6"/>
      <c r="BT91" s="6"/>
      <c r="BU91" s="6"/>
    </row>
    <row r="92" ht="15.75" customHeight="1">
      <c r="A92" s="1" t="s">
        <v>186</v>
      </c>
      <c r="B92" s="17">
        <v>128.0</v>
      </c>
      <c r="C92" s="17">
        <v>4.0</v>
      </c>
      <c r="D92" s="9" t="s">
        <v>85</v>
      </c>
      <c r="E92" s="9" t="s">
        <v>85</v>
      </c>
      <c r="F92" s="9" t="s">
        <v>85</v>
      </c>
      <c r="G92" s="9" t="s">
        <v>85</v>
      </c>
      <c r="H92" s="9" t="s">
        <v>85</v>
      </c>
      <c r="I92" s="9" t="s">
        <v>85</v>
      </c>
      <c r="J92" s="9" t="s">
        <v>85</v>
      </c>
      <c r="K92" s="9">
        <v>0.55275</v>
      </c>
      <c r="L92" s="9" t="s">
        <v>85</v>
      </c>
      <c r="M92" s="9" t="s">
        <v>85</v>
      </c>
      <c r="N92" s="9">
        <v>0.528</v>
      </c>
      <c r="O92" s="9" t="s">
        <v>85</v>
      </c>
      <c r="P92" s="9" t="s">
        <v>85</v>
      </c>
      <c r="Q92" s="9" t="s">
        <v>85</v>
      </c>
      <c r="R92" s="9" t="s">
        <v>85</v>
      </c>
      <c r="S92" s="9" t="s">
        <v>85</v>
      </c>
      <c r="T92" s="9" t="s">
        <v>85</v>
      </c>
      <c r="U92" s="9" t="s">
        <v>85</v>
      </c>
      <c r="V92" s="9" t="s">
        <v>85</v>
      </c>
      <c r="W92" s="9">
        <v>0.60325</v>
      </c>
      <c r="X92" s="9" t="s">
        <v>85</v>
      </c>
      <c r="Y92" s="9" t="s">
        <v>85</v>
      </c>
      <c r="Z92" s="9">
        <v>0.446</v>
      </c>
      <c r="AA92" s="9" t="s">
        <v>85</v>
      </c>
      <c r="AB92" s="9" t="s">
        <v>85</v>
      </c>
      <c r="AC92" s="9" t="s">
        <v>85</v>
      </c>
      <c r="AD92" s="9" t="s">
        <v>85</v>
      </c>
      <c r="AE92" s="9" t="s">
        <v>85</v>
      </c>
      <c r="AF92" s="9" t="s">
        <v>85</v>
      </c>
      <c r="AG92" s="9" t="s">
        <v>85</v>
      </c>
      <c r="AH92" s="9" t="s">
        <v>85</v>
      </c>
      <c r="AI92" s="9">
        <v>0.2855</v>
      </c>
      <c r="AJ92" s="9" t="s">
        <v>85</v>
      </c>
      <c r="AK92" s="9" t="s">
        <v>85</v>
      </c>
      <c r="AL92" s="9">
        <v>0.269</v>
      </c>
      <c r="AM92" s="9" t="s">
        <v>85</v>
      </c>
      <c r="AN92" s="9" t="s">
        <v>85</v>
      </c>
      <c r="AO92" s="9" t="s">
        <v>85</v>
      </c>
      <c r="AP92" s="9" t="s">
        <v>85</v>
      </c>
      <c r="AQ92" s="9" t="s">
        <v>85</v>
      </c>
      <c r="AR92" s="9" t="s">
        <v>85</v>
      </c>
      <c r="AS92" s="9" t="s">
        <v>85</v>
      </c>
      <c r="AT92" s="9" t="s">
        <v>85</v>
      </c>
      <c r="AU92" s="9">
        <v>0.4195</v>
      </c>
      <c r="AV92" s="9" t="s">
        <v>85</v>
      </c>
      <c r="AW92" s="9" t="s">
        <v>85</v>
      </c>
      <c r="AX92" s="9">
        <v>0.27725</v>
      </c>
      <c r="AY92" s="9" t="s">
        <v>85</v>
      </c>
      <c r="AZ92" s="9" t="s">
        <v>85</v>
      </c>
      <c r="BA92" s="9" t="s">
        <v>85</v>
      </c>
      <c r="BB92" s="9" t="s">
        <v>85</v>
      </c>
      <c r="BC92" s="10" t="s">
        <v>85</v>
      </c>
      <c r="BD92" s="10" t="s">
        <v>85</v>
      </c>
      <c r="BE92" s="9" t="s">
        <v>85</v>
      </c>
      <c r="BF92" s="10" t="s">
        <v>85</v>
      </c>
      <c r="BG92" s="10" t="s">
        <v>85</v>
      </c>
      <c r="BH92" s="9" t="s">
        <v>85</v>
      </c>
      <c r="BI92" s="6"/>
      <c r="BJ92" s="6" t="str">
        <f t="shared" si="1"/>
        <v>8V_Fold_Median</v>
      </c>
      <c r="BK92" s="6" t="str">
        <f t="shared" si="2"/>
        <v>5V_Fold_Median</v>
      </c>
      <c r="BL92" s="6" t="str">
        <f t="shared" si="3"/>
        <v>5VB_Fold_Median</v>
      </c>
      <c r="BM92" s="6"/>
      <c r="BN92" s="6"/>
      <c r="BO92" s="6"/>
      <c r="BP92" s="6"/>
      <c r="BQ92" s="6"/>
      <c r="BR92" s="6"/>
      <c r="BS92" s="6"/>
      <c r="BT92" s="6"/>
      <c r="BU92" s="6"/>
    </row>
    <row r="93" ht="15.75" customHeight="1">
      <c r="A93" s="1" t="s">
        <v>187</v>
      </c>
      <c r="B93" s="17">
        <v>150.0</v>
      </c>
      <c r="C93" s="17">
        <v>3.0</v>
      </c>
      <c r="D93" s="9" t="s">
        <v>85</v>
      </c>
      <c r="E93" s="9" t="s">
        <v>85</v>
      </c>
      <c r="F93" s="9" t="s">
        <v>85</v>
      </c>
      <c r="G93" s="9" t="s">
        <v>85</v>
      </c>
      <c r="H93" s="9" t="s">
        <v>85</v>
      </c>
      <c r="I93" s="9" t="s">
        <v>85</v>
      </c>
      <c r="J93" s="9" t="s">
        <v>85</v>
      </c>
      <c r="K93" s="9">
        <v>0.777778</v>
      </c>
      <c r="L93" s="9" t="s">
        <v>85</v>
      </c>
      <c r="M93" s="9" t="s">
        <v>85</v>
      </c>
      <c r="N93" s="9">
        <v>0.791667</v>
      </c>
      <c r="O93" s="9" t="s">
        <v>85</v>
      </c>
      <c r="P93" s="9" t="s">
        <v>85</v>
      </c>
      <c r="Q93" s="9" t="s">
        <v>85</v>
      </c>
      <c r="R93" s="9" t="s">
        <v>85</v>
      </c>
      <c r="S93" s="9" t="s">
        <v>85</v>
      </c>
      <c r="T93" s="9" t="s">
        <v>85</v>
      </c>
      <c r="U93" s="9" t="s">
        <v>85</v>
      </c>
      <c r="V93" s="9" t="s">
        <v>85</v>
      </c>
      <c r="W93" s="9">
        <v>0.902778</v>
      </c>
      <c r="X93" s="9" t="s">
        <v>85</v>
      </c>
      <c r="Y93" s="9" t="s">
        <v>85</v>
      </c>
      <c r="Z93" s="9">
        <v>0.9375</v>
      </c>
      <c r="AA93" s="9" t="s">
        <v>85</v>
      </c>
      <c r="AB93" s="9" t="s">
        <v>85</v>
      </c>
      <c r="AC93" s="9" t="s">
        <v>85</v>
      </c>
      <c r="AD93" s="9" t="s">
        <v>85</v>
      </c>
      <c r="AE93" s="9" t="s">
        <v>85</v>
      </c>
      <c r="AF93" s="9" t="s">
        <v>85</v>
      </c>
      <c r="AG93" s="9" t="s">
        <v>85</v>
      </c>
      <c r="AH93" s="9" t="s">
        <v>85</v>
      </c>
      <c r="AI93" s="9">
        <v>0.868056</v>
      </c>
      <c r="AJ93" s="9" t="s">
        <v>85</v>
      </c>
      <c r="AK93" s="9" t="s">
        <v>85</v>
      </c>
      <c r="AL93" s="9">
        <v>0.881944</v>
      </c>
      <c r="AM93" s="9" t="s">
        <v>85</v>
      </c>
      <c r="AN93" s="9" t="s">
        <v>85</v>
      </c>
      <c r="AO93" s="9" t="s">
        <v>85</v>
      </c>
      <c r="AP93" s="9" t="s">
        <v>85</v>
      </c>
      <c r="AQ93" s="9" t="s">
        <v>85</v>
      </c>
      <c r="AR93" s="9" t="s">
        <v>85</v>
      </c>
      <c r="AS93" s="9" t="s">
        <v>85</v>
      </c>
      <c r="AT93" s="9" t="s">
        <v>85</v>
      </c>
      <c r="AU93" s="9">
        <v>0.861111</v>
      </c>
      <c r="AV93" s="9" t="s">
        <v>85</v>
      </c>
      <c r="AW93" s="9" t="s">
        <v>85</v>
      </c>
      <c r="AX93" s="9">
        <v>0.861111</v>
      </c>
      <c r="AY93" s="9" t="s">
        <v>85</v>
      </c>
      <c r="AZ93" s="9" t="s">
        <v>85</v>
      </c>
      <c r="BA93" s="9" t="s">
        <v>85</v>
      </c>
      <c r="BB93" s="9" t="s">
        <v>85</v>
      </c>
      <c r="BC93" s="10" t="s">
        <v>85</v>
      </c>
      <c r="BD93" s="10" t="s">
        <v>85</v>
      </c>
      <c r="BE93" s="9" t="s">
        <v>85</v>
      </c>
      <c r="BF93" s="10" t="s">
        <v>85</v>
      </c>
      <c r="BG93" s="10" t="s">
        <v>85</v>
      </c>
      <c r="BH93" s="9" t="s">
        <v>85</v>
      </c>
      <c r="BI93" s="6"/>
      <c r="BJ93" s="6" t="str">
        <f t="shared" si="1"/>
        <v>8VB_Fold_Median</v>
      </c>
      <c r="BK93" s="6" t="str">
        <f t="shared" si="2"/>
        <v>8V_Fold_Median</v>
      </c>
      <c r="BL93" s="6" t="str">
        <f t="shared" si="3"/>
        <v>10VB_Fold_Median</v>
      </c>
      <c r="BM93" s="6"/>
      <c r="BN93" s="6"/>
      <c r="BO93" s="6"/>
      <c r="BP93" s="6"/>
      <c r="BQ93" s="6"/>
      <c r="BR93" s="6"/>
      <c r="BS93" s="6"/>
      <c r="BT93" s="6"/>
      <c r="BU93" s="6"/>
    </row>
    <row r="94" ht="15.75" customHeight="1">
      <c r="A94" s="1" t="s">
        <v>188</v>
      </c>
      <c r="B94" s="17">
        <v>945.0</v>
      </c>
      <c r="C94" s="17">
        <v>8.0</v>
      </c>
      <c r="D94" s="9" t="s">
        <v>85</v>
      </c>
      <c r="E94" s="9" t="s">
        <v>85</v>
      </c>
      <c r="F94" s="9" t="s">
        <v>85</v>
      </c>
      <c r="G94" s="9" t="s">
        <v>85</v>
      </c>
      <c r="H94" s="9" t="s">
        <v>85</v>
      </c>
      <c r="I94" s="9" t="s">
        <v>85</v>
      </c>
      <c r="J94" s="9" t="s">
        <v>85</v>
      </c>
      <c r="K94" s="9">
        <v>0.660804</v>
      </c>
      <c r="L94" s="9" t="s">
        <v>85</v>
      </c>
      <c r="M94" s="9" t="s">
        <v>85</v>
      </c>
      <c r="N94" s="9">
        <v>0.617253</v>
      </c>
      <c r="O94" s="9" t="s">
        <v>85</v>
      </c>
      <c r="P94" s="9" t="s">
        <v>85</v>
      </c>
      <c r="Q94" s="9" t="s">
        <v>85</v>
      </c>
      <c r="R94" s="9" t="s">
        <v>85</v>
      </c>
      <c r="S94" s="9" t="s">
        <v>85</v>
      </c>
      <c r="T94" s="9" t="s">
        <v>85</v>
      </c>
      <c r="U94" s="9" t="s">
        <v>85</v>
      </c>
      <c r="V94" s="9" t="s">
        <v>85</v>
      </c>
      <c r="W94" s="9">
        <v>0.824958</v>
      </c>
      <c r="X94" s="9" t="s">
        <v>85</v>
      </c>
      <c r="Y94" s="9" t="s">
        <v>85</v>
      </c>
      <c r="Z94" s="9">
        <v>0.563652</v>
      </c>
      <c r="AA94" s="9" t="s">
        <v>85</v>
      </c>
      <c r="AB94" s="9" t="s">
        <v>85</v>
      </c>
      <c r="AC94" s="9" t="s">
        <v>85</v>
      </c>
      <c r="AD94" s="9" t="s">
        <v>85</v>
      </c>
      <c r="AE94" s="9" t="s">
        <v>85</v>
      </c>
      <c r="AF94" s="9" t="s">
        <v>85</v>
      </c>
      <c r="AG94" s="9" t="s">
        <v>85</v>
      </c>
      <c r="AH94" s="9" t="s">
        <v>85</v>
      </c>
      <c r="AI94" s="9">
        <v>0.829704</v>
      </c>
      <c r="AJ94" s="9" t="s">
        <v>85</v>
      </c>
      <c r="AK94" s="9" t="s">
        <v>85</v>
      </c>
      <c r="AL94" s="9">
        <v>0.828587</v>
      </c>
      <c r="AM94" s="9" t="s">
        <v>85</v>
      </c>
      <c r="AN94" s="9" t="s">
        <v>85</v>
      </c>
      <c r="AO94" s="9" t="s">
        <v>85</v>
      </c>
      <c r="AP94" s="9" t="s">
        <v>85</v>
      </c>
      <c r="AQ94" s="9" t="s">
        <v>85</v>
      </c>
      <c r="AR94" s="9" t="s">
        <v>85</v>
      </c>
      <c r="AS94" s="9" t="s">
        <v>85</v>
      </c>
      <c r="AT94" s="9" t="s">
        <v>85</v>
      </c>
      <c r="AU94" s="9">
        <v>0.675042</v>
      </c>
      <c r="AV94" s="9" t="s">
        <v>85</v>
      </c>
      <c r="AW94" s="9" t="s">
        <v>85</v>
      </c>
      <c r="AX94" s="9">
        <v>0.740089</v>
      </c>
      <c r="AY94" s="9" t="s">
        <v>85</v>
      </c>
      <c r="AZ94" s="9" t="s">
        <v>85</v>
      </c>
      <c r="BA94" s="9" t="s">
        <v>85</v>
      </c>
      <c r="BB94" s="9" t="s">
        <v>85</v>
      </c>
      <c r="BC94" s="10" t="s">
        <v>85</v>
      </c>
      <c r="BD94" s="10" t="s">
        <v>85</v>
      </c>
      <c r="BE94" s="9" t="s">
        <v>85</v>
      </c>
      <c r="BF94" s="10" t="s">
        <v>85</v>
      </c>
      <c r="BG94" s="10" t="s">
        <v>85</v>
      </c>
      <c r="BH94" s="9" t="s">
        <v>85</v>
      </c>
      <c r="BI94" s="6"/>
      <c r="BJ94" s="6" t="str">
        <f t="shared" si="1"/>
        <v>10V_Fold_Median</v>
      </c>
      <c r="BK94" s="6" t="str">
        <f t="shared" si="2"/>
        <v>10VB_Fold_Median</v>
      </c>
      <c r="BL94" s="6" t="str">
        <f t="shared" si="3"/>
        <v>8V_Fold_Median</v>
      </c>
      <c r="BM94" s="6"/>
      <c r="BN94" s="6"/>
      <c r="BO94" s="6"/>
      <c r="BP94" s="6"/>
      <c r="BQ94" s="6"/>
      <c r="BR94" s="6"/>
      <c r="BS94" s="6"/>
      <c r="BT94" s="6"/>
      <c r="BU94" s="6"/>
    </row>
    <row r="95" ht="15.75" customHeight="1">
      <c r="A95" s="1" t="s">
        <v>189</v>
      </c>
      <c r="B95" s="17">
        <v>152.0</v>
      </c>
      <c r="C95" s="17">
        <v>2.0</v>
      </c>
      <c r="D95" s="9" t="s">
        <v>85</v>
      </c>
      <c r="E95" s="9" t="s">
        <v>85</v>
      </c>
      <c r="F95" s="9" t="s">
        <v>85</v>
      </c>
      <c r="G95" s="9" t="s">
        <v>85</v>
      </c>
      <c r="H95" s="9" t="s">
        <v>85</v>
      </c>
      <c r="I95" s="9" t="s">
        <v>85</v>
      </c>
      <c r="J95" s="9" t="s">
        <v>85</v>
      </c>
      <c r="K95" s="9">
        <v>0.892116</v>
      </c>
      <c r="L95" s="9" t="s">
        <v>85</v>
      </c>
      <c r="M95" s="9" t="s">
        <v>85</v>
      </c>
      <c r="N95" s="9">
        <v>0.892116</v>
      </c>
      <c r="O95" s="9" t="s">
        <v>85</v>
      </c>
      <c r="P95" s="9" t="s">
        <v>85</v>
      </c>
      <c r="Q95" s="9" t="s">
        <v>85</v>
      </c>
      <c r="R95" s="9" t="s">
        <v>85</v>
      </c>
      <c r="S95" s="9" t="s">
        <v>85</v>
      </c>
      <c r="T95" s="9" t="s">
        <v>85</v>
      </c>
      <c r="U95" s="9" t="s">
        <v>85</v>
      </c>
      <c r="V95" s="9" t="s">
        <v>85</v>
      </c>
      <c r="W95" s="9">
        <v>0.892116</v>
      </c>
      <c r="X95" s="9" t="s">
        <v>85</v>
      </c>
      <c r="Y95" s="9" t="s">
        <v>85</v>
      </c>
      <c r="Z95" s="9">
        <v>0.892116</v>
      </c>
      <c r="AA95" s="9" t="s">
        <v>85</v>
      </c>
      <c r="AB95" s="9" t="s">
        <v>85</v>
      </c>
      <c r="AC95" s="9" t="s">
        <v>85</v>
      </c>
      <c r="AD95" s="9" t="s">
        <v>85</v>
      </c>
      <c r="AE95" s="9" t="s">
        <v>85</v>
      </c>
      <c r="AF95" s="9" t="s">
        <v>85</v>
      </c>
      <c r="AG95" s="9" t="s">
        <v>85</v>
      </c>
      <c r="AH95" s="9" t="s">
        <v>85</v>
      </c>
      <c r="AI95" s="9">
        <v>0.892116</v>
      </c>
      <c r="AJ95" s="9" t="s">
        <v>85</v>
      </c>
      <c r="AK95" s="9" t="s">
        <v>85</v>
      </c>
      <c r="AL95" s="9">
        <v>0.892116</v>
      </c>
      <c r="AM95" s="9" t="s">
        <v>85</v>
      </c>
      <c r="AN95" s="9" t="s">
        <v>85</v>
      </c>
      <c r="AO95" s="9" t="s">
        <v>85</v>
      </c>
      <c r="AP95" s="9" t="s">
        <v>85</v>
      </c>
      <c r="AQ95" s="9" t="s">
        <v>85</v>
      </c>
      <c r="AR95" s="9" t="s">
        <v>85</v>
      </c>
      <c r="AS95" s="9" t="s">
        <v>85</v>
      </c>
      <c r="AT95" s="9" t="s">
        <v>85</v>
      </c>
      <c r="AU95" s="9">
        <v>0.892116</v>
      </c>
      <c r="AV95" s="9" t="s">
        <v>85</v>
      </c>
      <c r="AW95" s="9" t="s">
        <v>85</v>
      </c>
      <c r="AX95" s="9">
        <v>0.892116</v>
      </c>
      <c r="AY95" s="9" t="s">
        <v>85</v>
      </c>
      <c r="AZ95" s="9" t="s">
        <v>85</v>
      </c>
      <c r="BA95" s="9" t="s">
        <v>85</v>
      </c>
      <c r="BB95" s="9" t="s">
        <v>85</v>
      </c>
      <c r="BC95" s="10" t="s">
        <v>85</v>
      </c>
      <c r="BD95" s="10" t="s">
        <v>85</v>
      </c>
      <c r="BE95" s="9" t="s">
        <v>85</v>
      </c>
      <c r="BF95" s="10" t="s">
        <v>85</v>
      </c>
      <c r="BG95" s="10" t="s">
        <v>85</v>
      </c>
      <c r="BH95" s="9" t="s">
        <v>85</v>
      </c>
      <c r="BI95" s="6"/>
      <c r="BJ95" s="6" t="str">
        <f t="shared" si="1"/>
        <v>5V_Fold_Median</v>
      </c>
      <c r="BK95" s="6" t="str">
        <f t="shared" si="2"/>
        <v>5V_Fold_Median</v>
      </c>
      <c r="BL95" s="6" t="str">
        <f t="shared" si="3"/>
        <v>5V_Fold_Median</v>
      </c>
      <c r="BM95" s="6"/>
      <c r="BN95" s="6"/>
      <c r="BO95" s="6"/>
      <c r="BP95" s="6"/>
      <c r="BQ95" s="6"/>
      <c r="BR95" s="6"/>
      <c r="BS95" s="6"/>
      <c r="BT95" s="6"/>
      <c r="BU95" s="6"/>
    </row>
    <row r="96" ht="15.75" customHeight="1">
      <c r="A96" s="1" t="s">
        <v>190</v>
      </c>
      <c r="B96" s="17">
        <v>234.0</v>
      </c>
      <c r="C96" s="17">
        <v>2.0</v>
      </c>
      <c r="D96" s="9" t="s">
        <v>85</v>
      </c>
      <c r="E96" s="9" t="s">
        <v>85</v>
      </c>
      <c r="F96" s="9" t="s">
        <v>85</v>
      </c>
      <c r="G96" s="9" t="s">
        <v>85</v>
      </c>
      <c r="H96" s="9" t="s">
        <v>85</v>
      </c>
      <c r="I96" s="9" t="s">
        <v>85</v>
      </c>
      <c r="J96" s="9" t="s">
        <v>85</v>
      </c>
      <c r="K96" s="9">
        <v>0.5</v>
      </c>
      <c r="L96" s="9" t="s">
        <v>85</v>
      </c>
      <c r="M96" s="9" t="s">
        <v>85</v>
      </c>
      <c r="N96" s="9">
        <v>0.5</v>
      </c>
      <c r="O96" s="9" t="s">
        <v>85</v>
      </c>
      <c r="P96" s="9" t="s">
        <v>85</v>
      </c>
      <c r="Q96" s="9" t="s">
        <v>85</v>
      </c>
      <c r="R96" s="9" t="s">
        <v>85</v>
      </c>
      <c r="S96" s="9" t="s">
        <v>85</v>
      </c>
      <c r="T96" s="9" t="s">
        <v>85</v>
      </c>
      <c r="U96" s="9" t="s">
        <v>85</v>
      </c>
      <c r="V96" s="9" t="s">
        <v>85</v>
      </c>
      <c r="W96" s="9">
        <v>0.5</v>
      </c>
      <c r="X96" s="9" t="s">
        <v>85</v>
      </c>
      <c r="Y96" s="9" t="s">
        <v>85</v>
      </c>
      <c r="Z96" s="9">
        <v>0.5</v>
      </c>
      <c r="AA96" s="9" t="s">
        <v>85</v>
      </c>
      <c r="AB96" s="9" t="s">
        <v>85</v>
      </c>
      <c r="AC96" s="9" t="s">
        <v>85</v>
      </c>
      <c r="AD96" s="9" t="s">
        <v>85</v>
      </c>
      <c r="AE96" s="9" t="s">
        <v>85</v>
      </c>
      <c r="AF96" s="9" t="s">
        <v>85</v>
      </c>
      <c r="AG96" s="9" t="s">
        <v>85</v>
      </c>
      <c r="AH96" s="9" t="s">
        <v>85</v>
      </c>
      <c r="AI96" s="9">
        <v>0.5</v>
      </c>
      <c r="AJ96" s="9" t="s">
        <v>85</v>
      </c>
      <c r="AK96" s="9" t="s">
        <v>85</v>
      </c>
      <c r="AL96" s="9">
        <v>0.5</v>
      </c>
      <c r="AM96" s="9" t="s">
        <v>85</v>
      </c>
      <c r="AN96" s="9" t="s">
        <v>85</v>
      </c>
      <c r="AO96" s="9" t="s">
        <v>85</v>
      </c>
      <c r="AP96" s="9" t="s">
        <v>85</v>
      </c>
      <c r="AQ96" s="9" t="s">
        <v>85</v>
      </c>
      <c r="AR96" s="9" t="s">
        <v>85</v>
      </c>
      <c r="AS96" s="9" t="s">
        <v>85</v>
      </c>
      <c r="AT96" s="9" t="s">
        <v>85</v>
      </c>
      <c r="AU96" s="9">
        <v>0.5</v>
      </c>
      <c r="AV96" s="9" t="s">
        <v>85</v>
      </c>
      <c r="AW96" s="9" t="s">
        <v>85</v>
      </c>
      <c r="AX96" s="9">
        <v>0.5</v>
      </c>
      <c r="AY96" s="9" t="s">
        <v>85</v>
      </c>
      <c r="AZ96" s="9" t="s">
        <v>85</v>
      </c>
      <c r="BA96" s="9" t="s">
        <v>85</v>
      </c>
      <c r="BB96" s="9" t="s">
        <v>85</v>
      </c>
      <c r="BC96" s="10" t="s">
        <v>85</v>
      </c>
      <c r="BD96" s="10" t="s">
        <v>85</v>
      </c>
      <c r="BE96" s="9" t="s">
        <v>85</v>
      </c>
      <c r="BF96" s="10" t="s">
        <v>85</v>
      </c>
      <c r="BG96" s="10" t="s">
        <v>85</v>
      </c>
      <c r="BH96" s="9" t="s">
        <v>85</v>
      </c>
      <c r="BI96" s="6"/>
      <c r="BJ96" s="6" t="str">
        <f t="shared" si="1"/>
        <v>5V_Fold_Median</v>
      </c>
      <c r="BK96" s="6" t="str">
        <f t="shared" si="2"/>
        <v>5V_Fold_Median</v>
      </c>
      <c r="BL96" s="6" t="str">
        <f t="shared" si="3"/>
        <v>5V_Fold_Median</v>
      </c>
      <c r="BM96" s="6"/>
      <c r="BN96" s="6"/>
      <c r="BO96" s="6"/>
      <c r="BP96" s="6"/>
      <c r="BQ96" s="6"/>
      <c r="BR96" s="6"/>
      <c r="BS96" s="6"/>
      <c r="BT96" s="6"/>
      <c r="BU96" s="6"/>
    </row>
    <row r="97" ht="15.75" customHeight="1">
      <c r="A97" s="1" t="s">
        <v>191</v>
      </c>
      <c r="B97" s="17">
        <v>270.0</v>
      </c>
      <c r="C97" s="17">
        <v>25.0</v>
      </c>
      <c r="D97" s="9" t="s">
        <v>85</v>
      </c>
      <c r="E97" s="9" t="s">
        <v>85</v>
      </c>
      <c r="F97" s="9" t="s">
        <v>85</v>
      </c>
      <c r="G97" s="9" t="s">
        <v>85</v>
      </c>
      <c r="H97" s="9" t="s">
        <v>85</v>
      </c>
      <c r="I97" s="9" t="s">
        <v>85</v>
      </c>
      <c r="J97" s="9" t="s">
        <v>85</v>
      </c>
      <c r="K97" s="9">
        <v>0.393417</v>
      </c>
      <c r="L97" s="9" t="s">
        <v>85</v>
      </c>
      <c r="M97" s="9" t="s">
        <v>85</v>
      </c>
      <c r="N97" s="9">
        <v>0.382445</v>
      </c>
      <c r="O97" s="9" t="s">
        <v>85</v>
      </c>
      <c r="P97" s="9" t="s">
        <v>85</v>
      </c>
      <c r="Q97" s="9" t="s">
        <v>85</v>
      </c>
      <c r="R97" s="9" t="s">
        <v>85</v>
      </c>
      <c r="S97" s="9" t="s">
        <v>85</v>
      </c>
      <c r="T97" s="9" t="s">
        <v>85</v>
      </c>
      <c r="U97" s="9" t="s">
        <v>85</v>
      </c>
      <c r="V97" s="9" t="s">
        <v>85</v>
      </c>
      <c r="W97" s="9">
        <v>0.407524</v>
      </c>
      <c r="X97" s="9" t="s">
        <v>85</v>
      </c>
      <c r="Y97" s="9" t="s">
        <v>85</v>
      </c>
      <c r="Z97" s="9">
        <v>0.394984</v>
      </c>
      <c r="AA97" s="9" t="s">
        <v>85</v>
      </c>
      <c r="AB97" s="9" t="s">
        <v>85</v>
      </c>
      <c r="AC97" s="9" t="s">
        <v>85</v>
      </c>
      <c r="AD97" s="9" t="s">
        <v>85</v>
      </c>
      <c r="AE97" s="9" t="s">
        <v>85</v>
      </c>
      <c r="AF97" s="9" t="s">
        <v>85</v>
      </c>
      <c r="AG97" s="9" t="s">
        <v>85</v>
      </c>
      <c r="AH97" s="9" t="s">
        <v>85</v>
      </c>
      <c r="AI97" s="9">
        <v>0.358934</v>
      </c>
      <c r="AJ97" s="9" t="s">
        <v>85</v>
      </c>
      <c r="AK97" s="9" t="s">
        <v>85</v>
      </c>
      <c r="AL97" s="9">
        <v>0.42163</v>
      </c>
      <c r="AM97" s="9" t="s">
        <v>85</v>
      </c>
      <c r="AN97" s="9" t="s">
        <v>85</v>
      </c>
      <c r="AO97" s="9" t="s">
        <v>85</v>
      </c>
      <c r="AP97" s="9" t="s">
        <v>85</v>
      </c>
      <c r="AQ97" s="9" t="s">
        <v>85</v>
      </c>
      <c r="AR97" s="9" t="s">
        <v>85</v>
      </c>
      <c r="AS97" s="9" t="s">
        <v>85</v>
      </c>
      <c r="AT97" s="9" t="s">
        <v>85</v>
      </c>
      <c r="AU97" s="9">
        <v>0.380878</v>
      </c>
      <c r="AV97" s="9" t="s">
        <v>85</v>
      </c>
      <c r="AW97" s="9" t="s">
        <v>85</v>
      </c>
      <c r="AX97" s="9">
        <v>0.407524</v>
      </c>
      <c r="AY97" s="9" t="s">
        <v>85</v>
      </c>
      <c r="AZ97" s="9" t="s">
        <v>85</v>
      </c>
      <c r="BA97" s="9" t="s">
        <v>85</v>
      </c>
      <c r="BB97" s="9" t="s">
        <v>85</v>
      </c>
      <c r="BC97" s="10" t="s">
        <v>85</v>
      </c>
      <c r="BD97" s="10" t="s">
        <v>85</v>
      </c>
      <c r="BE97" s="9" t="s">
        <v>85</v>
      </c>
      <c r="BF97" s="10" t="s">
        <v>85</v>
      </c>
      <c r="BG97" s="10" t="s">
        <v>85</v>
      </c>
      <c r="BH97" s="9" t="s">
        <v>85</v>
      </c>
      <c r="BI97" s="6"/>
      <c r="BJ97" s="6" t="str">
        <f t="shared" si="1"/>
        <v>10VB_Fold_Median</v>
      </c>
      <c r="BK97" s="6" t="str">
        <f t="shared" si="2"/>
        <v>8V_Fold_Median</v>
      </c>
      <c r="BL97" s="6" t="str">
        <f t="shared" si="3"/>
        <v>8V_Fold_Median</v>
      </c>
      <c r="BM97" s="6"/>
      <c r="BN97" s="6"/>
      <c r="BO97" s="6"/>
      <c r="BP97" s="6"/>
      <c r="BQ97" s="6"/>
      <c r="BR97" s="6"/>
      <c r="BS97" s="6"/>
      <c r="BT97" s="6"/>
      <c r="BU97" s="6"/>
    </row>
    <row r="98" ht="15.75" customHeight="1">
      <c r="A98" s="1" t="s">
        <v>192</v>
      </c>
      <c r="B98" s="17">
        <v>900.0</v>
      </c>
      <c r="C98" s="17">
        <v>5.0</v>
      </c>
      <c r="D98" s="9" t="s">
        <v>85</v>
      </c>
      <c r="E98" s="9" t="s">
        <v>85</v>
      </c>
      <c r="F98" s="9" t="s">
        <v>85</v>
      </c>
      <c r="G98" s="9" t="s">
        <v>85</v>
      </c>
      <c r="H98" s="9" t="s">
        <v>85</v>
      </c>
      <c r="I98" s="9" t="s">
        <v>85</v>
      </c>
      <c r="J98" s="9" t="s">
        <v>85</v>
      </c>
      <c r="K98" s="9">
        <v>0.480519</v>
      </c>
      <c r="L98" s="9" t="s">
        <v>85</v>
      </c>
      <c r="M98" s="9" t="s">
        <v>85</v>
      </c>
      <c r="N98" s="9">
        <v>0.454545</v>
      </c>
      <c r="O98" s="9" t="s">
        <v>85</v>
      </c>
      <c r="P98" s="9" t="s">
        <v>85</v>
      </c>
      <c r="Q98" s="9" t="s">
        <v>85</v>
      </c>
      <c r="R98" s="9" t="s">
        <v>85</v>
      </c>
      <c r="S98" s="9" t="s">
        <v>85</v>
      </c>
      <c r="T98" s="9" t="s">
        <v>85</v>
      </c>
      <c r="U98" s="9" t="s">
        <v>85</v>
      </c>
      <c r="V98" s="9" t="s">
        <v>85</v>
      </c>
      <c r="W98" s="9">
        <v>0.519481</v>
      </c>
      <c r="X98" s="9" t="s">
        <v>85</v>
      </c>
      <c r="Y98" s="9" t="s">
        <v>85</v>
      </c>
      <c r="Z98" s="9">
        <v>0.454545</v>
      </c>
      <c r="AA98" s="9" t="s">
        <v>85</v>
      </c>
      <c r="AB98" s="9" t="s">
        <v>85</v>
      </c>
      <c r="AC98" s="9" t="s">
        <v>85</v>
      </c>
      <c r="AD98" s="9" t="s">
        <v>85</v>
      </c>
      <c r="AE98" s="9" t="s">
        <v>85</v>
      </c>
      <c r="AF98" s="9" t="s">
        <v>85</v>
      </c>
      <c r="AG98" s="9" t="s">
        <v>85</v>
      </c>
      <c r="AH98" s="9" t="s">
        <v>85</v>
      </c>
      <c r="AI98" s="9">
        <v>0.493506</v>
      </c>
      <c r="AJ98" s="9" t="s">
        <v>85</v>
      </c>
      <c r="AK98" s="9" t="s">
        <v>85</v>
      </c>
      <c r="AL98" s="9">
        <v>0.454545</v>
      </c>
      <c r="AM98" s="9" t="s">
        <v>85</v>
      </c>
      <c r="AN98" s="9" t="s">
        <v>85</v>
      </c>
      <c r="AO98" s="9" t="s">
        <v>85</v>
      </c>
      <c r="AP98" s="9" t="s">
        <v>85</v>
      </c>
      <c r="AQ98" s="9" t="s">
        <v>85</v>
      </c>
      <c r="AR98" s="9" t="s">
        <v>85</v>
      </c>
      <c r="AS98" s="9" t="s">
        <v>85</v>
      </c>
      <c r="AT98" s="9" t="s">
        <v>85</v>
      </c>
      <c r="AU98" s="9">
        <v>0.480519</v>
      </c>
      <c r="AV98" s="9" t="s">
        <v>85</v>
      </c>
      <c r="AW98" s="9" t="s">
        <v>85</v>
      </c>
      <c r="AX98" s="9">
        <v>0.467532</v>
      </c>
      <c r="AY98" s="9" t="s">
        <v>85</v>
      </c>
      <c r="AZ98" s="9" t="s">
        <v>85</v>
      </c>
      <c r="BA98" s="9" t="s">
        <v>85</v>
      </c>
      <c r="BB98" s="9" t="s">
        <v>85</v>
      </c>
      <c r="BC98" s="10" t="s">
        <v>85</v>
      </c>
      <c r="BD98" s="10" t="s">
        <v>85</v>
      </c>
      <c r="BE98" s="9" t="s">
        <v>85</v>
      </c>
      <c r="BF98" s="10" t="s">
        <v>85</v>
      </c>
      <c r="BG98" s="10" t="s">
        <v>85</v>
      </c>
      <c r="BH98" s="9" t="s">
        <v>85</v>
      </c>
      <c r="BI98" s="6"/>
      <c r="BJ98" s="6" t="str">
        <f t="shared" si="1"/>
        <v>8V_Fold_Median</v>
      </c>
      <c r="BK98" s="6" t="str">
        <f t="shared" si="2"/>
        <v>10V_Fold_Median</v>
      </c>
      <c r="BL98" s="6" t="str">
        <f t="shared" si="3"/>
        <v>5V_Fold_Median</v>
      </c>
      <c r="BM98" s="6"/>
      <c r="BN98" s="6"/>
      <c r="BO98" s="6"/>
      <c r="BP98" s="6"/>
      <c r="BQ98" s="6"/>
      <c r="BR98" s="6"/>
      <c r="BS98" s="6"/>
      <c r="BT98" s="6"/>
      <c r="BU98" s="6"/>
    </row>
    <row r="99" ht="15.75" customHeight="1">
      <c r="A99" s="1" t="s">
        <v>193</v>
      </c>
      <c r="B99" s="17">
        <v>900.0</v>
      </c>
      <c r="C99" s="17">
        <v>2.0</v>
      </c>
      <c r="D99" s="9" t="s">
        <v>85</v>
      </c>
      <c r="E99" s="9" t="s">
        <v>85</v>
      </c>
      <c r="F99" s="9" t="s">
        <v>85</v>
      </c>
      <c r="G99" s="9" t="s">
        <v>85</v>
      </c>
      <c r="H99" s="9" t="s">
        <v>85</v>
      </c>
      <c r="I99" s="9" t="s">
        <v>85</v>
      </c>
      <c r="J99" s="9" t="s">
        <v>85</v>
      </c>
      <c r="K99" s="9">
        <v>0.571429</v>
      </c>
      <c r="L99" s="9" t="s">
        <v>85</v>
      </c>
      <c r="M99" s="9" t="s">
        <v>85</v>
      </c>
      <c r="N99" s="9">
        <v>0.571429</v>
      </c>
      <c r="O99" s="9" t="s">
        <v>85</v>
      </c>
      <c r="P99" s="9" t="s">
        <v>85</v>
      </c>
      <c r="Q99" s="9" t="s">
        <v>85</v>
      </c>
      <c r="R99" s="9" t="s">
        <v>85</v>
      </c>
      <c r="S99" s="9" t="s">
        <v>85</v>
      </c>
      <c r="T99" s="9" t="s">
        <v>85</v>
      </c>
      <c r="U99" s="9" t="s">
        <v>85</v>
      </c>
      <c r="V99" s="9" t="s">
        <v>85</v>
      </c>
      <c r="W99" s="9">
        <v>0.558442</v>
      </c>
      <c r="X99" s="9" t="s">
        <v>85</v>
      </c>
      <c r="Y99" s="9" t="s">
        <v>85</v>
      </c>
      <c r="Z99" s="9">
        <v>0.558442</v>
      </c>
      <c r="AA99" s="9" t="s">
        <v>85</v>
      </c>
      <c r="AB99" s="9" t="s">
        <v>85</v>
      </c>
      <c r="AC99" s="9" t="s">
        <v>85</v>
      </c>
      <c r="AD99" s="9" t="s">
        <v>85</v>
      </c>
      <c r="AE99" s="9" t="s">
        <v>85</v>
      </c>
      <c r="AF99" s="9" t="s">
        <v>85</v>
      </c>
      <c r="AG99" s="9" t="s">
        <v>85</v>
      </c>
      <c r="AH99" s="9" t="s">
        <v>85</v>
      </c>
      <c r="AI99" s="9">
        <v>0.558442</v>
      </c>
      <c r="AJ99" s="9" t="s">
        <v>85</v>
      </c>
      <c r="AK99" s="9" t="s">
        <v>85</v>
      </c>
      <c r="AL99" s="9">
        <v>0.545455</v>
      </c>
      <c r="AM99" s="9" t="s">
        <v>85</v>
      </c>
      <c r="AN99" s="9" t="s">
        <v>85</v>
      </c>
      <c r="AO99" s="9" t="s">
        <v>85</v>
      </c>
      <c r="AP99" s="9" t="s">
        <v>85</v>
      </c>
      <c r="AQ99" s="9" t="s">
        <v>85</v>
      </c>
      <c r="AR99" s="9" t="s">
        <v>85</v>
      </c>
      <c r="AS99" s="9" t="s">
        <v>85</v>
      </c>
      <c r="AT99" s="9" t="s">
        <v>85</v>
      </c>
      <c r="AU99" s="9">
        <v>0.61039</v>
      </c>
      <c r="AV99" s="9" t="s">
        <v>85</v>
      </c>
      <c r="AW99" s="9" t="s">
        <v>85</v>
      </c>
      <c r="AX99" s="9">
        <v>0.597403</v>
      </c>
      <c r="AY99" s="9" t="s">
        <v>85</v>
      </c>
      <c r="AZ99" s="9" t="s">
        <v>85</v>
      </c>
      <c r="BA99" s="9" t="s">
        <v>85</v>
      </c>
      <c r="BB99" s="9" t="s">
        <v>85</v>
      </c>
      <c r="BC99" s="10" t="s">
        <v>85</v>
      </c>
      <c r="BD99" s="10" t="s">
        <v>85</v>
      </c>
      <c r="BE99" s="9" t="s">
        <v>85</v>
      </c>
      <c r="BF99" s="10" t="s">
        <v>85</v>
      </c>
      <c r="BG99" s="10" t="s">
        <v>85</v>
      </c>
      <c r="BH99" s="9" t="s">
        <v>85</v>
      </c>
      <c r="BI99" s="6"/>
      <c r="BJ99" s="6" t="str">
        <f t="shared" si="1"/>
        <v>12V_Fold_Median</v>
      </c>
      <c r="BK99" s="6" t="str">
        <f t="shared" si="2"/>
        <v>12VB_Fold_Median</v>
      </c>
      <c r="BL99" s="6" t="str">
        <f t="shared" si="3"/>
        <v>5V_Fold_Median</v>
      </c>
      <c r="BM99" s="6"/>
      <c r="BN99" s="6"/>
      <c r="BO99" s="6"/>
      <c r="BP99" s="6"/>
      <c r="BQ99" s="6"/>
      <c r="BR99" s="6"/>
      <c r="BS99" s="6"/>
      <c r="BT99" s="6"/>
      <c r="BU99" s="6"/>
    </row>
    <row r="100" ht="15.75" customHeight="1">
      <c r="A100" s="1" t="s">
        <v>194</v>
      </c>
      <c r="B100" s="17">
        <v>426.0</v>
      </c>
      <c r="C100" s="17">
        <v>2.0</v>
      </c>
      <c r="D100" s="9" t="s">
        <v>85</v>
      </c>
      <c r="E100" s="9" t="s">
        <v>85</v>
      </c>
      <c r="F100" s="9" t="s">
        <v>85</v>
      </c>
      <c r="G100" s="9" t="s">
        <v>85</v>
      </c>
      <c r="H100" s="9" t="s">
        <v>85</v>
      </c>
      <c r="I100" s="9" t="s">
        <v>85</v>
      </c>
      <c r="J100" s="9" t="s">
        <v>85</v>
      </c>
      <c r="K100" s="9">
        <v>0.752</v>
      </c>
      <c r="L100" s="9" t="s">
        <v>85</v>
      </c>
      <c r="M100" s="9" t="s">
        <v>85</v>
      </c>
      <c r="N100" s="9">
        <v>0.753667</v>
      </c>
      <c r="O100" s="9" t="s">
        <v>85</v>
      </c>
      <c r="P100" s="9" t="s">
        <v>85</v>
      </c>
      <c r="Q100" s="9" t="s">
        <v>85</v>
      </c>
      <c r="R100" s="9" t="s">
        <v>85</v>
      </c>
      <c r="S100" s="9" t="s">
        <v>85</v>
      </c>
      <c r="T100" s="9" t="s">
        <v>85</v>
      </c>
      <c r="U100" s="9" t="s">
        <v>85</v>
      </c>
      <c r="V100" s="9" t="s">
        <v>85</v>
      </c>
      <c r="W100" s="9">
        <v>0.748333</v>
      </c>
      <c r="X100" s="9" t="s">
        <v>85</v>
      </c>
      <c r="Y100" s="9" t="s">
        <v>85</v>
      </c>
      <c r="Z100" s="9">
        <v>0.753</v>
      </c>
      <c r="AA100" s="9" t="s">
        <v>85</v>
      </c>
      <c r="AB100" s="9" t="s">
        <v>85</v>
      </c>
      <c r="AC100" s="9" t="s">
        <v>85</v>
      </c>
      <c r="AD100" s="9" t="s">
        <v>85</v>
      </c>
      <c r="AE100" s="9" t="s">
        <v>85</v>
      </c>
      <c r="AF100" s="9" t="s">
        <v>85</v>
      </c>
      <c r="AG100" s="9" t="s">
        <v>85</v>
      </c>
      <c r="AH100" s="9" t="s">
        <v>85</v>
      </c>
      <c r="AI100" s="9">
        <v>0.763333</v>
      </c>
      <c r="AJ100" s="9" t="s">
        <v>85</v>
      </c>
      <c r="AK100" s="9" t="s">
        <v>85</v>
      </c>
      <c r="AL100" s="9">
        <v>0.779</v>
      </c>
      <c r="AM100" s="9" t="s">
        <v>85</v>
      </c>
      <c r="AN100" s="9" t="s">
        <v>85</v>
      </c>
      <c r="AO100" s="9" t="s">
        <v>85</v>
      </c>
      <c r="AP100" s="9" t="s">
        <v>85</v>
      </c>
      <c r="AQ100" s="9" t="s">
        <v>85</v>
      </c>
      <c r="AR100" s="9" t="s">
        <v>85</v>
      </c>
      <c r="AS100" s="9" t="s">
        <v>85</v>
      </c>
      <c r="AT100" s="9" t="s">
        <v>85</v>
      </c>
      <c r="AU100" s="9">
        <v>0.762333</v>
      </c>
      <c r="AV100" s="9" t="s">
        <v>85</v>
      </c>
      <c r="AW100" s="9" t="s">
        <v>85</v>
      </c>
      <c r="AX100" s="9">
        <v>0.773667</v>
      </c>
      <c r="AY100" s="9" t="s">
        <v>85</v>
      </c>
      <c r="AZ100" s="9" t="s">
        <v>85</v>
      </c>
      <c r="BA100" s="9" t="s">
        <v>85</v>
      </c>
      <c r="BB100" s="9" t="s">
        <v>85</v>
      </c>
      <c r="BC100" s="10" t="s">
        <v>85</v>
      </c>
      <c r="BD100" s="10" t="s">
        <v>85</v>
      </c>
      <c r="BE100" s="9" t="s">
        <v>85</v>
      </c>
      <c r="BF100" s="10" t="s">
        <v>85</v>
      </c>
      <c r="BG100" s="10" t="s">
        <v>85</v>
      </c>
      <c r="BH100" s="9" t="s">
        <v>85</v>
      </c>
      <c r="BI100" s="6"/>
      <c r="BJ100" s="6" t="str">
        <f t="shared" si="1"/>
        <v>10VB_Fold_Median</v>
      </c>
      <c r="BK100" s="6" t="str">
        <f t="shared" si="2"/>
        <v>12VB_Fold_Median</v>
      </c>
      <c r="BL100" s="6" t="str">
        <f t="shared" si="3"/>
        <v>10V_Fold_Median</v>
      </c>
      <c r="BM100" s="6"/>
      <c r="BN100" s="6"/>
      <c r="BO100" s="6"/>
      <c r="BP100" s="6"/>
      <c r="BQ100" s="6"/>
      <c r="BR100" s="6"/>
      <c r="BS100" s="6"/>
      <c r="BT100" s="6"/>
      <c r="BU100" s="6"/>
    </row>
    <row r="101" ht="15.75" customHeight="1">
      <c r="A101" s="15"/>
      <c r="B101" s="15"/>
      <c r="C101" s="15"/>
      <c r="J101" s="1"/>
      <c r="K101" s="1"/>
      <c r="L101" s="1"/>
      <c r="P101" s="1"/>
      <c r="Q101" s="1"/>
      <c r="R101" s="1"/>
      <c r="S101" s="1"/>
      <c r="T101" s="1"/>
      <c r="U101" s="1"/>
      <c r="X101" s="1"/>
      <c r="AB101" s="1"/>
      <c r="AC101" s="1"/>
      <c r="AD101" s="1"/>
      <c r="AE101" s="1"/>
      <c r="AF101" s="1"/>
      <c r="AH101" s="1"/>
      <c r="AI101" s="1"/>
      <c r="AJ101" s="1"/>
      <c r="AN101" s="1"/>
      <c r="AO101" s="1"/>
      <c r="AP101" s="1"/>
      <c r="AQ101" s="1"/>
      <c r="AR101" s="1"/>
      <c r="AS101" s="1"/>
      <c r="AV101" s="1"/>
      <c r="AZ101" s="1"/>
      <c r="BA101" s="1"/>
      <c r="BB101" s="1"/>
      <c r="BC101" s="1"/>
      <c r="BD101" s="1"/>
    </row>
    <row r="102" ht="15.75" customHeight="1">
      <c r="A102" s="15"/>
      <c r="B102" s="15"/>
      <c r="C102" s="15"/>
      <c r="J102" s="1"/>
      <c r="K102" s="1"/>
      <c r="L102" s="1"/>
      <c r="M102" s="1"/>
      <c r="N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ht="15.75" customHeight="1">
      <c r="A103" s="15"/>
      <c r="B103" s="15"/>
      <c r="C103" s="15"/>
      <c r="J103" s="1"/>
      <c r="K103" s="1"/>
      <c r="L103" s="1"/>
      <c r="M103" s="1"/>
      <c r="N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ht="15.75" customHeight="1">
      <c r="A104" s="15"/>
      <c r="B104" s="15"/>
      <c r="C104" s="15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ht="15.75" customHeight="1">
      <c r="A105" s="15"/>
      <c r="B105" s="15"/>
      <c r="C105" s="15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ht="15.75" customHeight="1">
      <c r="A106" s="15"/>
      <c r="B106" s="15"/>
      <c r="C106" s="15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ht="15.75" customHeight="1">
      <c r="C107" s="15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ht="15.75" customHeight="1">
      <c r="C108" s="15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ht="15.75" customHeight="1">
      <c r="C109" s="15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ht="15.75" customHeight="1">
      <c r="C110" s="15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ht="15.75" customHeight="1">
      <c r="C111" s="15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ht="15.75" customHeight="1">
      <c r="C112" s="15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ht="15.75" customHeight="1">
      <c r="C113" s="15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ht="15.75" customHeight="1">
      <c r="C114" s="15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ht="15.75" customHeight="1">
      <c r="C115" s="15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ht="15.75" customHeight="1">
      <c r="C116" s="15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ht="15.75" customHeight="1">
      <c r="C117" s="15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ht="15.75" customHeight="1">
      <c r="C118" s="15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ht="15.75" customHeight="1">
      <c r="C119" s="15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ht="15.75" customHeight="1">
      <c r="C120" s="15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ht="15.75" customHeight="1">
      <c r="C121" s="15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ht="15.75" customHeight="1">
      <c r="C122" s="15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ht="15.75" customHeight="1">
      <c r="C123" s="15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ht="15.75" customHeight="1">
      <c r="C124" s="15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ht="15.75" customHeight="1">
      <c r="C125" s="15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ht="15.75" customHeight="1">
      <c r="C126" s="15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ht="15.75" customHeight="1">
      <c r="C127" s="15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ht="15.75" customHeight="1">
      <c r="C128" s="15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ht="15.75" customHeight="1">
      <c r="C129" s="15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ht="15.75" customHeight="1">
      <c r="C130" s="15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ht="15.75" customHeight="1">
      <c r="C131" s="15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ht="15.75" customHeight="1">
      <c r="C132" s="15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ht="15.75" customHeight="1">
      <c r="C133" s="15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ht="15.75" customHeight="1">
      <c r="C134" s="15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ht="15.75" customHeight="1">
      <c r="C135" s="15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ht="15.75" customHeight="1">
      <c r="C136" s="15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ht="15.75" customHeight="1">
      <c r="C137" s="15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ht="15.75" customHeight="1">
      <c r="C138" s="15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ht="15.75" customHeight="1">
      <c r="C139" s="15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ht="15.75" customHeight="1">
      <c r="C140" s="15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ht="15.75" customHeight="1">
      <c r="C141" s="15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ht="15.75" customHeight="1">
      <c r="C142" s="15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ht="15.75" customHeight="1">
      <c r="C143" s="15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ht="15.75" customHeight="1">
      <c r="C144" s="15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ht="15.75" customHeight="1">
      <c r="C145" s="15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ht="15.75" customHeight="1">
      <c r="C146" s="15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ht="15.75" customHeight="1">
      <c r="C147" s="15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ht="15.75" customHeight="1">
      <c r="C148" s="15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ht="15.75" customHeight="1">
      <c r="C149" s="15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ht="15.75" customHeight="1">
      <c r="C150" s="15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ht="15.75" customHeight="1">
      <c r="C151" s="15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ht="15.75" customHeight="1">
      <c r="C152" s="15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ht="15.75" customHeight="1">
      <c r="C153" s="15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ht="15.75" customHeight="1">
      <c r="C154" s="15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ht="15.75" customHeight="1">
      <c r="C155" s="15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ht="15.75" customHeight="1">
      <c r="C156" s="15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ht="15.75" customHeight="1">
      <c r="C157" s="15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ht="15.75" customHeight="1">
      <c r="C158" s="15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ht="15.75" customHeight="1">
      <c r="C159" s="15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ht="15.75" customHeight="1">
      <c r="C160" s="15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ht="15.75" customHeight="1">
      <c r="C161" s="15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ht="15.75" customHeight="1">
      <c r="C162" s="15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ht="15.75" customHeight="1">
      <c r="C163" s="15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ht="15.75" customHeight="1">
      <c r="C164" s="15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ht="15.75" customHeight="1">
      <c r="C165" s="15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ht="15.75" customHeight="1">
      <c r="C166" s="15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ht="15.75" customHeight="1">
      <c r="C167" s="15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ht="15.75" customHeight="1">
      <c r="C168" s="15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ht="15.75" customHeight="1">
      <c r="C169" s="15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ht="15.75" customHeight="1">
      <c r="C170" s="15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ht="15.75" customHeight="1">
      <c r="C171" s="15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ht="15.75" customHeight="1">
      <c r="C172" s="15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ht="15.75" customHeight="1">
      <c r="C173" s="15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ht="15.75" customHeight="1">
      <c r="C174" s="15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ht="15.75" customHeight="1">
      <c r="C175" s="15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ht="15.75" customHeight="1">
      <c r="C176" s="15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ht="15.75" customHeight="1">
      <c r="C177" s="15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ht="15.75" customHeight="1">
      <c r="C178" s="15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ht="15.75" customHeight="1">
      <c r="C179" s="15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ht="15.75" customHeight="1">
      <c r="C180" s="15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ht="15.75" customHeight="1">
      <c r="C181" s="15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ht="15.75" customHeight="1">
      <c r="C182" s="15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ht="15.75" customHeight="1">
      <c r="C183" s="15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ht="15.75" customHeight="1">
      <c r="C184" s="15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ht="15.75" customHeight="1">
      <c r="C185" s="15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ht="15.75" customHeight="1">
      <c r="C186" s="15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ht="15.75" customHeight="1">
      <c r="C187" s="15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ht="15.75" customHeight="1">
      <c r="C188" s="15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ht="15.75" customHeight="1">
      <c r="C189" s="15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ht="15.75" customHeight="1">
      <c r="C190" s="15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ht="15.75" customHeight="1">
      <c r="C191" s="15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ht="15.75" customHeight="1">
      <c r="C192" s="15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ht="15.75" customHeight="1">
      <c r="C193" s="15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ht="15.75" customHeight="1">
      <c r="C194" s="15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ht="15.75" customHeight="1">
      <c r="C195" s="15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ht="15.75" customHeight="1">
      <c r="C196" s="15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ht="15.75" customHeight="1">
      <c r="C197" s="15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ht="15.75" customHeight="1">
      <c r="C198" s="15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ht="15.75" customHeight="1">
      <c r="C199" s="15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ht="15.75" customHeight="1">
      <c r="C200" s="15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ht="15.75" customHeight="1">
      <c r="C201" s="15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ht="15.75" customHeight="1">
      <c r="C202" s="15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ht="15.75" customHeight="1">
      <c r="C203" s="15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ht="15.75" customHeight="1">
      <c r="C204" s="15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ht="15.75" customHeight="1">
      <c r="C205" s="15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ht="15.75" customHeight="1">
      <c r="C206" s="15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ht="15.75" customHeight="1">
      <c r="C207" s="15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ht="15.75" customHeight="1">
      <c r="C208" s="15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ht="15.75" customHeight="1">
      <c r="C209" s="15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ht="15.75" customHeight="1">
      <c r="C210" s="15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ht="15.75" customHeight="1">
      <c r="C211" s="15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ht="15.75" customHeight="1">
      <c r="C212" s="15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ht="15.75" customHeight="1">
      <c r="C213" s="15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ht="15.75" customHeight="1">
      <c r="C214" s="15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ht="15.75" customHeight="1">
      <c r="C215" s="15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ht="15.75" customHeight="1">
      <c r="C216" s="15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ht="15.75" customHeight="1">
      <c r="C217" s="15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ht="15.75" customHeight="1">
      <c r="C218" s="15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ht="15.75" customHeight="1">
      <c r="C219" s="15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ht="15.75" customHeight="1">
      <c r="C220" s="15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ht="15.75" customHeight="1">
      <c r="C221" s="15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ht="15.75" customHeight="1">
      <c r="C222" s="15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ht="15.75" customHeight="1">
      <c r="C223" s="15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ht="15.75" customHeight="1">
      <c r="C224" s="15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ht="15.75" customHeight="1">
      <c r="C225" s="15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ht="15.75" customHeight="1">
      <c r="C226" s="15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ht="15.75" customHeight="1">
      <c r="C227" s="15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ht="15.75" customHeight="1">
      <c r="C228" s="15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ht="15.75" customHeight="1">
      <c r="C229" s="15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ht="15.75" customHeight="1">
      <c r="C230" s="15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ht="15.75" customHeight="1">
      <c r="C231" s="15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ht="15.75" customHeight="1">
      <c r="C232" s="15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ht="15.75" customHeight="1">
      <c r="C233" s="15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ht="15.75" customHeight="1">
      <c r="C234" s="15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ht="15.75" customHeight="1">
      <c r="C235" s="15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ht="15.75" customHeight="1">
      <c r="C236" s="15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ht="15.75" customHeight="1">
      <c r="C237" s="15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ht="15.75" customHeight="1">
      <c r="C238" s="15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ht="15.75" customHeight="1">
      <c r="C239" s="15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ht="15.75" customHeight="1">
      <c r="C240" s="15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ht="15.75" customHeight="1">
      <c r="C241" s="15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ht="15.75" customHeight="1">
      <c r="C242" s="15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ht="15.75" customHeight="1">
      <c r="C243" s="15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ht="15.75" customHeight="1">
      <c r="C244" s="15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ht="15.75" customHeight="1">
      <c r="C245" s="15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ht="15.75" customHeight="1">
      <c r="C246" s="15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ht="15.75" customHeight="1">
      <c r="C247" s="15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ht="15.75" customHeight="1">
      <c r="C248" s="15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ht="15.75" customHeight="1">
      <c r="C249" s="15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ht="15.75" customHeight="1">
      <c r="C250" s="15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ht="15.75" customHeight="1">
      <c r="C251" s="15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ht="15.75" customHeight="1">
      <c r="C252" s="15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ht="15.75" customHeight="1">
      <c r="C253" s="15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ht="15.75" customHeight="1">
      <c r="C254" s="15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ht="15.75" customHeight="1">
      <c r="C255" s="15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ht="15.75" customHeight="1">
      <c r="C256" s="15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ht="15.75" customHeight="1">
      <c r="C257" s="15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ht="15.75" customHeight="1">
      <c r="C258" s="15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ht="15.75" customHeight="1">
      <c r="C259" s="15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ht="15.75" customHeight="1">
      <c r="C260" s="15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ht="15.75" customHeight="1">
      <c r="C261" s="15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ht="15.75" customHeight="1">
      <c r="C262" s="15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ht="15.75" customHeight="1">
      <c r="C263" s="15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ht="15.75" customHeight="1">
      <c r="C264" s="15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ht="15.75" customHeight="1">
      <c r="C265" s="15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ht="15.75" customHeight="1">
      <c r="C266" s="15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ht="15.75" customHeight="1">
      <c r="C267" s="15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ht="15.75" customHeight="1">
      <c r="C268" s="15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ht="15.75" customHeight="1">
      <c r="C269" s="15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ht="15.75" customHeight="1">
      <c r="C270" s="15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ht="15.75" customHeight="1">
      <c r="C271" s="15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ht="15.75" customHeight="1">
      <c r="C272" s="15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ht="15.75" customHeight="1">
      <c r="C273" s="15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ht="15.75" customHeight="1">
      <c r="C274" s="15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ht="15.75" customHeight="1">
      <c r="C275" s="15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ht="15.75" customHeight="1">
      <c r="C276" s="15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ht="15.75" customHeight="1">
      <c r="C277" s="15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ht="15.75" customHeight="1">
      <c r="C278" s="15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ht="15.75" customHeight="1">
      <c r="C279" s="15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ht="15.75" customHeight="1">
      <c r="C280" s="15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ht="15.75" customHeight="1">
      <c r="C281" s="15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ht="15.75" customHeight="1">
      <c r="C282" s="15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ht="15.75" customHeight="1">
      <c r="C283" s="15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ht="15.75" customHeight="1">
      <c r="C284" s="15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ht="15.75" customHeight="1">
      <c r="C285" s="15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ht="15.75" customHeight="1">
      <c r="C286" s="15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ht="15.75" customHeight="1">
      <c r="C287" s="15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ht="15.75" customHeight="1">
      <c r="C288" s="15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ht="15.75" customHeight="1">
      <c r="C289" s="15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ht="15.75" customHeight="1">
      <c r="C290" s="15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ht="15.75" customHeight="1">
      <c r="C291" s="15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ht="15.75" customHeight="1">
      <c r="C292" s="15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ht="15.75" customHeight="1">
      <c r="C293" s="15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ht="15.75" customHeight="1">
      <c r="C294" s="15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ht="15.75" customHeight="1">
      <c r="C295" s="15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ht="15.75" customHeight="1">
      <c r="C296" s="15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ht="15.75" customHeight="1">
      <c r="C297" s="15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ht="15.75" customHeight="1">
      <c r="C298" s="15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ht="15.75" customHeight="1">
      <c r="C299" s="15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ht="15.75" customHeight="1">
      <c r="C300" s="15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D1:F1"/>
    <mergeCell ref="G1:I1"/>
    <mergeCell ref="J1:L1"/>
    <mergeCell ref="M1:O1"/>
    <mergeCell ref="P1:R1"/>
    <mergeCell ref="S1:U1"/>
    <mergeCell ref="V1:X1"/>
    <mergeCell ref="AT1:AV1"/>
    <mergeCell ref="AW1:AY1"/>
    <mergeCell ref="AZ1:BB1"/>
    <mergeCell ref="BC1:BE1"/>
    <mergeCell ref="BF1:BH1"/>
    <mergeCell ref="Y1:AA1"/>
    <mergeCell ref="AB1:AD1"/>
    <mergeCell ref="AE1:AG1"/>
    <mergeCell ref="AH1:AJ1"/>
    <mergeCell ref="AK1:AM1"/>
    <mergeCell ref="AN1:AP1"/>
    <mergeCell ref="AQ1:AS1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7.63"/>
    <col customWidth="1" min="2" max="2" width="8.0"/>
    <col customWidth="1" min="3" max="3" width="9.0"/>
    <col customWidth="1" min="4" max="4" width="16.38"/>
    <col customWidth="1" min="5" max="5" width="13.88"/>
    <col customWidth="1" min="6" max="6" width="15.13"/>
    <col customWidth="1" min="7" max="8" width="13.75"/>
    <col customWidth="1" min="9" max="9" width="15.38"/>
    <col customWidth="1" min="10" max="10" width="13.75"/>
    <col customWidth="1" min="14" max="14" width="13.38"/>
    <col customWidth="1" min="15" max="15" width="17.75"/>
    <col customWidth="1" min="18" max="18" width="14.38"/>
    <col customWidth="1" min="21" max="21" width="13.88"/>
    <col customWidth="1" min="24" max="24" width="14.13"/>
    <col customWidth="1" min="26" max="26" width="13.88"/>
    <col customWidth="1" min="27" max="27" width="14.25"/>
    <col customWidth="1" min="29" max="29" width="13.75"/>
    <col customWidth="1" min="30" max="30" width="14.38"/>
    <col customWidth="1" min="32" max="32" width="14.0"/>
    <col customWidth="1" min="33" max="33" width="15.0"/>
    <col customWidth="1" min="36" max="36" width="13.25"/>
    <col customWidth="1" min="38" max="38" width="15.25"/>
    <col customWidth="1" min="39" max="39" width="16.38"/>
    <col customWidth="1" min="40" max="40" width="13.88"/>
    <col customWidth="1" min="42" max="42" width="14.38"/>
    <col customWidth="1" min="44" max="44" width="13.38"/>
    <col customWidth="1" min="45" max="45" width="14.13"/>
    <col customWidth="1" min="48" max="48" width="15.38"/>
    <col customWidth="1" min="50" max="50" width="14.88"/>
    <col customWidth="1" min="51" max="51" width="16.88"/>
    <col customWidth="1" min="53" max="53" width="14.75"/>
    <col customWidth="1" min="54" max="54" width="15.88"/>
    <col customWidth="1" min="63" max="63" width="17.38"/>
    <col customWidth="1" min="64" max="64" width="16.75"/>
    <col customWidth="1" min="65" max="65" width="16.63"/>
    <col customWidth="1" min="76" max="78" width="17.38"/>
    <col customWidth="1" min="79" max="79" width="15.25"/>
  </cols>
  <sheetData>
    <row r="1" ht="15.75" customHeight="1">
      <c r="A1" s="1" t="s">
        <v>0</v>
      </c>
      <c r="B1" s="1" t="s">
        <v>212</v>
      </c>
      <c r="C1" s="15" t="s">
        <v>235</v>
      </c>
      <c r="D1" s="25" t="s">
        <v>298</v>
      </c>
      <c r="E1" s="3" t="s">
        <v>2</v>
      </c>
      <c r="H1" s="3" t="s">
        <v>3</v>
      </c>
      <c r="K1" s="3" t="s">
        <v>4</v>
      </c>
      <c r="N1" s="3" t="s">
        <v>5</v>
      </c>
      <c r="Q1" s="3" t="s">
        <v>6</v>
      </c>
      <c r="T1" s="3" t="s">
        <v>7</v>
      </c>
      <c r="W1" s="3" t="s">
        <v>8</v>
      </c>
      <c r="Z1" s="3" t="s">
        <v>9</v>
      </c>
      <c r="AC1" s="3" t="s">
        <v>10</v>
      </c>
      <c r="AF1" s="3" t="s">
        <v>11</v>
      </c>
      <c r="AI1" s="3" t="s">
        <v>12</v>
      </c>
      <c r="AL1" s="3" t="s">
        <v>13</v>
      </c>
      <c r="AO1" s="3" t="s">
        <v>14</v>
      </c>
      <c r="AR1" s="3" t="s">
        <v>15</v>
      </c>
      <c r="AU1" s="3" t="s">
        <v>16</v>
      </c>
      <c r="AX1" s="3" t="s">
        <v>17</v>
      </c>
      <c r="BA1" s="3" t="s">
        <v>18</v>
      </c>
      <c r="BD1" s="3" t="s">
        <v>19</v>
      </c>
      <c r="BG1" s="3" t="s">
        <v>20</v>
      </c>
      <c r="BJ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CB1" s="1"/>
      <c r="CC1" s="1"/>
      <c r="CD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</row>
    <row r="2" ht="15.75" customHeight="1">
      <c r="A2" s="1"/>
      <c r="B2" s="1"/>
      <c r="C2" s="15"/>
      <c r="D2" s="15"/>
      <c r="E2" s="1" t="s">
        <v>260</v>
      </c>
      <c r="F2" s="1" t="s">
        <v>261</v>
      </c>
      <c r="G2" s="4" t="s">
        <v>262</v>
      </c>
      <c r="H2" s="1" t="s">
        <v>263</v>
      </c>
      <c r="I2" s="1" t="s">
        <v>264</v>
      </c>
      <c r="J2" s="4" t="s">
        <v>265</v>
      </c>
      <c r="K2" s="1" t="s">
        <v>27</v>
      </c>
      <c r="L2" s="1" t="s">
        <v>28</v>
      </c>
      <c r="M2" s="5" t="s">
        <v>29</v>
      </c>
      <c r="N2" s="1" t="s">
        <v>30</v>
      </c>
      <c r="O2" s="1" t="s">
        <v>31</v>
      </c>
      <c r="P2" s="5" t="s">
        <v>32</v>
      </c>
      <c r="Q2" s="1" t="s">
        <v>266</v>
      </c>
      <c r="R2" s="1" t="s">
        <v>267</v>
      </c>
      <c r="S2" s="5" t="s">
        <v>268</v>
      </c>
      <c r="T2" s="1" t="s">
        <v>269</v>
      </c>
      <c r="U2" s="1" t="s">
        <v>270</v>
      </c>
      <c r="V2" s="5" t="s">
        <v>271</v>
      </c>
      <c r="W2" s="1" t="s">
        <v>39</v>
      </c>
      <c r="X2" s="1" t="s">
        <v>40</v>
      </c>
      <c r="Y2" s="5" t="s">
        <v>41</v>
      </c>
      <c r="Z2" s="1" t="s">
        <v>42</v>
      </c>
      <c r="AA2" s="1" t="s">
        <v>43</v>
      </c>
      <c r="AB2" s="5" t="s">
        <v>44</v>
      </c>
      <c r="AC2" s="1" t="s">
        <v>272</v>
      </c>
      <c r="AD2" s="1" t="s">
        <v>273</v>
      </c>
      <c r="AE2" s="5" t="s">
        <v>274</v>
      </c>
      <c r="AF2" s="1" t="s">
        <v>275</v>
      </c>
      <c r="AG2" s="1" t="s">
        <v>276</v>
      </c>
      <c r="AH2" s="5" t="s">
        <v>277</v>
      </c>
      <c r="AI2" s="1" t="s">
        <v>51</v>
      </c>
      <c r="AJ2" s="1" t="s">
        <v>52</v>
      </c>
      <c r="AK2" s="5" t="s">
        <v>53</v>
      </c>
      <c r="AL2" s="1" t="s">
        <v>54</v>
      </c>
      <c r="AM2" s="1" t="s">
        <v>55</v>
      </c>
      <c r="AN2" s="5" t="s">
        <v>56</v>
      </c>
      <c r="AO2" s="1" t="s">
        <v>278</v>
      </c>
      <c r="AP2" s="1" t="s">
        <v>279</v>
      </c>
      <c r="AQ2" s="5" t="s">
        <v>280</v>
      </c>
      <c r="AR2" s="1" t="s">
        <v>281</v>
      </c>
      <c r="AS2" s="1" t="s">
        <v>282</v>
      </c>
      <c r="AT2" s="5" t="s">
        <v>283</v>
      </c>
      <c r="AU2" s="1" t="s">
        <v>63</v>
      </c>
      <c r="AV2" s="1" t="s">
        <v>64</v>
      </c>
      <c r="AW2" s="5" t="s">
        <v>65</v>
      </c>
      <c r="AX2" s="1" t="s">
        <v>66</v>
      </c>
      <c r="AY2" s="1" t="s">
        <v>67</v>
      </c>
      <c r="AZ2" s="5" t="s">
        <v>68</v>
      </c>
      <c r="BA2" s="1" t="s">
        <v>284</v>
      </c>
      <c r="BB2" s="1" t="s">
        <v>285</v>
      </c>
      <c r="BC2" s="5" t="s">
        <v>286</v>
      </c>
      <c r="BD2" s="1" t="s">
        <v>72</v>
      </c>
      <c r="BE2" s="1" t="s">
        <v>73</v>
      </c>
      <c r="BF2" s="5" t="s">
        <v>74</v>
      </c>
      <c r="BG2" s="1" t="s">
        <v>75</v>
      </c>
      <c r="BH2" s="1" t="s">
        <v>76</v>
      </c>
      <c r="BI2" s="5" t="s">
        <v>77</v>
      </c>
      <c r="BJ2" s="1"/>
      <c r="BK2" s="1" t="s">
        <v>213</v>
      </c>
      <c r="BL2" s="1" t="s">
        <v>214</v>
      </c>
      <c r="BM2" s="1" t="s">
        <v>215</v>
      </c>
      <c r="BN2" s="1"/>
      <c r="BO2" s="1" t="s">
        <v>213</v>
      </c>
      <c r="BP2" s="1" t="s">
        <v>214</v>
      </c>
      <c r="BQ2" s="1" t="s">
        <v>215</v>
      </c>
      <c r="BR2" s="1"/>
      <c r="BS2" s="1"/>
      <c r="BT2" s="1"/>
      <c r="BU2" s="1"/>
      <c r="BV2" s="1"/>
      <c r="BW2" s="1" t="s">
        <v>216</v>
      </c>
      <c r="BX2" s="1" t="s">
        <v>217</v>
      </c>
      <c r="BY2" s="1" t="s">
        <v>218</v>
      </c>
      <c r="BZ2" s="1" t="s">
        <v>219</v>
      </c>
      <c r="CB2" s="1"/>
      <c r="CC2" s="1"/>
      <c r="CD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</row>
    <row r="3" ht="15.75" customHeight="1">
      <c r="A3" s="1" t="s">
        <v>84</v>
      </c>
      <c r="B3" s="17">
        <v>1460.0</v>
      </c>
      <c r="C3" s="17">
        <v>10.0</v>
      </c>
      <c r="D3" s="17" t="s">
        <v>299</v>
      </c>
      <c r="E3" s="9">
        <v>0.614</v>
      </c>
      <c r="F3" s="9">
        <v>0.64</v>
      </c>
      <c r="G3" s="9" t="s">
        <v>85</v>
      </c>
      <c r="H3" s="30">
        <v>0.569999999</v>
      </c>
      <c r="I3" s="30">
        <v>0.569999993</v>
      </c>
      <c r="J3" s="9" t="s">
        <v>85</v>
      </c>
      <c r="K3" s="9">
        <v>0.57</v>
      </c>
      <c r="L3" s="9">
        <v>0.56</v>
      </c>
      <c r="M3" s="9" t="s">
        <v>85</v>
      </c>
      <c r="N3" s="9">
        <v>0.578000009</v>
      </c>
      <c r="O3" s="9">
        <v>0.6</v>
      </c>
      <c r="P3" s="9" t="s">
        <v>85</v>
      </c>
      <c r="Q3" s="9">
        <v>0.608</v>
      </c>
      <c r="R3" s="9">
        <v>0.62</v>
      </c>
      <c r="S3" s="9" t="s">
        <v>85</v>
      </c>
      <c r="T3" s="9">
        <v>0.604000002</v>
      </c>
      <c r="U3" s="9">
        <v>0.62</v>
      </c>
      <c r="V3" s="9" t="s">
        <v>85</v>
      </c>
      <c r="W3" s="9">
        <v>0.494</v>
      </c>
      <c r="X3" s="9">
        <v>0.5</v>
      </c>
      <c r="Y3" s="9" t="s">
        <v>85</v>
      </c>
      <c r="Z3" s="9">
        <v>0.45</v>
      </c>
      <c r="AA3" s="9">
        <v>0.42</v>
      </c>
      <c r="AB3" s="9" t="s">
        <v>85</v>
      </c>
      <c r="AC3" s="30">
        <v>0.549999988</v>
      </c>
      <c r="AD3" s="30">
        <v>0.53</v>
      </c>
      <c r="AE3" s="9" t="s">
        <v>85</v>
      </c>
      <c r="AF3" s="30">
        <v>0.588000011</v>
      </c>
      <c r="AG3" s="30">
        <v>0.61</v>
      </c>
      <c r="AH3" s="9" t="s">
        <v>85</v>
      </c>
      <c r="AI3" s="9">
        <v>0.462</v>
      </c>
      <c r="AJ3" s="9">
        <v>0.48</v>
      </c>
      <c r="AK3" s="9" t="s">
        <v>85</v>
      </c>
      <c r="AL3" s="9">
        <v>0.466</v>
      </c>
      <c r="AM3" s="9">
        <v>0.47</v>
      </c>
      <c r="AN3" s="9" t="s">
        <v>85</v>
      </c>
      <c r="AO3" s="9">
        <v>0.63</v>
      </c>
      <c r="AP3" s="9">
        <v>0.65</v>
      </c>
      <c r="AQ3" s="9" t="s">
        <v>85</v>
      </c>
      <c r="AR3" s="30">
        <v>0.636000001</v>
      </c>
      <c r="AS3" s="30">
        <v>0.64</v>
      </c>
      <c r="AT3" s="9" t="s">
        <v>85</v>
      </c>
      <c r="AU3" s="9">
        <v>0.416</v>
      </c>
      <c r="AV3" s="9">
        <v>0.43</v>
      </c>
      <c r="AW3" s="9" t="s">
        <v>85</v>
      </c>
      <c r="AX3" s="9">
        <v>0.36</v>
      </c>
      <c r="AY3" s="9">
        <v>0.35</v>
      </c>
      <c r="AZ3" s="9" t="s">
        <v>85</v>
      </c>
      <c r="BA3" s="9">
        <v>0.654</v>
      </c>
      <c r="BB3" s="9">
        <v>0.65</v>
      </c>
      <c r="BC3" s="9" t="s">
        <v>85</v>
      </c>
      <c r="BD3" s="30">
        <v>0.226</v>
      </c>
      <c r="BE3" s="30">
        <v>0.2</v>
      </c>
      <c r="BF3" s="9" t="s">
        <v>85</v>
      </c>
      <c r="BG3" s="10" t="s">
        <v>85</v>
      </c>
      <c r="BH3" s="10" t="s">
        <v>85</v>
      </c>
      <c r="BI3" s="9" t="s">
        <v>85</v>
      </c>
      <c r="BJ3" s="6"/>
      <c r="BK3" s="6" t="str">
        <f t="shared" ref="BK3:BK100" si="2">INDEX($E$2:$BI$2,0,MATCH(MAX(E3:BI3),E3:BI3,0))</f>
        <v>20Bo_Fold_Mean</v>
      </c>
      <c r="BL3" s="6" t="str">
        <f t="shared" ref="BL3:BL100" si="3">INDEX($E$2:$BI$2,0,MATCH(LARGE(E3:BI3,2),E3:BI3,0))</f>
        <v>12Bo_Fold_Median</v>
      </c>
      <c r="BM3" s="6" t="str">
        <f t="shared" ref="BM3:BM100" si="4">INDEX($E$2:$BI$2,0,MATCH(LARGE(E3:BI3,3),E3:BI3,0))</f>
        <v>12Bo_Fold_Median</v>
      </c>
      <c r="BN3" s="6"/>
      <c r="BO3" s="6">
        <f t="shared" ref="BO3:BQ3" si="1">IF(ISNUMBER(SEARCH("5",BK3)),5,IF(ISNUMBER(SEARCH("*8*",BK3)),8,IF(ISNUMBER(SEARCH("*10*",BK3)),10,IF(ISNUMBER(SEARCH("*12*",BK3)),12,IF(ISNUMBER(SEARCH("*20*",BK3)),20)))))</f>
        <v>20</v>
      </c>
      <c r="BP3" s="6">
        <f t="shared" si="1"/>
        <v>12</v>
      </c>
      <c r="BQ3" s="6">
        <f t="shared" si="1"/>
        <v>12</v>
      </c>
      <c r="BR3" s="6"/>
      <c r="BS3" s="6">
        <f t="shared" ref="BS3:BS100" si="6">_xlfn.RANK.AVG(B3,$B$3:$B$100,0)</f>
        <v>12</v>
      </c>
      <c r="BT3" s="6">
        <f t="shared" ref="BT3:BT100" si="7">_xlfn.RANK.AVG(BO3,$BO$3:$BO$100,0)</f>
        <v>8.5</v>
      </c>
      <c r="BU3" s="6"/>
      <c r="BV3" s="6"/>
      <c r="BW3" s="6">
        <f>COUNTA(BK3:BM100)</f>
        <v>294</v>
      </c>
      <c r="BX3" s="6">
        <f>COUNTIF(BK3:BM100,"*De*")</f>
        <v>0</v>
      </c>
      <c r="BY3" s="6">
        <f>COUNTIF(BK3:BM100,"*V*")</f>
        <v>148</v>
      </c>
      <c r="BZ3" s="6">
        <f>MINUS(BW3,SUM(BX3,BY3))</f>
        <v>146</v>
      </c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</row>
    <row r="4" ht="15.75" customHeight="1">
      <c r="A4" s="1" t="s">
        <v>89</v>
      </c>
      <c r="B4" s="17">
        <v>176.0</v>
      </c>
      <c r="C4" s="17">
        <v>37.0</v>
      </c>
      <c r="D4" s="17" t="s">
        <v>300</v>
      </c>
      <c r="E4" s="9">
        <v>0.30179</v>
      </c>
      <c r="F4" s="9">
        <v>0.29156</v>
      </c>
      <c r="G4" s="9" t="s">
        <v>85</v>
      </c>
      <c r="H4" s="30">
        <v>0.264450124</v>
      </c>
      <c r="I4" s="30">
        <v>0.319693089</v>
      </c>
      <c r="J4" s="9" t="s">
        <v>85</v>
      </c>
      <c r="K4" s="9">
        <v>0.195396</v>
      </c>
      <c r="L4" s="9">
        <v>0.186701</v>
      </c>
      <c r="M4" s="9" t="s">
        <v>85</v>
      </c>
      <c r="N4" s="9">
        <v>0.128900258</v>
      </c>
      <c r="O4" s="9">
        <v>0.074169</v>
      </c>
      <c r="P4" s="9" t="s">
        <v>85</v>
      </c>
      <c r="Q4" s="9">
        <v>0.246036</v>
      </c>
      <c r="R4" s="9">
        <v>0.232737</v>
      </c>
      <c r="S4" s="9" t="s">
        <v>85</v>
      </c>
      <c r="T4" s="9">
        <v>0.264450133</v>
      </c>
      <c r="U4" s="9">
        <v>0.248082</v>
      </c>
      <c r="V4" s="9" t="s">
        <v>85</v>
      </c>
      <c r="W4" s="9">
        <v>0.163171</v>
      </c>
      <c r="X4" s="9">
        <v>0.199488</v>
      </c>
      <c r="Y4" s="9" t="s">
        <v>85</v>
      </c>
      <c r="Z4" s="9">
        <v>0.180563</v>
      </c>
      <c r="AA4" s="9">
        <v>0.219949</v>
      </c>
      <c r="AB4" s="9" t="s">
        <v>85</v>
      </c>
      <c r="AC4" s="30">
        <v>0.246035802</v>
      </c>
      <c r="AD4" s="30">
        <v>0.237852</v>
      </c>
      <c r="AE4" s="9" t="s">
        <v>85</v>
      </c>
      <c r="AF4" s="30">
        <v>0.265473145</v>
      </c>
      <c r="AG4" s="30">
        <v>0.237852</v>
      </c>
      <c r="AH4" s="9" t="s">
        <v>85</v>
      </c>
      <c r="AI4" s="9">
        <v>0.105882</v>
      </c>
      <c r="AJ4" s="9">
        <v>0.069054</v>
      </c>
      <c r="AK4" s="9" t="s">
        <v>85</v>
      </c>
      <c r="AL4" s="9">
        <v>0.13913</v>
      </c>
      <c r="AM4" s="9">
        <v>0.150895</v>
      </c>
      <c r="AN4" s="9" t="s">
        <v>85</v>
      </c>
      <c r="AO4" s="9">
        <v>0.285934</v>
      </c>
      <c r="AP4" s="9">
        <v>0.31202</v>
      </c>
      <c r="AQ4" s="9" t="s">
        <v>85</v>
      </c>
      <c r="AR4" s="30">
        <v>0.276726341</v>
      </c>
      <c r="AS4" s="30">
        <v>0.317136</v>
      </c>
      <c r="AT4" s="9" t="s">
        <v>85</v>
      </c>
      <c r="AU4" s="9">
        <v>0.070077</v>
      </c>
      <c r="AV4" s="9">
        <v>0.063939</v>
      </c>
      <c r="AW4" s="9" t="s">
        <v>85</v>
      </c>
      <c r="AX4" s="9">
        <v>0.142711</v>
      </c>
      <c r="AY4" s="9">
        <v>0.140665</v>
      </c>
      <c r="AZ4" s="9" t="s">
        <v>85</v>
      </c>
      <c r="BA4" s="9">
        <v>0.190793</v>
      </c>
      <c r="BB4" s="9">
        <v>0.16624</v>
      </c>
      <c r="BC4" s="9" t="s">
        <v>85</v>
      </c>
      <c r="BD4" s="30">
        <v>0.175448</v>
      </c>
      <c r="BE4" s="30">
        <v>0.176471</v>
      </c>
      <c r="BF4" s="9" t="s">
        <v>85</v>
      </c>
      <c r="BG4" s="10" t="s">
        <v>85</v>
      </c>
      <c r="BH4" s="10" t="s">
        <v>85</v>
      </c>
      <c r="BI4" s="9" t="s">
        <v>85</v>
      </c>
      <c r="BJ4" s="6"/>
      <c r="BK4" s="6" t="str">
        <f t="shared" si="2"/>
        <v>5BoN_Fold_Median</v>
      </c>
      <c r="BL4" s="6" t="str">
        <f t="shared" si="3"/>
        <v>12BoN_Fold_Median</v>
      </c>
      <c r="BM4" s="6" t="str">
        <f t="shared" si="4"/>
        <v>12Bo_Fold_Median</v>
      </c>
      <c r="BN4" s="6"/>
      <c r="BO4" s="6">
        <f t="shared" ref="BO4:BQ4" si="5">IF(ISNUMBER(SEARCH("5",BK4)),5,IF(ISNUMBER(SEARCH("*8*",BK4)),8,IF(ISNUMBER(SEARCH("*10*",BK4)),10,IF(ISNUMBER(SEARCH("*12*",BK4)),12,IF(ISNUMBER(SEARCH("*20*",BK4)),20)))))</f>
        <v>5</v>
      </c>
      <c r="BP4" s="6">
        <f t="shared" si="5"/>
        <v>12</v>
      </c>
      <c r="BQ4" s="6">
        <f t="shared" si="5"/>
        <v>12</v>
      </c>
      <c r="BR4" s="6"/>
      <c r="BS4" s="6">
        <f t="shared" si="6"/>
        <v>60</v>
      </c>
      <c r="BT4" s="6">
        <f t="shared" si="7"/>
        <v>86.5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 t="s">
        <v>301</v>
      </c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2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</row>
    <row r="5" ht="15.75" customHeight="1">
      <c r="A5" s="1" t="s">
        <v>91</v>
      </c>
      <c r="B5" s="17">
        <v>251.0</v>
      </c>
      <c r="C5" s="17">
        <v>3.0</v>
      </c>
      <c r="D5" s="17" t="s">
        <v>300</v>
      </c>
      <c r="E5" s="9">
        <v>0.617143</v>
      </c>
      <c r="F5" s="9">
        <v>0.634286</v>
      </c>
      <c r="G5" s="9" t="s">
        <v>85</v>
      </c>
      <c r="H5" s="30">
        <v>0.629714286</v>
      </c>
      <c r="I5" s="30">
        <v>0.617142856</v>
      </c>
      <c r="J5" s="9" t="s">
        <v>85</v>
      </c>
      <c r="K5" s="9">
        <v>0.666286</v>
      </c>
      <c r="L5" s="9">
        <v>0.668571</v>
      </c>
      <c r="M5" s="9" t="s">
        <v>85</v>
      </c>
      <c r="N5" s="9">
        <v>0.67428571</v>
      </c>
      <c r="O5" s="9">
        <v>0.68</v>
      </c>
      <c r="P5" s="9" t="s">
        <v>85</v>
      </c>
      <c r="Q5" s="9">
        <v>0.650286</v>
      </c>
      <c r="R5" s="9">
        <v>0.645714</v>
      </c>
      <c r="S5" s="9" t="s">
        <v>85</v>
      </c>
      <c r="T5" s="9">
        <v>0.656000006</v>
      </c>
      <c r="U5" s="9">
        <v>0.64</v>
      </c>
      <c r="V5" s="9" t="s">
        <v>85</v>
      </c>
      <c r="W5" s="9">
        <v>0.661714</v>
      </c>
      <c r="X5" s="9">
        <v>0.68</v>
      </c>
      <c r="Y5" s="9" t="s">
        <v>85</v>
      </c>
      <c r="Z5" s="9">
        <v>0.689143</v>
      </c>
      <c r="AA5" s="9">
        <v>0.697143</v>
      </c>
      <c r="AB5" s="9" t="s">
        <v>85</v>
      </c>
      <c r="AC5" s="30">
        <v>0.672000015</v>
      </c>
      <c r="AD5" s="30">
        <v>0.708571</v>
      </c>
      <c r="AE5" s="9" t="s">
        <v>85</v>
      </c>
      <c r="AF5" s="30">
        <v>0.677714288</v>
      </c>
      <c r="AG5" s="30">
        <v>0.68</v>
      </c>
      <c r="AH5" s="9" t="s">
        <v>85</v>
      </c>
      <c r="AI5" s="9">
        <v>0.630857</v>
      </c>
      <c r="AJ5" s="9">
        <v>0.6</v>
      </c>
      <c r="AK5" s="9" t="s">
        <v>85</v>
      </c>
      <c r="AL5" s="9">
        <v>0.669714</v>
      </c>
      <c r="AM5" s="9">
        <v>0.691429</v>
      </c>
      <c r="AN5" s="9" t="s">
        <v>85</v>
      </c>
      <c r="AO5" s="9">
        <v>0.714286</v>
      </c>
      <c r="AP5" s="9">
        <v>0.708571</v>
      </c>
      <c r="AQ5" s="9" t="s">
        <v>85</v>
      </c>
      <c r="AR5" s="30" t="s">
        <v>85</v>
      </c>
      <c r="AS5" s="30" t="s">
        <v>85</v>
      </c>
      <c r="AT5" s="9" t="s">
        <v>85</v>
      </c>
      <c r="AU5" s="9">
        <v>0.694857</v>
      </c>
      <c r="AV5" s="9">
        <v>0.714286</v>
      </c>
      <c r="AW5" s="9" t="s">
        <v>85</v>
      </c>
      <c r="AX5" s="9">
        <v>0.706286</v>
      </c>
      <c r="AY5" s="9">
        <v>0.737143</v>
      </c>
      <c r="AZ5" s="9" t="s">
        <v>85</v>
      </c>
      <c r="BA5" s="9">
        <v>0.690286</v>
      </c>
      <c r="BB5" s="9">
        <v>0.662857</v>
      </c>
      <c r="BC5" s="9" t="s">
        <v>85</v>
      </c>
      <c r="BD5" s="30">
        <v>0.752</v>
      </c>
      <c r="BE5" s="30">
        <v>0.748571</v>
      </c>
      <c r="BF5" s="9" t="s">
        <v>85</v>
      </c>
      <c r="BG5" s="10" t="s">
        <v>85</v>
      </c>
      <c r="BH5" s="10" t="s">
        <v>85</v>
      </c>
      <c r="BI5" s="9" t="s">
        <v>85</v>
      </c>
      <c r="BJ5" s="6"/>
      <c r="BK5" s="6" t="str">
        <f t="shared" si="2"/>
        <v>20V_Fold_Mean</v>
      </c>
      <c r="BL5" s="6" t="str">
        <f t="shared" si="3"/>
        <v>20V_Fold_Median</v>
      </c>
      <c r="BM5" s="6" t="str">
        <f t="shared" si="4"/>
        <v>12VB_Fold_Median</v>
      </c>
      <c r="BN5" s="6"/>
      <c r="BO5" s="6">
        <f t="shared" ref="BO5:BQ5" si="8">IF(ISNUMBER(SEARCH("5",BK5)),5,IF(ISNUMBER(SEARCH("*8*",BK5)),8,IF(ISNUMBER(SEARCH("*10*",BK5)),10,IF(ISNUMBER(SEARCH("*12*",BK5)),12,IF(ISNUMBER(SEARCH("*20*",BK5)),20)))))</f>
        <v>20</v>
      </c>
      <c r="BP5" s="6">
        <f t="shared" si="8"/>
        <v>20</v>
      </c>
      <c r="BQ5" s="6">
        <f t="shared" si="8"/>
        <v>12</v>
      </c>
      <c r="BR5" s="6"/>
      <c r="BS5" s="6">
        <f t="shared" si="6"/>
        <v>57</v>
      </c>
      <c r="BT5" s="6">
        <f t="shared" si="7"/>
        <v>8.5</v>
      </c>
      <c r="BU5" s="6"/>
      <c r="BV5" s="6"/>
      <c r="BW5" s="1" t="s">
        <v>248</v>
      </c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</row>
    <row r="6" ht="15.75" customHeight="1">
      <c r="A6" s="1" t="s">
        <v>93</v>
      </c>
      <c r="B6" s="17">
        <v>470.0</v>
      </c>
      <c r="C6" s="17">
        <v>5.0</v>
      </c>
      <c r="D6" s="17" t="s">
        <v>302</v>
      </c>
      <c r="E6" s="9">
        <v>0.353333</v>
      </c>
      <c r="F6" s="9">
        <v>0.433333</v>
      </c>
      <c r="G6" s="9" t="s">
        <v>85</v>
      </c>
      <c r="H6" s="30">
        <v>0.493333346</v>
      </c>
      <c r="I6" s="30">
        <v>0.466666669</v>
      </c>
      <c r="J6" s="9" t="s">
        <v>85</v>
      </c>
      <c r="K6" s="9">
        <v>0.333333</v>
      </c>
      <c r="L6" s="9">
        <v>0.366667</v>
      </c>
      <c r="M6" s="9" t="s">
        <v>85</v>
      </c>
      <c r="N6" s="9">
        <v>0.326666677</v>
      </c>
      <c r="O6" s="9">
        <v>0.333333</v>
      </c>
      <c r="P6" s="9" t="s">
        <v>85</v>
      </c>
      <c r="Q6" s="9">
        <v>0.5</v>
      </c>
      <c r="R6" s="9">
        <v>0.5</v>
      </c>
      <c r="S6" s="9" t="s">
        <v>85</v>
      </c>
      <c r="T6" s="9">
        <v>0.453333339</v>
      </c>
      <c r="U6" s="9">
        <v>0.5</v>
      </c>
      <c r="V6" s="9" t="s">
        <v>85</v>
      </c>
      <c r="W6" s="9">
        <v>0.393333</v>
      </c>
      <c r="X6" s="9">
        <v>0.4</v>
      </c>
      <c r="Y6" s="9" t="s">
        <v>85</v>
      </c>
      <c r="Z6" s="9">
        <v>0.44</v>
      </c>
      <c r="AA6" s="9">
        <v>0.466667</v>
      </c>
      <c r="AB6" s="9" t="s">
        <v>85</v>
      </c>
      <c r="AC6" s="30">
        <v>0.44666667</v>
      </c>
      <c r="AD6" s="30">
        <v>0.5</v>
      </c>
      <c r="AE6" s="9" t="s">
        <v>85</v>
      </c>
      <c r="AF6" s="30">
        <v>0.366666669</v>
      </c>
      <c r="AG6" s="30">
        <v>0.4</v>
      </c>
      <c r="AH6" s="9" t="s">
        <v>85</v>
      </c>
      <c r="AI6" s="9">
        <v>0.48</v>
      </c>
      <c r="AJ6" s="9">
        <v>0.466667</v>
      </c>
      <c r="AK6" s="9" t="s">
        <v>85</v>
      </c>
      <c r="AL6" s="9">
        <v>0.426667</v>
      </c>
      <c r="AM6" s="9">
        <v>0.433333</v>
      </c>
      <c r="AN6" s="9" t="s">
        <v>85</v>
      </c>
      <c r="AO6" s="9">
        <v>0.446667</v>
      </c>
      <c r="AP6" s="9">
        <v>0.433333</v>
      </c>
      <c r="AQ6" s="9" t="s">
        <v>85</v>
      </c>
      <c r="AR6" s="30">
        <v>0.43333334</v>
      </c>
      <c r="AS6" s="30">
        <v>0.466667</v>
      </c>
      <c r="AT6" s="9" t="s">
        <v>85</v>
      </c>
      <c r="AU6" s="9">
        <v>0.36</v>
      </c>
      <c r="AV6" s="9">
        <v>0.4</v>
      </c>
      <c r="AW6" s="9" t="s">
        <v>85</v>
      </c>
      <c r="AX6" s="9">
        <v>0.38</v>
      </c>
      <c r="AY6" s="9">
        <v>0.4</v>
      </c>
      <c r="AZ6" s="9" t="s">
        <v>85</v>
      </c>
      <c r="BA6" s="9">
        <v>0.426667</v>
      </c>
      <c r="BB6" s="9">
        <v>0.5</v>
      </c>
      <c r="BC6" s="9" t="s">
        <v>85</v>
      </c>
      <c r="BD6" s="30">
        <v>0.393333</v>
      </c>
      <c r="BE6" s="30">
        <v>0.4</v>
      </c>
      <c r="BF6" s="9" t="s">
        <v>85</v>
      </c>
      <c r="BG6" s="10" t="s">
        <v>85</v>
      </c>
      <c r="BH6" s="10" t="s">
        <v>85</v>
      </c>
      <c r="BI6" s="9" t="s">
        <v>85</v>
      </c>
      <c r="BJ6" s="6"/>
      <c r="BK6" s="6" t="str">
        <f t="shared" si="2"/>
        <v>8Bo_Fold_Mean</v>
      </c>
      <c r="BL6" s="6" t="str">
        <f t="shared" si="3"/>
        <v>8Bo_Fold_Mean</v>
      </c>
      <c r="BM6" s="6" t="str">
        <f t="shared" si="4"/>
        <v>8Bo_Fold_Mean</v>
      </c>
      <c r="BN6" s="6"/>
      <c r="BO6" s="6">
        <f t="shared" ref="BO6:BQ6" si="9">IF(ISNUMBER(SEARCH("5",BK6)),5,IF(ISNUMBER(SEARCH("*8*",BK6)),8,IF(ISNUMBER(SEARCH("*10*",BK6)),10,IF(ISNUMBER(SEARCH("*12*",BK6)),12,IF(ISNUMBER(SEARCH("*20*",BK6)),20)))))</f>
        <v>8</v>
      </c>
      <c r="BP6" s="6">
        <f t="shared" si="9"/>
        <v>8</v>
      </c>
      <c r="BQ6" s="6">
        <f t="shared" si="9"/>
        <v>8</v>
      </c>
      <c r="BR6" s="6"/>
      <c r="BS6" s="6">
        <f t="shared" si="6"/>
        <v>39</v>
      </c>
      <c r="BT6" s="6">
        <f t="shared" si="7"/>
        <v>65</v>
      </c>
      <c r="BU6" s="6"/>
      <c r="BV6" s="6"/>
      <c r="BW6" s="1" t="s">
        <v>213</v>
      </c>
      <c r="BX6" s="6" t="s">
        <v>249</v>
      </c>
      <c r="BY6" s="6"/>
      <c r="BZ6" s="6"/>
      <c r="CA6" s="6"/>
      <c r="CB6" s="6"/>
      <c r="CC6" s="6"/>
      <c r="CD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</row>
    <row r="7" ht="15.75" customHeight="1">
      <c r="A7" s="1" t="s">
        <v>95</v>
      </c>
      <c r="B7" s="17">
        <v>512.0</v>
      </c>
      <c r="C7" s="17">
        <v>2.0</v>
      </c>
      <c r="D7" s="17" t="s">
        <v>300</v>
      </c>
      <c r="E7" s="9">
        <v>0.68</v>
      </c>
      <c r="F7" s="9">
        <v>0.7</v>
      </c>
      <c r="G7" s="9" t="s">
        <v>85</v>
      </c>
      <c r="H7" s="30">
        <v>0.830000019</v>
      </c>
      <c r="I7" s="30">
        <v>0.850000024</v>
      </c>
      <c r="J7" s="9" t="s">
        <v>85</v>
      </c>
      <c r="K7" s="9">
        <v>0.71</v>
      </c>
      <c r="L7" s="9">
        <v>0.7</v>
      </c>
      <c r="M7" s="9" t="s">
        <v>85</v>
      </c>
      <c r="N7" s="9">
        <v>0.719999993</v>
      </c>
      <c r="O7" s="9">
        <v>0.75</v>
      </c>
      <c r="P7" s="9" t="s">
        <v>85</v>
      </c>
      <c r="Q7" s="9">
        <v>0.76</v>
      </c>
      <c r="R7" s="9">
        <v>0.8</v>
      </c>
      <c r="S7" s="9" t="s">
        <v>85</v>
      </c>
      <c r="T7" s="9">
        <v>0.810000002</v>
      </c>
      <c r="U7" s="9">
        <v>0.8</v>
      </c>
      <c r="V7" s="9" t="s">
        <v>85</v>
      </c>
      <c r="W7" s="9">
        <v>0.65</v>
      </c>
      <c r="X7" s="9">
        <v>0.65</v>
      </c>
      <c r="Y7" s="9" t="s">
        <v>85</v>
      </c>
      <c r="Z7" s="9">
        <v>0.63</v>
      </c>
      <c r="AA7" s="9">
        <v>0.65</v>
      </c>
      <c r="AB7" s="9" t="s">
        <v>85</v>
      </c>
      <c r="AC7" s="30">
        <v>0.75</v>
      </c>
      <c r="AD7" s="30">
        <v>0.75</v>
      </c>
      <c r="AE7" s="9" t="s">
        <v>85</v>
      </c>
      <c r="AF7" s="30">
        <v>0.639999998</v>
      </c>
      <c r="AG7" s="30">
        <v>0.5</v>
      </c>
      <c r="AH7" s="9" t="s">
        <v>85</v>
      </c>
      <c r="AI7" s="9">
        <v>0.65</v>
      </c>
      <c r="AJ7" s="9">
        <v>0.65</v>
      </c>
      <c r="AK7" s="9" t="s">
        <v>85</v>
      </c>
      <c r="AL7" s="9">
        <v>0.63</v>
      </c>
      <c r="AM7" s="9">
        <v>0.65</v>
      </c>
      <c r="AN7" s="9" t="s">
        <v>85</v>
      </c>
      <c r="AO7" s="9">
        <v>0.64</v>
      </c>
      <c r="AP7" s="9">
        <v>0.55</v>
      </c>
      <c r="AQ7" s="9" t="s">
        <v>85</v>
      </c>
      <c r="AR7" s="30">
        <v>0.7</v>
      </c>
      <c r="AS7" s="30">
        <v>0.75</v>
      </c>
      <c r="AT7" s="9" t="s">
        <v>85</v>
      </c>
      <c r="AU7" s="9">
        <v>0.74</v>
      </c>
      <c r="AV7" s="9">
        <v>0.8</v>
      </c>
      <c r="AW7" s="9" t="s">
        <v>85</v>
      </c>
      <c r="AX7" s="9">
        <v>0.69</v>
      </c>
      <c r="AY7" s="9">
        <v>0.8</v>
      </c>
      <c r="AZ7" s="9" t="s">
        <v>85</v>
      </c>
      <c r="BA7" s="9">
        <v>0.82</v>
      </c>
      <c r="BB7" s="9">
        <v>0.85</v>
      </c>
      <c r="BC7" s="9" t="s">
        <v>85</v>
      </c>
      <c r="BD7" s="30">
        <v>0.9</v>
      </c>
      <c r="BE7" s="30">
        <v>0.9</v>
      </c>
      <c r="BF7" s="9" t="s">
        <v>85</v>
      </c>
      <c r="BG7" s="10" t="s">
        <v>85</v>
      </c>
      <c r="BH7" s="10" t="s">
        <v>85</v>
      </c>
      <c r="BI7" s="9" t="s">
        <v>85</v>
      </c>
      <c r="BJ7" s="6"/>
      <c r="BK7" s="6" t="str">
        <f t="shared" si="2"/>
        <v>20V_Fold_Mean</v>
      </c>
      <c r="BL7" s="6" t="str">
        <f t="shared" si="3"/>
        <v>20V_Fold_Mean</v>
      </c>
      <c r="BM7" s="6" t="str">
        <f t="shared" si="4"/>
        <v>5BoN_Fold_Median</v>
      </c>
      <c r="BN7" s="6"/>
      <c r="BO7" s="6">
        <f t="shared" ref="BO7:BQ7" si="10">IF(ISNUMBER(SEARCH("5",BK7)),5,IF(ISNUMBER(SEARCH("*8*",BK7)),8,IF(ISNUMBER(SEARCH("*10*",BK7)),10,IF(ISNUMBER(SEARCH("*12*",BK7)),12,IF(ISNUMBER(SEARCH("*20*",BK7)),20)))))</f>
        <v>20</v>
      </c>
      <c r="BP7" s="6">
        <f t="shared" si="10"/>
        <v>20</v>
      </c>
      <c r="BQ7" s="6">
        <f t="shared" si="10"/>
        <v>5</v>
      </c>
      <c r="BR7" s="6"/>
      <c r="BS7" s="6">
        <f t="shared" si="6"/>
        <v>33</v>
      </c>
      <c r="BT7" s="6">
        <f t="shared" si="7"/>
        <v>8.5</v>
      </c>
      <c r="BU7" s="6"/>
      <c r="BV7" s="6"/>
      <c r="BX7" s="6" t="s">
        <v>255</v>
      </c>
      <c r="BY7" s="6" t="s">
        <v>256</v>
      </c>
      <c r="BZ7" s="6" t="s">
        <v>257</v>
      </c>
      <c r="CA7" s="6" t="s">
        <v>258</v>
      </c>
      <c r="CB7" s="6" t="s">
        <v>259</v>
      </c>
      <c r="CC7" s="6"/>
      <c r="CD7" s="6"/>
      <c r="CE7" s="1" t="s">
        <v>213</v>
      </c>
      <c r="CF7" s="6" t="s">
        <v>236</v>
      </c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1" t="s">
        <v>213</v>
      </c>
      <c r="CS7" s="26" t="s">
        <v>212</v>
      </c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</row>
    <row r="8" ht="15.75" customHeight="1">
      <c r="A8" s="1" t="s">
        <v>97</v>
      </c>
      <c r="B8" s="17">
        <v>512.0</v>
      </c>
      <c r="C8" s="17">
        <v>2.0</v>
      </c>
      <c r="D8" s="17" t="s">
        <v>300</v>
      </c>
      <c r="E8" s="9">
        <v>0.68</v>
      </c>
      <c r="F8" s="9">
        <v>0.7</v>
      </c>
      <c r="G8" s="9" t="s">
        <v>85</v>
      </c>
      <c r="H8" s="30">
        <v>0.6</v>
      </c>
      <c r="I8" s="30">
        <v>0.600000024</v>
      </c>
      <c r="J8" s="9" t="s">
        <v>85</v>
      </c>
      <c r="K8" s="9">
        <v>0.75</v>
      </c>
      <c r="L8" s="9">
        <v>0.8</v>
      </c>
      <c r="M8" s="9" t="s">
        <v>85</v>
      </c>
      <c r="N8" s="9">
        <v>0.7</v>
      </c>
      <c r="O8" s="9">
        <v>0.7</v>
      </c>
      <c r="P8" s="9" t="s">
        <v>85</v>
      </c>
      <c r="Q8" s="9">
        <v>0.58</v>
      </c>
      <c r="R8" s="9">
        <v>0.55</v>
      </c>
      <c r="S8" s="9" t="s">
        <v>85</v>
      </c>
      <c r="T8" s="9">
        <v>0.560000002</v>
      </c>
      <c r="U8" s="9">
        <v>0.55</v>
      </c>
      <c r="V8" s="9" t="s">
        <v>85</v>
      </c>
      <c r="W8" s="9">
        <v>0.66</v>
      </c>
      <c r="X8" s="9">
        <v>0.7</v>
      </c>
      <c r="Y8" s="9" t="s">
        <v>85</v>
      </c>
      <c r="Z8" s="9">
        <v>0.7</v>
      </c>
      <c r="AA8" s="9">
        <v>0.7</v>
      </c>
      <c r="AB8" s="9" t="s">
        <v>85</v>
      </c>
      <c r="AC8" s="30">
        <v>0.679999995</v>
      </c>
      <c r="AD8" s="30">
        <v>0.7</v>
      </c>
      <c r="AE8" s="9" t="s">
        <v>85</v>
      </c>
      <c r="AF8" s="30">
        <v>0.719999993</v>
      </c>
      <c r="AG8" s="30">
        <v>0.75</v>
      </c>
      <c r="AH8" s="9" t="s">
        <v>85</v>
      </c>
      <c r="AI8" s="9">
        <v>0.72</v>
      </c>
      <c r="AJ8" s="9">
        <v>0.85</v>
      </c>
      <c r="AK8" s="9" t="s">
        <v>85</v>
      </c>
      <c r="AL8" s="9">
        <v>0.79</v>
      </c>
      <c r="AM8" s="9">
        <v>0.8</v>
      </c>
      <c r="AN8" s="9" t="s">
        <v>85</v>
      </c>
      <c r="AO8" s="9">
        <v>0.61</v>
      </c>
      <c r="AP8" s="9">
        <v>0.6</v>
      </c>
      <c r="AQ8" s="9" t="s">
        <v>85</v>
      </c>
      <c r="AR8" s="30">
        <v>0.60999999</v>
      </c>
      <c r="AS8" s="30">
        <v>0.65</v>
      </c>
      <c r="AT8" s="9" t="s">
        <v>85</v>
      </c>
      <c r="AU8" s="9">
        <v>0.67</v>
      </c>
      <c r="AV8" s="9">
        <v>0.7</v>
      </c>
      <c r="AW8" s="9" t="s">
        <v>85</v>
      </c>
      <c r="AX8" s="9">
        <v>0.68</v>
      </c>
      <c r="AY8" s="9">
        <v>0.7</v>
      </c>
      <c r="AZ8" s="9" t="s">
        <v>85</v>
      </c>
      <c r="BA8" s="9">
        <v>0.64</v>
      </c>
      <c r="BB8" s="9">
        <v>0.65</v>
      </c>
      <c r="BC8" s="9" t="s">
        <v>85</v>
      </c>
      <c r="BD8" s="30">
        <v>0.63</v>
      </c>
      <c r="BE8" s="30">
        <v>0.65</v>
      </c>
      <c r="BF8" s="9" t="s">
        <v>85</v>
      </c>
      <c r="BG8" s="10" t="s">
        <v>85</v>
      </c>
      <c r="BH8" s="10" t="s">
        <v>85</v>
      </c>
      <c r="BI8" s="9" t="s">
        <v>85</v>
      </c>
      <c r="BJ8" s="6"/>
      <c r="BK8" s="6" t="str">
        <f t="shared" si="2"/>
        <v>10V_Fold_Median</v>
      </c>
      <c r="BL8" s="6" t="str">
        <f t="shared" si="3"/>
        <v>5V_Fold_Median</v>
      </c>
      <c r="BM8" s="6" t="str">
        <f t="shared" si="4"/>
        <v>5V_Fold_Median</v>
      </c>
      <c r="BN8" s="6"/>
      <c r="BO8" s="6">
        <f t="shared" ref="BO8:BQ8" si="11">IF(ISNUMBER(SEARCH("5",BK8)),5,IF(ISNUMBER(SEARCH("*8*",BK8)),8,IF(ISNUMBER(SEARCH("*10*",BK8)),10,IF(ISNUMBER(SEARCH("*12*",BK8)),12,IF(ISNUMBER(SEARCH("*20*",BK8)),20)))))</f>
        <v>10</v>
      </c>
      <c r="BP8" s="6">
        <f t="shared" si="11"/>
        <v>5</v>
      </c>
      <c r="BQ8" s="6">
        <f t="shared" si="11"/>
        <v>5</v>
      </c>
      <c r="BR8" s="6"/>
      <c r="BS8" s="6">
        <f t="shared" si="6"/>
        <v>33</v>
      </c>
      <c r="BT8" s="6">
        <f t="shared" si="7"/>
        <v>46.5</v>
      </c>
      <c r="BU8" s="6"/>
      <c r="BV8" s="6"/>
      <c r="BW8" s="6"/>
      <c r="BX8" s="6">
        <f>COUNTIF(BK3:BK100,"*5*")</f>
        <v>24</v>
      </c>
      <c r="BY8" s="6">
        <f>COUNTIF(BK3:BK100,"*8*")</f>
        <v>19</v>
      </c>
      <c r="BZ8" s="6">
        <f>COUNTIF(BK3:BK100,"*10*")</f>
        <v>18</v>
      </c>
      <c r="CA8" s="6">
        <f>COUNTIF(BK3:BK100,"*12*")</f>
        <v>21</v>
      </c>
      <c r="CB8" s="6">
        <f>COUNTIF(BK3:BK100,"*20*")</f>
        <v>16</v>
      </c>
      <c r="CC8" s="6"/>
      <c r="CD8" s="6"/>
      <c r="CF8" s="27" t="s">
        <v>243</v>
      </c>
      <c r="CG8" s="28"/>
      <c r="CH8" s="27" t="s">
        <v>244</v>
      </c>
      <c r="CI8" s="28"/>
      <c r="CJ8" s="27" t="s">
        <v>245</v>
      </c>
      <c r="CK8" s="28"/>
      <c r="CL8" s="6" t="s">
        <v>246</v>
      </c>
      <c r="CM8" s="6"/>
      <c r="CN8" s="27" t="s">
        <v>247</v>
      </c>
      <c r="CO8" s="28"/>
      <c r="CP8" s="6"/>
      <c r="CQ8" s="6"/>
      <c r="CS8" s="27" t="s">
        <v>221</v>
      </c>
      <c r="CT8" s="28"/>
      <c r="CU8" s="27" t="s">
        <v>222</v>
      </c>
      <c r="CV8" s="28"/>
      <c r="CW8" s="27" t="s">
        <v>223</v>
      </c>
      <c r="CX8" s="28"/>
      <c r="CY8" s="6" t="s">
        <v>224</v>
      </c>
      <c r="CZ8" s="6"/>
      <c r="DA8" s="27" t="s">
        <v>225</v>
      </c>
      <c r="DB8" s="28"/>
      <c r="DC8" s="6"/>
      <c r="DD8" s="6"/>
    </row>
    <row r="9" ht="15.75" customHeight="1">
      <c r="A9" s="1" t="s">
        <v>98</v>
      </c>
      <c r="B9" s="17">
        <v>128.0</v>
      </c>
      <c r="C9" s="17">
        <v>3.0</v>
      </c>
      <c r="D9" s="17" t="s">
        <v>303</v>
      </c>
      <c r="E9" s="9">
        <v>0.798667</v>
      </c>
      <c r="F9" s="9">
        <v>0.886667</v>
      </c>
      <c r="G9" s="9" t="s">
        <v>85</v>
      </c>
      <c r="H9" s="30">
        <v>0.874666655</v>
      </c>
      <c r="I9" s="30">
        <v>0.886666656</v>
      </c>
      <c r="J9" s="9" t="s">
        <v>85</v>
      </c>
      <c r="K9" s="9">
        <v>0.949333</v>
      </c>
      <c r="L9" s="9">
        <v>0.953333</v>
      </c>
      <c r="M9" s="9" t="s">
        <v>85</v>
      </c>
      <c r="N9" s="9">
        <v>0.961333323</v>
      </c>
      <c r="O9" s="9">
        <v>0.96</v>
      </c>
      <c r="P9" s="9" t="s">
        <v>85</v>
      </c>
      <c r="Q9" s="9">
        <v>0.784</v>
      </c>
      <c r="R9" s="9">
        <v>0.88</v>
      </c>
      <c r="S9" s="9" t="s">
        <v>85</v>
      </c>
      <c r="T9" s="9">
        <v>0.886666667</v>
      </c>
      <c r="U9" s="9">
        <v>0.9</v>
      </c>
      <c r="V9" s="9" t="s">
        <v>85</v>
      </c>
      <c r="W9" s="9">
        <v>0.901333</v>
      </c>
      <c r="X9" s="9">
        <v>0.92</v>
      </c>
      <c r="Y9" s="9" t="s">
        <v>85</v>
      </c>
      <c r="Z9" s="9">
        <v>0.938667</v>
      </c>
      <c r="AA9" s="9">
        <v>0.953333</v>
      </c>
      <c r="AB9" s="9" t="s">
        <v>85</v>
      </c>
      <c r="AC9" s="30">
        <v>0.881333327</v>
      </c>
      <c r="AD9" s="30">
        <v>0.886667</v>
      </c>
      <c r="AE9" s="9" t="s">
        <v>85</v>
      </c>
      <c r="AF9" s="30">
        <v>0.846666658</v>
      </c>
      <c r="AG9" s="30">
        <v>0.893333</v>
      </c>
      <c r="AH9" s="9" t="s">
        <v>85</v>
      </c>
      <c r="AI9" s="9">
        <v>0.925333</v>
      </c>
      <c r="AJ9" s="9">
        <v>0.933333</v>
      </c>
      <c r="AK9" s="9" t="s">
        <v>85</v>
      </c>
      <c r="AL9" s="9">
        <v>0.918667</v>
      </c>
      <c r="AM9" s="9">
        <v>0.92</v>
      </c>
      <c r="AN9" s="9" t="s">
        <v>85</v>
      </c>
      <c r="AO9" s="9">
        <v>0.802667</v>
      </c>
      <c r="AP9" s="9">
        <v>0.873333</v>
      </c>
      <c r="AQ9" s="9" t="s">
        <v>85</v>
      </c>
      <c r="AR9" s="30">
        <v>0.876000011</v>
      </c>
      <c r="AS9" s="30">
        <v>0.893333</v>
      </c>
      <c r="AT9" s="9" t="s">
        <v>85</v>
      </c>
      <c r="AU9" s="9">
        <v>0.88</v>
      </c>
      <c r="AV9" s="9">
        <v>0.866667</v>
      </c>
      <c r="AW9" s="9" t="s">
        <v>85</v>
      </c>
      <c r="AX9" s="9">
        <v>0.901333</v>
      </c>
      <c r="AY9" s="9">
        <v>0.906667</v>
      </c>
      <c r="AZ9" s="9" t="s">
        <v>85</v>
      </c>
      <c r="BA9" s="9">
        <v>0.829333</v>
      </c>
      <c r="BB9" s="9">
        <v>0.833333</v>
      </c>
      <c r="BC9" s="9" t="s">
        <v>85</v>
      </c>
      <c r="BD9" s="30">
        <v>0.92</v>
      </c>
      <c r="BE9" s="30">
        <v>0.926667</v>
      </c>
      <c r="BF9" s="9" t="s">
        <v>85</v>
      </c>
      <c r="BG9" s="10" t="s">
        <v>85</v>
      </c>
      <c r="BH9" s="10" t="s">
        <v>85</v>
      </c>
      <c r="BI9" s="9" t="s">
        <v>85</v>
      </c>
      <c r="BJ9" s="6"/>
      <c r="BK9" s="6" t="str">
        <f t="shared" si="2"/>
        <v>5VB_Fold_Mean</v>
      </c>
      <c r="BL9" s="6" t="str">
        <f t="shared" si="3"/>
        <v>5VB_Fold_Median</v>
      </c>
      <c r="BM9" s="6" t="str">
        <f t="shared" si="4"/>
        <v>5V_Fold_Median</v>
      </c>
      <c r="BN9" s="6"/>
      <c r="BO9" s="6">
        <f t="shared" ref="BO9:BQ9" si="12">IF(ISNUMBER(SEARCH("5",BK9)),5,IF(ISNUMBER(SEARCH("*8*",BK9)),8,IF(ISNUMBER(SEARCH("*10*",BK9)),10,IF(ISNUMBER(SEARCH("*12*",BK9)),12,IF(ISNUMBER(SEARCH("*20*",BK9)),20)))))</f>
        <v>5</v>
      </c>
      <c r="BP9" s="6">
        <f t="shared" si="12"/>
        <v>5</v>
      </c>
      <c r="BQ9" s="6">
        <f t="shared" si="12"/>
        <v>5</v>
      </c>
      <c r="BR9" s="6"/>
      <c r="BS9" s="6">
        <f t="shared" si="6"/>
        <v>74.5</v>
      </c>
      <c r="BT9" s="6">
        <f t="shared" si="7"/>
        <v>86.5</v>
      </c>
      <c r="BU9" s="6"/>
      <c r="BV9" s="6"/>
      <c r="BW9" s="6" t="s">
        <v>226</v>
      </c>
      <c r="BX9" s="18">
        <f t="shared" ref="BX9:CB9" si="13">MINUS(BX8,SUM(BX10,BX11))</f>
        <v>14</v>
      </c>
      <c r="BY9" s="18">
        <f t="shared" si="13"/>
        <v>6</v>
      </c>
      <c r="BZ9" s="18">
        <f t="shared" si="13"/>
        <v>8</v>
      </c>
      <c r="CA9" s="18">
        <f t="shared" si="13"/>
        <v>10</v>
      </c>
      <c r="CB9" s="18">
        <f t="shared" si="13"/>
        <v>7</v>
      </c>
      <c r="CC9" s="6">
        <f t="shared" ref="CC9:CC11" si="15">SUM(BX9:CB9)</f>
        <v>45</v>
      </c>
      <c r="CD9" s="6"/>
      <c r="CE9" s="6"/>
      <c r="CF9" s="6" t="s">
        <v>226</v>
      </c>
      <c r="CG9" s="6" t="s">
        <v>227</v>
      </c>
      <c r="CH9" s="6" t="s">
        <v>226</v>
      </c>
      <c r="CI9" s="6" t="s">
        <v>227</v>
      </c>
      <c r="CJ9" s="6" t="s">
        <v>226</v>
      </c>
      <c r="CK9" s="6" t="s">
        <v>227</v>
      </c>
      <c r="CL9" s="6" t="s">
        <v>226</v>
      </c>
      <c r="CM9" s="6" t="s">
        <v>227</v>
      </c>
      <c r="CN9" s="6" t="s">
        <v>226</v>
      </c>
      <c r="CO9" s="6" t="s">
        <v>227</v>
      </c>
      <c r="CP9" s="29" t="s">
        <v>304</v>
      </c>
      <c r="CQ9" s="29"/>
      <c r="CR9" s="6"/>
      <c r="CS9" s="6" t="s">
        <v>226</v>
      </c>
      <c r="CT9" s="6" t="s">
        <v>227</v>
      </c>
      <c r="CU9" s="6" t="s">
        <v>226</v>
      </c>
      <c r="CV9" s="6" t="s">
        <v>227</v>
      </c>
      <c r="CW9" s="6" t="s">
        <v>226</v>
      </c>
      <c r="CX9" s="6" t="s">
        <v>227</v>
      </c>
      <c r="CY9" s="6" t="s">
        <v>226</v>
      </c>
      <c r="CZ9" s="6" t="s">
        <v>227</v>
      </c>
      <c r="DA9" s="6" t="s">
        <v>226</v>
      </c>
      <c r="DB9" s="6" t="s">
        <v>227</v>
      </c>
      <c r="DC9" s="29" t="s">
        <v>304</v>
      </c>
      <c r="DD9" s="29"/>
    </row>
    <row r="10" ht="15.75" customHeight="1">
      <c r="A10" s="1" t="s">
        <v>99</v>
      </c>
      <c r="B10" s="17">
        <v>577.0</v>
      </c>
      <c r="C10" s="17">
        <v>4.0</v>
      </c>
      <c r="D10" s="17" t="s">
        <v>305</v>
      </c>
      <c r="E10" s="9">
        <v>0.536667</v>
      </c>
      <c r="F10" s="9">
        <v>0.55</v>
      </c>
      <c r="G10" s="9" t="s">
        <v>85</v>
      </c>
      <c r="H10" s="30">
        <v>0.543333328</v>
      </c>
      <c r="I10" s="30">
        <v>0.566666663</v>
      </c>
      <c r="J10" s="9" t="s">
        <v>85</v>
      </c>
      <c r="K10" s="9">
        <v>0.69</v>
      </c>
      <c r="L10" s="9">
        <v>0.683333</v>
      </c>
      <c r="M10" s="9" t="s">
        <v>85</v>
      </c>
      <c r="N10" s="9">
        <v>0.636666667</v>
      </c>
      <c r="O10" s="9">
        <v>0.633333</v>
      </c>
      <c r="P10" s="9" t="s">
        <v>85</v>
      </c>
      <c r="Q10" s="9">
        <v>0.556667</v>
      </c>
      <c r="R10" s="9">
        <v>0.55</v>
      </c>
      <c r="S10" s="9" t="s">
        <v>85</v>
      </c>
      <c r="T10" s="9">
        <v>0.543333334</v>
      </c>
      <c r="U10" s="9">
        <v>0.566667</v>
      </c>
      <c r="V10" s="9" t="s">
        <v>85</v>
      </c>
      <c r="W10" s="9">
        <v>0.656667</v>
      </c>
      <c r="X10" s="9">
        <v>0.65</v>
      </c>
      <c r="Y10" s="9" t="s">
        <v>85</v>
      </c>
      <c r="Z10" s="9">
        <v>0.63</v>
      </c>
      <c r="AA10" s="9">
        <v>0.616667</v>
      </c>
      <c r="AB10" s="9" t="s">
        <v>85</v>
      </c>
      <c r="AC10" s="30">
        <v>0.566666657</v>
      </c>
      <c r="AD10" s="30">
        <v>0.583333</v>
      </c>
      <c r="AE10" s="9" t="s">
        <v>85</v>
      </c>
      <c r="AF10" s="30">
        <v>0.566666675</v>
      </c>
      <c r="AG10" s="30">
        <v>0.566667</v>
      </c>
      <c r="AH10" s="9" t="s">
        <v>85</v>
      </c>
      <c r="AI10" s="9">
        <v>0.65</v>
      </c>
      <c r="AJ10" s="9">
        <v>0.633333</v>
      </c>
      <c r="AK10" s="9" t="s">
        <v>85</v>
      </c>
      <c r="AL10" s="9">
        <v>0.663333</v>
      </c>
      <c r="AM10" s="9">
        <v>0.666667</v>
      </c>
      <c r="AN10" s="9" t="s">
        <v>85</v>
      </c>
      <c r="AO10" s="9">
        <v>0.633333</v>
      </c>
      <c r="AP10" s="9">
        <v>0.633333</v>
      </c>
      <c r="AQ10" s="9" t="s">
        <v>85</v>
      </c>
      <c r="AR10" s="30">
        <v>0.593333352</v>
      </c>
      <c r="AS10" s="30">
        <v>0.6</v>
      </c>
      <c r="AT10" s="9" t="s">
        <v>85</v>
      </c>
      <c r="AU10" s="9">
        <v>0.653333</v>
      </c>
      <c r="AV10" s="9">
        <v>0.633333</v>
      </c>
      <c r="AW10" s="9" t="s">
        <v>85</v>
      </c>
      <c r="AX10" s="9">
        <v>0.7</v>
      </c>
      <c r="AY10" s="9">
        <v>0.7</v>
      </c>
      <c r="AZ10" s="9" t="s">
        <v>85</v>
      </c>
      <c r="BA10" s="9">
        <v>0.576667</v>
      </c>
      <c r="BB10" s="9">
        <v>0.6</v>
      </c>
      <c r="BC10" s="9" t="s">
        <v>85</v>
      </c>
      <c r="BD10" s="30">
        <v>0.65</v>
      </c>
      <c r="BE10" s="30">
        <v>0.666667</v>
      </c>
      <c r="BF10" s="9" t="s">
        <v>85</v>
      </c>
      <c r="BG10" s="10" t="s">
        <v>85</v>
      </c>
      <c r="BH10" s="10" t="s">
        <v>85</v>
      </c>
      <c r="BI10" s="9" t="s">
        <v>85</v>
      </c>
      <c r="BJ10" s="6"/>
      <c r="BK10" s="6" t="str">
        <f t="shared" si="2"/>
        <v>12VB_Fold_Mean</v>
      </c>
      <c r="BL10" s="6" t="str">
        <f t="shared" si="3"/>
        <v>12VB_Fold_Mean</v>
      </c>
      <c r="BM10" s="6" t="str">
        <f t="shared" si="4"/>
        <v>5V_Fold_Mean</v>
      </c>
      <c r="BN10" s="6"/>
      <c r="BO10" s="6">
        <f t="shared" ref="BO10:BQ10" si="14">IF(ISNUMBER(SEARCH("5",BK10)),5,IF(ISNUMBER(SEARCH("*8*",BK10)),8,IF(ISNUMBER(SEARCH("*10*",BK10)),10,IF(ISNUMBER(SEARCH("*12*",BK10)),12,IF(ISNUMBER(SEARCH("*20*",BK10)),20)))))</f>
        <v>12</v>
      </c>
      <c r="BP10" s="6">
        <f t="shared" si="14"/>
        <v>12</v>
      </c>
      <c r="BQ10" s="6">
        <f t="shared" si="14"/>
        <v>5</v>
      </c>
      <c r="BR10" s="6"/>
      <c r="BS10" s="6">
        <f t="shared" si="6"/>
        <v>29</v>
      </c>
      <c r="BT10" s="6">
        <f t="shared" si="7"/>
        <v>27</v>
      </c>
      <c r="BU10" s="6"/>
      <c r="BV10" s="6"/>
      <c r="BW10" s="6" t="s">
        <v>227</v>
      </c>
      <c r="BX10" s="18">
        <f>COUNTIFS(BK3:BK100,"*V*",BK3:BK100,"*5*")</f>
        <v>10</v>
      </c>
      <c r="BY10" s="19">
        <f>COUNTIFS(BK3:BK100,"*V*",BK3:BK100,"*8*")</f>
        <v>13</v>
      </c>
      <c r="BZ10" s="18">
        <f>COUNTIFS(BK3:BK100,"*V*",BK3:BK100,"*10*")</f>
        <v>10</v>
      </c>
      <c r="CA10" s="18">
        <f>COUNTIFS(BK3:BK100,"*V*",BK3:BK100,"*12*")</f>
        <v>11</v>
      </c>
      <c r="CB10" s="18">
        <f>COUNTIFS(BK3:BK100,"*V*",BK3:BK100,"*20*")</f>
        <v>9</v>
      </c>
      <c r="CC10" s="6">
        <f t="shared" si="15"/>
        <v>53</v>
      </c>
      <c r="CD10" s="6"/>
      <c r="CE10" s="6" t="s">
        <v>255</v>
      </c>
      <c r="CF10" s="18">
        <f>COUNTIFS(BK3:BK100,"*Bo*",BK3:BK100,"*5*",C3:C100,"&lt;=2")</f>
        <v>9</v>
      </c>
      <c r="CG10" s="18">
        <f>COUNTIFS(BK3:BK100,"*V*",BK3:BK100,"*5*",C3:C100,"&lt;=2")</f>
        <v>2</v>
      </c>
      <c r="CH10" s="18">
        <f>COUNTIFS(BK3:BK100,"*Bo*",BK3:BK100,"*5*",C3:C100,"&gt;=3",C3:C100,"&lt;=5")</f>
        <v>3</v>
      </c>
      <c r="CI10" s="18">
        <f>COUNTIFS(BK3:BK100,"*V*",BK3:BK100,"*5*",C3:C100,"&gt;=3",C3:C100,"&lt;=5")</f>
        <v>2</v>
      </c>
      <c r="CJ10" s="18">
        <f>COUNTIFS(BK3:BK100,"*Bo*",BK3:BK100,"*5*",C3:C100,"&gt;5",C3:C100,"&lt;=10")</f>
        <v>1</v>
      </c>
      <c r="CK10" s="18">
        <f>COUNTIFS(BK3:BK100,"*V*",BK3:BK100,"*5*",C3:C100,"&gt;5",C3:C100,"&lt;=10")</f>
        <v>4</v>
      </c>
      <c r="CL10" s="18">
        <f>COUNTIFS(BK3:BK100,"*Bo*",BK3:BK100,"*5*",C3:C100,"&gt;10",C3:C100,"&lt;30")</f>
        <v>0</v>
      </c>
      <c r="CM10" s="18">
        <f>COUNTIFS(BK3:BK100,"*V*",BK3:BK100,"*5*",C3:C100,"&gt;10",C3:C100,"&lt;30")</f>
        <v>0</v>
      </c>
      <c r="CN10" s="18">
        <f>COUNTIFS(BK3:BK100,"*Bo*",BK3:BK100,"*5*",C3:C100,"&gt;=30")</f>
        <v>1</v>
      </c>
      <c r="CO10" s="18">
        <f>COUNTIFS(BK3:BK100,"*V*",BK3:BK100,"*5*",C3:C100,"&gt;=30")</f>
        <v>2</v>
      </c>
      <c r="CP10" s="6">
        <f t="shared" ref="CP10:CP14" si="17">SUM(CF10:CO10)</f>
        <v>24</v>
      </c>
      <c r="CQ10" s="6"/>
      <c r="CR10" s="6" t="s">
        <v>255</v>
      </c>
      <c r="CS10" s="18">
        <f>COUNTIFS($BK$3:$BK$100,"*Bo*",$BK$3:$BK$100,"*5*",$B$3:$B$100,"&lt;=100")</f>
        <v>2</v>
      </c>
      <c r="CT10" s="18">
        <f>COUNTIFS($BK$3:$BK$100,"*V*",$BK$3:$BK$100,"*5*",$B$3:$B$100,"&lt;=100")</f>
        <v>3</v>
      </c>
      <c r="CU10" s="18">
        <f>COUNTIFS($BK$3:$BK$100,"*Bo*",$BK$3:$BK$100,"*5*",$B$3:$B$100,"&gt;100",$B$3:$B$100,"&lt;=200")</f>
        <v>4</v>
      </c>
      <c r="CV10" s="18">
        <f>COUNTIFS($BK$3:$BK$100,"*V*",$BK$3:$BK$100,"*5*",$B$3:$B$100,"&gt;100",$B$3:$B$100,"&lt;=200")</f>
        <v>2</v>
      </c>
      <c r="CW10" s="18">
        <f>COUNTIFS($BK$3:$BK$100,"*Bo*",$BK$3:$BK$100,"*5*",$B$3:$B$100,"&gt;200",$B$3:$B$100,"&lt;500")</f>
        <v>2</v>
      </c>
      <c r="CX10" s="18">
        <f>COUNTIFS($BK$3:$BK$100,"*V*",$BK$3:$BK$100,"*5*",$B$3:$B$100,"&gt;200",$B$3:$B$100,"&lt;500")</f>
        <v>2</v>
      </c>
      <c r="CY10" s="18">
        <f>COUNTIFS($BK$3:$BK$100,"*Bo*",$BK$3:$BK$100,"*5*",$B$3:$B$100,"&gt;=500",$B$3:$B$100,"&lt;1000")</f>
        <v>5</v>
      </c>
      <c r="CZ10" s="18">
        <f>COUNTIFS($BK$3:$BK$100,"*V*",$BK$3:$BK$100,"*5*",$B$3:$B$100,"&gt;=500",$B$3:$B$100,"&lt;1000")</f>
        <v>0</v>
      </c>
      <c r="DA10" s="18">
        <f>COUNTIFS($BK$3:$BK$100,"*Bo*",$BK$3:$BK$100,"*5*",$B$3:$B$100,"&gt;=1000")</f>
        <v>1</v>
      </c>
      <c r="DB10" s="18">
        <f>COUNTIFS($BK$3:$BK$100,"*V*",$BK$3:$BK$100,"*5*",$B$3:$B$100,"&gt;=1000")</f>
        <v>3</v>
      </c>
      <c r="DC10" s="6">
        <f t="shared" ref="DC10:DC14" si="18">SUM(CS10:DB10)</f>
        <v>24</v>
      </c>
      <c r="DD10" s="6"/>
    </row>
    <row r="11" ht="15.75" customHeight="1">
      <c r="A11" s="1" t="s">
        <v>101</v>
      </c>
      <c r="B11" s="17">
        <v>128.0</v>
      </c>
      <c r="C11" s="17">
        <v>3.0</v>
      </c>
      <c r="D11" s="17" t="s">
        <v>303</v>
      </c>
      <c r="E11" s="9">
        <v>0.933556</v>
      </c>
      <c r="F11" s="9">
        <v>0.941111</v>
      </c>
      <c r="G11" s="9" t="s">
        <v>85</v>
      </c>
      <c r="H11" s="30">
        <v>0.922888887</v>
      </c>
      <c r="I11" s="30">
        <v>0.930000007</v>
      </c>
      <c r="J11" s="9" t="s">
        <v>85</v>
      </c>
      <c r="K11" s="9">
        <v>0.948222</v>
      </c>
      <c r="L11" s="9">
        <v>0.958889</v>
      </c>
      <c r="M11" s="9" t="s">
        <v>85</v>
      </c>
      <c r="N11" s="9">
        <v>0.968444455</v>
      </c>
      <c r="O11" s="9">
        <v>0.967778</v>
      </c>
      <c r="P11" s="9" t="s">
        <v>85</v>
      </c>
      <c r="Q11" s="9">
        <v>0.910889</v>
      </c>
      <c r="R11" s="9">
        <v>0.916667</v>
      </c>
      <c r="S11" s="9" t="s">
        <v>85</v>
      </c>
      <c r="T11" s="9">
        <v>0.917333341</v>
      </c>
      <c r="U11" s="9">
        <v>0.935556</v>
      </c>
      <c r="V11" s="9" t="s">
        <v>85</v>
      </c>
      <c r="W11" s="9">
        <v>0.936667</v>
      </c>
      <c r="X11" s="9">
        <v>0.944444</v>
      </c>
      <c r="Y11" s="9" t="s">
        <v>85</v>
      </c>
      <c r="Z11" s="9">
        <v>0.932444</v>
      </c>
      <c r="AA11" s="9">
        <v>0.932222</v>
      </c>
      <c r="AB11" s="9" t="s">
        <v>85</v>
      </c>
      <c r="AC11" s="30">
        <v>0.949333322</v>
      </c>
      <c r="AD11" s="30">
        <v>0.95</v>
      </c>
      <c r="AE11" s="9" t="s">
        <v>85</v>
      </c>
      <c r="AF11" s="30">
        <v>0.942888892</v>
      </c>
      <c r="AG11" s="30">
        <v>0.958889</v>
      </c>
      <c r="AH11" s="9" t="s">
        <v>85</v>
      </c>
      <c r="AI11" s="9">
        <v>0.964</v>
      </c>
      <c r="AJ11" s="9">
        <v>0.964444</v>
      </c>
      <c r="AK11" s="9" t="s">
        <v>85</v>
      </c>
      <c r="AL11" s="9">
        <v>0.965556</v>
      </c>
      <c r="AM11" s="9">
        <v>0.97</v>
      </c>
      <c r="AN11" s="9" t="s">
        <v>85</v>
      </c>
      <c r="AO11" s="9">
        <v>0.952667</v>
      </c>
      <c r="AP11" s="9">
        <v>0.948889</v>
      </c>
      <c r="AQ11" s="9" t="s">
        <v>85</v>
      </c>
      <c r="AR11" s="30" t="s">
        <v>85</v>
      </c>
      <c r="AS11" s="30" t="s">
        <v>85</v>
      </c>
      <c r="AT11" s="9" t="s">
        <v>85</v>
      </c>
      <c r="AU11" s="9">
        <v>0.899556</v>
      </c>
      <c r="AV11" s="9">
        <v>0.902222</v>
      </c>
      <c r="AW11" s="9" t="s">
        <v>85</v>
      </c>
      <c r="AX11" s="9">
        <v>0.938222</v>
      </c>
      <c r="AY11" s="9">
        <v>0.938889</v>
      </c>
      <c r="AZ11" s="9" t="s">
        <v>85</v>
      </c>
      <c r="BA11" s="9">
        <v>0.957333</v>
      </c>
      <c r="BB11" s="9">
        <v>0.961111</v>
      </c>
      <c r="BC11" s="9" t="s">
        <v>85</v>
      </c>
      <c r="BD11" s="30">
        <v>0.924667</v>
      </c>
      <c r="BE11" s="30">
        <v>0.921111</v>
      </c>
      <c r="BF11" s="9" t="s">
        <v>85</v>
      </c>
      <c r="BG11" s="10" t="s">
        <v>85</v>
      </c>
      <c r="BH11" s="10" t="s">
        <v>85</v>
      </c>
      <c r="BI11" s="9" t="s">
        <v>85</v>
      </c>
      <c r="BJ11" s="6"/>
      <c r="BK11" s="6" t="str">
        <f t="shared" si="2"/>
        <v>10VB_Fold_Median</v>
      </c>
      <c r="BL11" s="6" t="str">
        <f t="shared" si="3"/>
        <v>5VB_Fold_Mean</v>
      </c>
      <c r="BM11" s="6" t="str">
        <f t="shared" si="4"/>
        <v>5VB_Fold_Median</v>
      </c>
      <c r="BN11" s="6"/>
      <c r="BO11" s="6">
        <f t="shared" ref="BO11:BQ11" si="16">IF(ISNUMBER(SEARCH("5",BK11)),5,IF(ISNUMBER(SEARCH("*8*",BK11)),8,IF(ISNUMBER(SEARCH("*10*",BK11)),10,IF(ISNUMBER(SEARCH("*12*",BK11)),12,IF(ISNUMBER(SEARCH("*20*",BK11)),20)))))</f>
        <v>10</v>
      </c>
      <c r="BP11" s="6">
        <f t="shared" si="16"/>
        <v>5</v>
      </c>
      <c r="BQ11" s="6">
        <f t="shared" si="16"/>
        <v>5</v>
      </c>
      <c r="BR11" s="6"/>
      <c r="BS11" s="6">
        <f t="shared" si="6"/>
        <v>74.5</v>
      </c>
      <c r="BT11" s="6">
        <f t="shared" si="7"/>
        <v>46.5</v>
      </c>
      <c r="BU11" s="6"/>
      <c r="BV11" s="6"/>
      <c r="BW11" s="6" t="s">
        <v>20</v>
      </c>
      <c r="BX11" s="18">
        <f>COUNTIFS(BK3:BK100,"*De*")</f>
        <v>0</v>
      </c>
      <c r="BY11" s="19">
        <f>COUNTIFS(BK3:BK100,"*De*",BK3:BK100,"*8*")</f>
        <v>0</v>
      </c>
      <c r="BZ11" s="18">
        <f>COUNTIFS(BK3:BK100,"*De*",BK3:BK100,"*10*")</f>
        <v>0</v>
      </c>
      <c r="CA11" s="18">
        <f>COUNTIFS(BK3:BK100,"*De*",BK3:BK100,"*12*")</f>
        <v>0</v>
      </c>
      <c r="CB11" s="18">
        <f>COUNTIFS(BK3:BK100,"*De*",BK3:BK100,"*20*")</f>
        <v>0</v>
      </c>
      <c r="CC11" s="6">
        <f t="shared" si="15"/>
        <v>0</v>
      </c>
      <c r="CD11" s="6"/>
      <c r="CE11" s="6" t="s">
        <v>256</v>
      </c>
      <c r="CF11" s="18">
        <f>COUNTIFS(BK3:BK101,"*Bo*",BK3:BK101,"*8*",C3:C101,"&lt;=2")</f>
        <v>1</v>
      </c>
      <c r="CG11" s="18">
        <f>COUNTIFS(BK3:BK101,"*V*",BK3:BK101,"*8*",C3:C101,"&lt;=2")</f>
        <v>3</v>
      </c>
      <c r="CH11" s="18">
        <f>COUNTIFS(BK3:BK101,"*Bo*",BK3:BK101,"*8*",C3:C101,"&gt;=3",C3:C101,"&lt;=5")</f>
        <v>3</v>
      </c>
      <c r="CI11" s="18">
        <f>COUNTIFS(BK3:BK101,"*V*",BK3:BK101,"*8*",C3:C101,"&gt;=3",C3:C101,"&lt;=5")</f>
        <v>6</v>
      </c>
      <c r="CJ11" s="18">
        <f>COUNTIFS(BK3:BK101,"*Bo*",BK3:BK101,"*8*",C3:C101,"&gt;5",C3:C101,"&lt;=10")</f>
        <v>1</v>
      </c>
      <c r="CK11" s="18">
        <f>COUNTIFS(BK3:BK101,"*V*",BK3:BK101,"*8*",C3:C101,"&gt;5",C3:C101,"&lt;=10")</f>
        <v>4</v>
      </c>
      <c r="CL11" s="18">
        <f>COUNTIFS(BK3:BK101,"*Bo*",BK3:BK101,"*8*",C3:C101,"&gt;10",C3:C101,"&lt;30")</f>
        <v>0</v>
      </c>
      <c r="CM11" s="18">
        <f>COUNTIFS(BK3:BK101,"*V*",BK3:BK101,"*8*",C3:C101,"&gt;10",C3:C101,"&lt;30")</f>
        <v>0</v>
      </c>
      <c r="CN11" s="18">
        <f>COUNTIFS(BK3:BK101,"*Bo*",BK3:BK101,"*8*",C3:C101,"&gt;=30")</f>
        <v>1</v>
      </c>
      <c r="CO11" s="18">
        <f>COUNTIFS(BK3:BK101,"*V*",BK3:BK101,"*8*",C3:C101,"&gt;=30")</f>
        <v>0</v>
      </c>
      <c r="CP11" s="6">
        <f t="shared" si="17"/>
        <v>19</v>
      </c>
      <c r="CQ11" s="6"/>
      <c r="CR11" s="6" t="s">
        <v>256</v>
      </c>
      <c r="CS11" s="18">
        <f>COUNTIFS($BK$3:$BK$100,"*Bo*",$BK$3:$BK$100,"*8*",$B$3:$B$100,"&lt;=100")</f>
        <v>1</v>
      </c>
      <c r="CT11" s="18">
        <f>COUNTIFS($BK$3:$BK$100,"*V*",$BK$3:$BK$100,"*8*",$B$3:$B$100,"&lt;=100")</f>
        <v>3</v>
      </c>
      <c r="CU11" s="18">
        <f>COUNTIFS($BK$3:$BK$100,"*Bo*",$BK$3:$BK$100,"*8*",$B$3:$B$100,"&gt;100",$B$3:$B$100,"&lt;=200")</f>
        <v>1</v>
      </c>
      <c r="CV11" s="18">
        <f>COUNTIFS($BK$3:$BK$100,"*V*",$BK$3:$BK$100,"*8*",$B$3:$B$100,"&gt;100",$B$3:$B$100,"&lt;=200")</f>
        <v>3</v>
      </c>
      <c r="CW11" s="18">
        <f>COUNTIFS($BK$3:$BK$100,"*Bo*",$BK$3:$BK$100,"*8*",$B$3:$B$100,"&gt;200",$B$3:$B$100,"&lt;500")</f>
        <v>1</v>
      </c>
      <c r="CX11" s="18">
        <f>COUNTIFS($BK$3:$BK$100,"*V*",$BK$3:$BK$100,"*8*",$B$3:$B$100,"&gt;200",$B$3:$B$100,"&lt;500")</f>
        <v>5</v>
      </c>
      <c r="CY11" s="18">
        <f>COUNTIFS($BK$3:$BK$100,"*Bo*",$BK$3:$BK$100,"*8*",$B$3:$B$100,"&gt;=500",$B$3:$B$100,"&lt;1000")</f>
        <v>2</v>
      </c>
      <c r="CZ11" s="18">
        <f>COUNTIFS($BK$3:$BK$100,"*V*",$BK$3:$BK$100,"*8*",$B$3:$B$100,"&gt;=500",$B$3:$B$100,"&lt;1000")</f>
        <v>1</v>
      </c>
      <c r="DA11" s="18">
        <f>COUNTIFS($BK$3:$BK$100,"*Bo*",$BK$3:$BK$100,"*8*",$B$3:$B$100,"&gt;=1000")</f>
        <v>1</v>
      </c>
      <c r="DB11" s="18">
        <f>COUNTIFS($BK$3:$BK$100,"*V*",$BK$3:$BK$100,"*8*",$B$3:$B$100,"&gt;=1000")</f>
        <v>1</v>
      </c>
      <c r="DC11" s="6">
        <f t="shared" si="18"/>
        <v>19</v>
      </c>
      <c r="DD11" s="6"/>
    </row>
    <row r="12" ht="15.75" customHeight="1">
      <c r="A12" s="1" t="s">
        <v>103</v>
      </c>
      <c r="B12" s="17">
        <v>24.0</v>
      </c>
      <c r="C12" s="17">
        <v>2.0</v>
      </c>
      <c r="D12" s="17" t="s">
        <v>306</v>
      </c>
      <c r="E12" s="9">
        <v>0.960933</v>
      </c>
      <c r="F12" s="9">
        <v>0.965015</v>
      </c>
      <c r="G12" s="9" t="s">
        <v>85</v>
      </c>
      <c r="H12" s="30">
        <v>0.958017504</v>
      </c>
      <c r="I12" s="30">
        <v>0.965014577</v>
      </c>
      <c r="J12" s="9" t="s">
        <v>85</v>
      </c>
      <c r="K12" s="9">
        <v>0.961516</v>
      </c>
      <c r="L12" s="9">
        <v>0.959184</v>
      </c>
      <c r="M12" s="9" t="s">
        <v>85</v>
      </c>
      <c r="N12" s="9">
        <v>0.962682223</v>
      </c>
      <c r="O12" s="9">
        <v>0.965015</v>
      </c>
      <c r="P12" s="9" t="s">
        <v>85</v>
      </c>
      <c r="Q12" s="9">
        <v>0.967347</v>
      </c>
      <c r="R12" s="9">
        <v>0.96793</v>
      </c>
      <c r="S12" s="9" t="s">
        <v>85</v>
      </c>
      <c r="T12" s="9">
        <v>0.956268227</v>
      </c>
      <c r="U12" s="9">
        <v>0.976676</v>
      </c>
      <c r="V12" s="9" t="s">
        <v>85</v>
      </c>
      <c r="W12" s="9">
        <v>0.848397</v>
      </c>
      <c r="X12" s="9">
        <v>0.953353</v>
      </c>
      <c r="Y12" s="9" t="s">
        <v>85</v>
      </c>
      <c r="Z12" s="9">
        <v>0.948105</v>
      </c>
      <c r="AA12" s="9">
        <v>0.953353</v>
      </c>
      <c r="AB12" s="9" t="s">
        <v>85</v>
      </c>
      <c r="AC12" s="30">
        <v>0.967930019</v>
      </c>
      <c r="AD12" s="30">
        <v>0.970845</v>
      </c>
      <c r="AE12" s="9" t="s">
        <v>85</v>
      </c>
      <c r="AF12" s="30">
        <v>0.976676393</v>
      </c>
      <c r="AG12" s="30">
        <v>0.973761</v>
      </c>
      <c r="AH12" s="9" t="s">
        <v>85</v>
      </c>
      <c r="AI12" s="9">
        <v>0.937609</v>
      </c>
      <c r="AJ12" s="9">
        <v>0.938776</v>
      </c>
      <c r="AK12" s="9" t="s">
        <v>85</v>
      </c>
      <c r="AL12" s="9">
        <v>0.938192</v>
      </c>
      <c r="AM12" s="9">
        <v>0.941691</v>
      </c>
      <c r="AN12" s="9" t="s">
        <v>85</v>
      </c>
      <c r="AO12" s="9">
        <v>0.955685</v>
      </c>
      <c r="AP12" s="9">
        <v>0.973761</v>
      </c>
      <c r="AQ12" s="9" t="s">
        <v>85</v>
      </c>
      <c r="AR12" s="30">
        <v>0.962682223</v>
      </c>
      <c r="AS12" s="30">
        <v>0.959184</v>
      </c>
      <c r="AT12" s="9" t="s">
        <v>85</v>
      </c>
      <c r="AU12" s="9">
        <v>0.940525</v>
      </c>
      <c r="AV12" s="9">
        <v>0.941691</v>
      </c>
      <c r="AW12" s="9" t="s">
        <v>85</v>
      </c>
      <c r="AX12" s="9">
        <v>0.941691</v>
      </c>
      <c r="AY12" s="9">
        <v>0.941691</v>
      </c>
      <c r="AZ12" s="9" t="s">
        <v>85</v>
      </c>
      <c r="BA12" s="9">
        <v>0.903207</v>
      </c>
      <c r="BB12" s="9">
        <v>0.895044</v>
      </c>
      <c r="BC12" s="9" t="s">
        <v>85</v>
      </c>
      <c r="BD12" s="30">
        <v>0.935277</v>
      </c>
      <c r="BE12" s="30">
        <v>0.944606</v>
      </c>
      <c r="BF12" s="9" t="s">
        <v>85</v>
      </c>
      <c r="BG12" s="10" t="s">
        <v>85</v>
      </c>
      <c r="BH12" s="10" t="s">
        <v>85</v>
      </c>
      <c r="BI12" s="9" t="s">
        <v>85</v>
      </c>
      <c r="BJ12" s="6"/>
      <c r="BK12" s="6" t="str">
        <f t="shared" si="2"/>
        <v>10BoN_Fold_Mean</v>
      </c>
      <c r="BL12" s="6" t="str">
        <f t="shared" si="3"/>
        <v>8BoN_Fold_Median</v>
      </c>
      <c r="BM12" s="6" t="str">
        <f t="shared" si="4"/>
        <v>10BoN_Fold_Median</v>
      </c>
      <c r="BN12" s="6"/>
      <c r="BO12" s="6">
        <f t="shared" ref="BO12:BQ12" si="19">IF(ISNUMBER(SEARCH("5",BK12)),5,IF(ISNUMBER(SEARCH("*8*",BK12)),8,IF(ISNUMBER(SEARCH("*10*",BK12)),10,IF(ISNUMBER(SEARCH("*12*",BK12)),12,IF(ISNUMBER(SEARCH("*20*",BK12)),20)))))</f>
        <v>10</v>
      </c>
      <c r="BP12" s="6">
        <f t="shared" si="19"/>
        <v>8</v>
      </c>
      <c r="BQ12" s="6">
        <f t="shared" si="19"/>
        <v>10</v>
      </c>
      <c r="BR12" s="6"/>
      <c r="BS12" s="6">
        <f t="shared" si="6"/>
        <v>96.5</v>
      </c>
      <c r="BT12" s="6">
        <f t="shared" si="7"/>
        <v>46.5</v>
      </c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 t="s">
        <v>257</v>
      </c>
      <c r="CF12" s="18">
        <f>COUNTIFS(BK3:BK102,"*Bo*",BK3:BK102,"*10*",C3:C102,"&lt;=2")</f>
        <v>3</v>
      </c>
      <c r="CG12" s="18">
        <f>COUNTIFS(BK3:BK102,"*V*",BK3:BK102,"*10*",C3:C102,"&lt;=2")</f>
        <v>6</v>
      </c>
      <c r="CH12" s="18">
        <f>COUNTIFS(BK3:BK102,"*Bo*",BK3:BK102,"*10*",C3:C102,"&gt;=3",C3:C102,"&lt;=5")</f>
        <v>2</v>
      </c>
      <c r="CI12" s="18">
        <f>COUNTIFS(BK3:BK102,"*V*",BK3:BK102,"*10*",C3:C102,"&gt;=3",C3:C102,"&lt;=5")</f>
        <v>4</v>
      </c>
      <c r="CJ12" s="18">
        <f>COUNTIFS(BK3:BK102,"*Bo*",BK3:BK102,"*10*",C3:C102,"&gt;5",C3:C102,"&lt;=10")</f>
        <v>2</v>
      </c>
      <c r="CK12" s="18">
        <f>COUNTIFS(BK3:BK102,"*V*",BK3:BK102,"*10*",C3:C102,"&gt;5",C3:C102,"&lt;=10")</f>
        <v>0</v>
      </c>
      <c r="CL12" s="18">
        <f>COUNTIFS(BK3:BK102,"*Bo*",BK3:BK102,"*10*",C3:C102,"&gt;10",C3:C102,"&lt;30")</f>
        <v>1</v>
      </c>
      <c r="CM12" s="18">
        <f>COUNTIFS(BK3:BK102,"*V*",BK3:BK102,"*10*",C3:C102,"&gt;10",C3:C102,"&lt;30")</f>
        <v>0</v>
      </c>
      <c r="CN12" s="18">
        <f>COUNTIFS(BK3:BK102,"*Bo*",BK3:BK102,"*10*",C3:C102,"&gt;=30")</f>
        <v>0</v>
      </c>
      <c r="CO12" s="18">
        <f>COUNTIFS(BK3:BK102,"*V*",BK3:BK102,"*10*",C3:C102,"&gt;=30")</f>
        <v>0</v>
      </c>
      <c r="CP12" s="6">
        <f t="shared" si="17"/>
        <v>18</v>
      </c>
      <c r="CQ12" s="6"/>
      <c r="CR12" s="6" t="s">
        <v>257</v>
      </c>
      <c r="CS12" s="18">
        <f>COUNTIFS($BK$3:$BK$100,"*Bo*",$BK$3:$BK$100,"*10*",$B$3:$B$100,"&lt;=100")</f>
        <v>2</v>
      </c>
      <c r="CT12" s="18">
        <f>COUNTIFS($BK$3:$BK$100,"*V*",$BK$3:$BK$100,"*10*",$B$3:$B$100,"&lt;=100")</f>
        <v>2</v>
      </c>
      <c r="CU12" s="18">
        <f>COUNTIFS($BK$3:$BK$100,"*Bo*",$BK$3:$BK$100,"*10*",$B$3:$B$100,"&gt;100",$B$3:$B$100,"&lt;=200")</f>
        <v>2</v>
      </c>
      <c r="CV12" s="18">
        <f>COUNTIFS($BK$3:$BK$100,"*V*",$BK$3:$BK$100,"*10*",$B$3:$B$100,"&gt;100",$B$3:$B$100,"&lt;=200")</f>
        <v>1</v>
      </c>
      <c r="CW12" s="18">
        <f>COUNTIFS($BK$3:$BK$100,"*Bo*",$BK$3:$BK$100,"*10*",$B$3:$B$100,"&gt;200",$B$3:$B$100,"&lt;500")</f>
        <v>1</v>
      </c>
      <c r="CX12" s="18">
        <f>COUNTIFS($BK$3:$BK$100,"*V*",$BK$3:$BK$100,"*10*",$B$3:$B$100,"&gt;200",$B$3:$B$100,"&lt;500")</f>
        <v>3</v>
      </c>
      <c r="CY12" s="18">
        <f>COUNTIFS($BK$3:$BK$100,"*Bo*",$BK$3:$BK$100,"*10*",$B$3:$B$100,"&gt;=500",$B$3:$B$100,"&lt;1000")</f>
        <v>3</v>
      </c>
      <c r="CZ12" s="18">
        <f>COUNTIFS($BK$3:$BK$100,"*V*",$BK$3:$BK$100,"*10*",$B$3:$B$100,"&gt;=500",$B$3:$B$100,"&lt;1000")</f>
        <v>1</v>
      </c>
      <c r="DA12" s="18">
        <f>COUNTIFS($BK$3:$BK$100,"*Bo*",$BK$3:$BK$100,"*10*",$B$3:$B$100,"&gt;=1000")</f>
        <v>0</v>
      </c>
      <c r="DB12" s="18">
        <f>COUNTIFS($BK$3:$BK$100,"*V*",$BK$3:$BK$100,"*10*",$B$3:$B$100,"&gt;=1000")</f>
        <v>3</v>
      </c>
      <c r="DC12" s="6">
        <f t="shared" si="18"/>
        <v>18</v>
      </c>
      <c r="DD12" s="6"/>
    </row>
    <row r="13" ht="15.75" customHeight="1">
      <c r="A13" s="1" t="s">
        <v>105</v>
      </c>
      <c r="B13" s="17">
        <v>166.0</v>
      </c>
      <c r="C13" s="17">
        <v>3.0</v>
      </c>
      <c r="D13" s="17" t="s">
        <v>303</v>
      </c>
      <c r="E13" s="9">
        <v>0.540052</v>
      </c>
      <c r="F13" s="9">
        <v>0.532552</v>
      </c>
      <c r="G13" s="9" t="s">
        <v>85</v>
      </c>
      <c r="H13" s="30">
        <v>0.545260406</v>
      </c>
      <c r="I13" s="30">
        <v>0.540624976</v>
      </c>
      <c r="J13" s="9" t="s">
        <v>85</v>
      </c>
      <c r="K13" s="9">
        <v>0.546823</v>
      </c>
      <c r="L13" s="9">
        <v>0.532552</v>
      </c>
      <c r="M13" s="9" t="s">
        <v>85</v>
      </c>
      <c r="N13" s="9">
        <v>0.536770821</v>
      </c>
      <c r="O13" s="9">
        <v>0.532552</v>
      </c>
      <c r="P13" s="9" t="s">
        <v>85</v>
      </c>
      <c r="Q13" s="9">
        <v>0.53875</v>
      </c>
      <c r="R13" s="9">
        <v>0.532552</v>
      </c>
      <c r="S13" s="9" t="s">
        <v>85</v>
      </c>
      <c r="T13" s="9">
        <v>0.550572908</v>
      </c>
      <c r="U13" s="9">
        <v>0.532552</v>
      </c>
      <c r="V13" s="9" t="s">
        <v>85</v>
      </c>
      <c r="W13" s="9">
        <v>0.540156</v>
      </c>
      <c r="X13" s="9">
        <v>0.532552</v>
      </c>
      <c r="Y13" s="9" t="s">
        <v>85</v>
      </c>
      <c r="Z13" s="9">
        <v>0.538854</v>
      </c>
      <c r="AA13" s="9">
        <v>0.532552</v>
      </c>
      <c r="AB13" s="9" t="s">
        <v>85</v>
      </c>
      <c r="AC13" s="30">
        <v>0.551874983</v>
      </c>
      <c r="AD13" s="30">
        <v>0.540104</v>
      </c>
      <c r="AE13" s="9" t="s">
        <v>85</v>
      </c>
      <c r="AF13" s="30">
        <v>0.546822906</v>
      </c>
      <c r="AG13" s="30">
        <v>0.532552</v>
      </c>
      <c r="AH13" s="9" t="s">
        <v>85</v>
      </c>
      <c r="AI13" s="9">
        <v>0.532552</v>
      </c>
      <c r="AJ13" s="9">
        <v>0.532552</v>
      </c>
      <c r="AK13" s="9" t="s">
        <v>85</v>
      </c>
      <c r="AL13" s="9">
        <v>0.532552</v>
      </c>
      <c r="AM13" s="9">
        <v>0.532552</v>
      </c>
      <c r="AN13" s="9" t="s">
        <v>85</v>
      </c>
      <c r="AO13" s="9">
        <v>0.566562</v>
      </c>
      <c r="AP13" s="9">
        <v>0.571094</v>
      </c>
      <c r="AQ13" s="9" t="s">
        <v>85</v>
      </c>
      <c r="AR13" s="30">
        <v>0.571406245</v>
      </c>
      <c r="AS13" s="30">
        <v>0.569792</v>
      </c>
      <c r="AT13" s="9" t="s">
        <v>85</v>
      </c>
      <c r="AU13" s="9">
        <v>0.541562</v>
      </c>
      <c r="AV13" s="9">
        <v>0.532552</v>
      </c>
      <c r="AW13" s="9" t="s">
        <v>85</v>
      </c>
      <c r="AX13" s="9">
        <v>0.551146</v>
      </c>
      <c r="AY13" s="9">
        <v>0.532552</v>
      </c>
      <c r="AZ13" s="9" t="s">
        <v>85</v>
      </c>
      <c r="BA13" s="9">
        <v>0.57875</v>
      </c>
      <c r="BB13" s="9">
        <v>0.580208</v>
      </c>
      <c r="BC13" s="9" t="s">
        <v>85</v>
      </c>
      <c r="BD13" s="30">
        <v>0.532552</v>
      </c>
      <c r="BE13" s="30">
        <v>0.532552</v>
      </c>
      <c r="BF13" s="9" t="s">
        <v>85</v>
      </c>
      <c r="BG13" s="10" t="s">
        <v>85</v>
      </c>
      <c r="BH13" s="10" t="s">
        <v>85</v>
      </c>
      <c r="BI13" s="9" t="s">
        <v>85</v>
      </c>
      <c r="BJ13" s="6"/>
      <c r="BK13" s="6" t="str">
        <f t="shared" si="2"/>
        <v>20Bo_Fold_Median</v>
      </c>
      <c r="BL13" s="6" t="str">
        <f t="shared" si="3"/>
        <v>20Bo_Fold_Mean</v>
      </c>
      <c r="BM13" s="6" t="str">
        <f t="shared" si="4"/>
        <v>12BoN_Fold_Mean</v>
      </c>
      <c r="BN13" s="6"/>
      <c r="BO13" s="6">
        <f t="shared" ref="BO13:BQ13" si="20">IF(ISNUMBER(SEARCH("5",BK13)),5,IF(ISNUMBER(SEARCH("*8*",BK13)),8,IF(ISNUMBER(SEARCH("*10*",BK13)),10,IF(ISNUMBER(SEARCH("*12*",BK13)),12,IF(ISNUMBER(SEARCH("*20*",BK13)),20)))))</f>
        <v>20</v>
      </c>
      <c r="BP13" s="6">
        <f t="shared" si="20"/>
        <v>20</v>
      </c>
      <c r="BQ13" s="6">
        <f t="shared" si="20"/>
        <v>12</v>
      </c>
      <c r="BR13" s="6"/>
      <c r="BS13" s="6">
        <f t="shared" si="6"/>
        <v>61</v>
      </c>
      <c r="BT13" s="6">
        <f t="shared" si="7"/>
        <v>8.5</v>
      </c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 t="s">
        <v>258</v>
      </c>
      <c r="CF13" s="18">
        <f>COUNTIFS(BK3:BK103,"*Bo*",BK3:BK103,"*12*",C3:C103,"&lt;=2")</f>
        <v>3</v>
      </c>
      <c r="CG13" s="18">
        <f>COUNTIFS(BK3:BK103,"*V*",BK3:BK103,"*12*",C3:C103,"&lt;=2")</f>
        <v>7</v>
      </c>
      <c r="CH13" s="18">
        <f>COUNTIFS(BK3:BK103,"*Bo*",BK3:BK103,"*12*",C3:C103,"&gt;=3",C3:C103,"&lt;=5")</f>
        <v>2</v>
      </c>
      <c r="CI13" s="18">
        <f>COUNTIFS(BK3:BK103,"*V*",BK3:BK103,"*12*",C3:C103,"&gt;=3",C3:C103,"&lt;=5")</f>
        <v>3</v>
      </c>
      <c r="CJ13" s="18">
        <f>COUNTIFS(BK3:BK103,"*Bo*",BK3:BK103,"*12*",C3:C103,"&gt;5",C3:C103,"&lt;=10")</f>
        <v>1</v>
      </c>
      <c r="CK13" s="18">
        <f>COUNTIFS(BK3:BK103,"*V*",BK3:BK103,"*12*",C3:C103,"&gt;5",C3:C103,"&lt;=10")</f>
        <v>1</v>
      </c>
      <c r="CL13" s="18">
        <f>COUNTIFS(BK3:BK103,"*Bo*",BK3:BK103,"*12*",C3:C103,"&gt;10",C3:C103,"&lt;30")</f>
        <v>2</v>
      </c>
      <c r="CM13" s="18">
        <f>COUNTIFS(BK3:BK103,"*V*",BK3:BK103,"*12*",C3:C103,"&gt;10",C3:C103,"&lt;30")</f>
        <v>0</v>
      </c>
      <c r="CN13" s="18">
        <f>COUNTIFS(BK3:BK103,"*Bo*",BK3:BK103,"*12*",C3:C103,"&gt;=30")</f>
        <v>2</v>
      </c>
      <c r="CO13" s="18">
        <f>COUNTIFS(BK3:BK103,"*V*",BK3:BK103,"*12*",C3:C103,"&gt;=30")</f>
        <v>0</v>
      </c>
      <c r="CP13" s="6">
        <f t="shared" si="17"/>
        <v>21</v>
      </c>
      <c r="CQ13" s="6"/>
      <c r="CR13" s="6" t="s">
        <v>258</v>
      </c>
      <c r="CS13" s="18">
        <f>COUNTIFS($BK$3:$BK$100,"*Bo*",$BK$3:$BK$100,"*12*",$B$3:$B$100,"&lt;=100")</f>
        <v>1</v>
      </c>
      <c r="CT13" s="18">
        <f>COUNTIFS($BK$3:$BK$100,"*V*",$BK$3:$BK$100,"*12*",$B$3:$B$100,"&lt;=100")</f>
        <v>6</v>
      </c>
      <c r="CU13" s="18">
        <f>COUNTIFS($BK$3:$BK$100,"*Bo*",$BK$3:$BK$100,"*12*",$B$3:$B$100,"&gt;100",$B$3:$B$100,"&lt;=200")</f>
        <v>1</v>
      </c>
      <c r="CV13" s="18">
        <f>COUNTIFS($BK$3:$BK$100,"*V*",$BK$3:$BK$100,"*12*",$B$3:$B$100,"&gt;100",$B$3:$B$100,"&lt;=200")</f>
        <v>0</v>
      </c>
      <c r="CW13" s="18">
        <f>COUNTIFS($BK$3:$BK$100,"*Bo*",$BK$3:$BK$100,"*12*",$B$3:$B$100,"&gt;200",$B$3:$B$100,"&lt;500")</f>
        <v>2</v>
      </c>
      <c r="CX13" s="18">
        <f>COUNTIFS($BK$3:$BK$100,"*V*",$BK$3:$BK$100,"*12*",$B$3:$B$100,"&gt;200",$B$3:$B$100,"&lt;500")</f>
        <v>2</v>
      </c>
      <c r="CY13" s="18">
        <f>COUNTIFS($BK$3:$BK$100,"*Bo*",$BK$3:$BK$100,"*12*",$B$3:$B$100,"&gt;=500",$B$3:$B$100,"&lt;1000")</f>
        <v>3</v>
      </c>
      <c r="CZ13" s="18">
        <f>COUNTIFS($BK$3:$BK$100,"*V*",$BK$3:$BK$100,"*12*",$B$3:$B$100,"&gt;=500",$B$3:$B$100,"&lt;1000")</f>
        <v>2</v>
      </c>
      <c r="DA13" s="18">
        <f>COUNTIFS($BK$3:$BK$100,"*Bo*",$BK$3:$BK$100,"*12*",$B$3:$B$100,"&gt;=1000")</f>
        <v>3</v>
      </c>
      <c r="DB13" s="18">
        <f>COUNTIFS($BK$3:$BK$100,"*V*",$BK$3:$BK$100,"*12*",$B$3:$B$100,"&gt;=1000")</f>
        <v>1</v>
      </c>
      <c r="DC13" s="6">
        <f t="shared" si="18"/>
        <v>21</v>
      </c>
      <c r="DD13" s="6"/>
    </row>
    <row r="14" ht="15.75" customHeight="1">
      <c r="A14" s="1" t="s">
        <v>107</v>
      </c>
      <c r="B14" s="17">
        <v>1639.0</v>
      </c>
      <c r="C14" s="17">
        <v>4.0</v>
      </c>
      <c r="D14" s="17" t="s">
        <v>307</v>
      </c>
      <c r="E14" s="9">
        <v>0.371159</v>
      </c>
      <c r="F14" s="9">
        <v>0.381159</v>
      </c>
      <c r="G14" s="9" t="s">
        <v>85</v>
      </c>
      <c r="H14" s="30">
        <v>0.514927524</v>
      </c>
      <c r="I14" s="30">
        <v>0.505072474</v>
      </c>
      <c r="J14" s="9" t="s">
        <v>85</v>
      </c>
      <c r="K14" s="9">
        <v>0.402899</v>
      </c>
      <c r="L14" s="9">
        <v>0.403623</v>
      </c>
      <c r="M14" s="9" t="s">
        <v>85</v>
      </c>
      <c r="N14" s="9">
        <v>0.350000006</v>
      </c>
      <c r="O14" s="9">
        <v>0.32971</v>
      </c>
      <c r="P14" s="9" t="s">
        <v>85</v>
      </c>
      <c r="Q14" s="9">
        <v>0.535362</v>
      </c>
      <c r="R14" s="9">
        <v>0.597101</v>
      </c>
      <c r="S14" s="9" t="s">
        <v>85</v>
      </c>
      <c r="T14" s="9">
        <v>0.564347827</v>
      </c>
      <c r="U14" s="9">
        <v>0.544928</v>
      </c>
      <c r="V14" s="9" t="s">
        <v>85</v>
      </c>
      <c r="W14" s="9">
        <v>0.561594</v>
      </c>
      <c r="X14" s="9">
        <v>0.565942</v>
      </c>
      <c r="Y14" s="9" t="s">
        <v>85</v>
      </c>
      <c r="Z14" s="9">
        <v>0.586522</v>
      </c>
      <c r="AA14" s="9">
        <v>0.578986</v>
      </c>
      <c r="AB14" s="9" t="s">
        <v>85</v>
      </c>
      <c r="AC14" s="30">
        <v>0.563623178</v>
      </c>
      <c r="AD14" s="30">
        <v>0.561594</v>
      </c>
      <c r="AE14" s="9" t="s">
        <v>85</v>
      </c>
      <c r="AF14" s="30">
        <v>0.602608693</v>
      </c>
      <c r="AG14" s="30">
        <v>0.601449</v>
      </c>
      <c r="AH14" s="9" t="s">
        <v>85</v>
      </c>
      <c r="AI14" s="9">
        <v>0.638406</v>
      </c>
      <c r="AJ14" s="9">
        <v>0.644203</v>
      </c>
      <c r="AK14" s="9" t="s">
        <v>85</v>
      </c>
      <c r="AL14" s="9">
        <v>0.606667</v>
      </c>
      <c r="AM14" s="9">
        <v>0.607971</v>
      </c>
      <c r="AN14" s="9" t="s">
        <v>85</v>
      </c>
      <c r="AO14" s="9">
        <v>0.60971</v>
      </c>
      <c r="AP14" s="9">
        <v>0.619565</v>
      </c>
      <c r="AQ14" s="9" t="s">
        <v>85</v>
      </c>
      <c r="AR14" s="30">
        <v>0.601884055</v>
      </c>
      <c r="AS14" s="30">
        <v>0.605797</v>
      </c>
      <c r="AT14" s="9" t="s">
        <v>85</v>
      </c>
      <c r="AU14" s="9">
        <v>0.701014</v>
      </c>
      <c r="AV14" s="9">
        <v>0.700725</v>
      </c>
      <c r="AW14" s="9" t="s">
        <v>85</v>
      </c>
      <c r="AX14" s="9">
        <v>0.691739</v>
      </c>
      <c r="AY14" s="9">
        <v>0.693478</v>
      </c>
      <c r="AZ14" s="9" t="s">
        <v>85</v>
      </c>
      <c r="BA14" s="9">
        <v>0.733478</v>
      </c>
      <c r="BB14" s="9">
        <v>0.743478</v>
      </c>
      <c r="BC14" s="9" t="s">
        <v>85</v>
      </c>
      <c r="BD14" s="30">
        <v>0.77942</v>
      </c>
      <c r="BE14" s="30">
        <v>0.782609</v>
      </c>
      <c r="BF14" s="9" t="s">
        <v>85</v>
      </c>
      <c r="BG14" s="10" t="s">
        <v>85</v>
      </c>
      <c r="BH14" s="10" t="s">
        <v>85</v>
      </c>
      <c r="BI14" s="9" t="s">
        <v>85</v>
      </c>
      <c r="BJ14" s="6"/>
      <c r="BK14" s="6" t="str">
        <f t="shared" si="2"/>
        <v>20V_Fold_Median</v>
      </c>
      <c r="BL14" s="6" t="str">
        <f t="shared" si="3"/>
        <v>20V_Fold_Mean</v>
      </c>
      <c r="BM14" s="6" t="str">
        <f t="shared" si="4"/>
        <v>20Bo_Fold_Median</v>
      </c>
      <c r="BN14" s="6"/>
      <c r="BO14" s="6">
        <f t="shared" ref="BO14:BQ14" si="21">IF(ISNUMBER(SEARCH("5",BK14)),5,IF(ISNUMBER(SEARCH("*8*",BK14)),8,IF(ISNUMBER(SEARCH("*10*",BK14)),10,IF(ISNUMBER(SEARCH("*12*",BK14)),12,IF(ISNUMBER(SEARCH("*20*",BK14)),20)))))</f>
        <v>20</v>
      </c>
      <c r="BP14" s="6">
        <f t="shared" si="21"/>
        <v>20</v>
      </c>
      <c r="BQ14" s="6">
        <f t="shared" si="21"/>
        <v>20</v>
      </c>
      <c r="BR14" s="6"/>
      <c r="BS14" s="6">
        <f t="shared" si="6"/>
        <v>8</v>
      </c>
      <c r="BT14" s="6">
        <f t="shared" si="7"/>
        <v>8.5</v>
      </c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 t="s">
        <v>259</v>
      </c>
      <c r="CF14" s="18">
        <f>COUNTIFS(BK3:BK104,"*Bo*",BK3:BK104,"*20*",C3:C104,"&lt;=2")</f>
        <v>1</v>
      </c>
      <c r="CG14" s="18">
        <f>COUNTIFS(BK3:BK104,"*V*",BK3:BK104,"*20*",C3:C104,"&lt;=2")</f>
        <v>3</v>
      </c>
      <c r="CH14" s="18">
        <f>COUNTIFS(BK3:BK104,"*Bo*",BK3:BK104,"*20*",C3:C104,"&gt;=3",C3:C104,"&lt;=5")</f>
        <v>1</v>
      </c>
      <c r="CI14" s="18">
        <f>COUNTIFS(BK3:BK104,"*V*",BK3:BK104,"*20*",C3:C104,"&gt;=3",C3:C104,"&lt;=5")</f>
        <v>6</v>
      </c>
      <c r="CJ14" s="18">
        <f>COUNTIFS(BK3:BK104,"*Bo*",BK3:BK104,"*20*",C3:C104,"&gt;5",C3:C104,"&lt;=10")</f>
        <v>2</v>
      </c>
      <c r="CK14" s="18">
        <f>COUNTIFS(BK3:BK104,"*V*",BK3:BK104,"*20*",C3:C104,"&gt;5",C3:C104,"&lt;=10")</f>
        <v>0</v>
      </c>
      <c r="CL14" s="18">
        <f>COUNTIFS(BK3:BK104,"*Bo*",BK3:BK104,"*20*",C3:C104,"&gt;10",C3:C104,"&lt;30")</f>
        <v>2</v>
      </c>
      <c r="CM14" s="18">
        <f>COUNTIFS(BK3:BK104,"*V*",BK3:BK104,"*20*",C3:C104,"&gt;10",C3:C104,"&lt;30")</f>
        <v>0</v>
      </c>
      <c r="CN14" s="18">
        <f>COUNTIFS(BK3:BK104,"*Bo*",BK3:BK104,"*20*",C3:C104,"&gt;=30")</f>
        <v>1</v>
      </c>
      <c r="CO14" s="18">
        <f>COUNTIFS(BK3:BK104,"*V*",BK3:BK104,"*20*",C3:C104,"&gt;=30")</f>
        <v>0</v>
      </c>
      <c r="CP14" s="6">
        <f t="shared" si="17"/>
        <v>16</v>
      </c>
      <c r="CQ14" s="6"/>
      <c r="CR14" s="6" t="s">
        <v>259</v>
      </c>
      <c r="CS14" s="18">
        <f>COUNTIFS($BK$3:$BK$100,"*Bo*",$BK$3:$BK$100,"*20*",$B$3:$B$100,"&lt;=100")</f>
        <v>1</v>
      </c>
      <c r="CT14" s="18">
        <f>COUNTIFS($BK$3:$BK$100,"*V*",$BK$3:$BK$100,"*20*",$B$3:$B$100,"&lt;=100")</f>
        <v>1</v>
      </c>
      <c r="CU14" s="18">
        <f>COUNTIFS($BK$3:$BK$100,"*Bo*",$BK$3:$BK$100,"*20*",$B$3:$B$100,"&gt;100",$B$3:$B$100,"&lt;=200")</f>
        <v>3</v>
      </c>
      <c r="CV14" s="18">
        <f>COUNTIFS($BK$3:$BK$100,"*V*",$BK$3:$BK$100,"*20*",$B$3:$B$100,"&gt;100",$B$3:$B$100,"&lt;=200")</f>
        <v>0</v>
      </c>
      <c r="CW14" s="18">
        <f>COUNTIFS($BK$3:$BK$100,"*Bo*",$BK$3:$BK$100,"*20*",$B$3:$B$100,"&gt;200",$B$3:$B$100,"&lt;500")</f>
        <v>1</v>
      </c>
      <c r="CX14" s="18">
        <f>COUNTIFS($BK$3:$BK$100,"*V*",$BK$3:$BK$100,"*20*",$B$3:$B$100,"&gt;200",$B$3:$B$100,"&lt;500")</f>
        <v>2</v>
      </c>
      <c r="CY14" s="18">
        <f>COUNTIFS($BK$3:$BK$100,"*Bo*",$BK$3:$BK$100,"*20*",$B$3:$B$100,"&gt;=500",$B$3:$B$100,"&lt;1000")</f>
        <v>1</v>
      </c>
      <c r="CZ14" s="18">
        <f>COUNTIFS($BK$3:$BK$100,"*V*",$BK$3:$BK$100,"*20*",$B$3:$B$100,"&gt;=500",$B$3:$B$100,"&lt;1000")</f>
        <v>2</v>
      </c>
      <c r="DA14" s="18">
        <f>COUNTIFS($BK$3:$BK$100,"*Bo*",$BK$3:$BK$100,"*20*",$B$3:$B$100,"&gt;=1000")</f>
        <v>1</v>
      </c>
      <c r="DB14" s="18">
        <f>COUNTIFS($BK$3:$BK$100,"*V*",$BK$3:$BK$100,"*20*",$B$3:$B$100,"&gt;=1000")</f>
        <v>4</v>
      </c>
      <c r="DC14" s="6">
        <f t="shared" si="18"/>
        <v>16</v>
      </c>
      <c r="DD14" s="6"/>
    </row>
    <row r="15" ht="15.75" customHeight="1">
      <c r="A15" s="1" t="s">
        <v>109</v>
      </c>
      <c r="B15" s="17">
        <v>286.0</v>
      </c>
      <c r="C15" s="17">
        <v>2.0</v>
      </c>
      <c r="D15" s="17" t="s">
        <v>302</v>
      </c>
      <c r="E15" s="9">
        <v>0.742857</v>
      </c>
      <c r="F15" s="9">
        <v>0.785714</v>
      </c>
      <c r="G15" s="9" t="s">
        <v>85</v>
      </c>
      <c r="H15" s="30">
        <v>0.764285707</v>
      </c>
      <c r="I15" s="30">
        <v>0.785714269</v>
      </c>
      <c r="J15" s="9" t="s">
        <v>85</v>
      </c>
      <c r="K15" s="9">
        <v>0.828571</v>
      </c>
      <c r="L15" s="9">
        <v>0.821429</v>
      </c>
      <c r="M15" s="9" t="s">
        <v>85</v>
      </c>
      <c r="N15" s="9">
        <v>0.757142866</v>
      </c>
      <c r="O15" s="9">
        <v>0.75</v>
      </c>
      <c r="P15" s="9" t="s">
        <v>85</v>
      </c>
      <c r="Q15" s="9">
        <v>0.721429</v>
      </c>
      <c r="R15" s="9">
        <v>0.714286</v>
      </c>
      <c r="S15" s="9" t="s">
        <v>85</v>
      </c>
      <c r="T15" s="9">
        <v>0.742857134</v>
      </c>
      <c r="U15" s="9">
        <v>0.75</v>
      </c>
      <c r="V15" s="9" t="s">
        <v>85</v>
      </c>
      <c r="W15" s="9">
        <v>0.985714</v>
      </c>
      <c r="X15" s="9">
        <v>1.0</v>
      </c>
      <c r="Y15" s="9" t="s">
        <v>85</v>
      </c>
      <c r="Z15" s="9">
        <v>0.985714</v>
      </c>
      <c r="AA15" s="9">
        <v>1.0</v>
      </c>
      <c r="AB15" s="9" t="s">
        <v>85</v>
      </c>
      <c r="AC15" s="30">
        <v>0.849999988</v>
      </c>
      <c r="AD15" s="30">
        <v>0.857143</v>
      </c>
      <c r="AE15" s="9" t="s">
        <v>85</v>
      </c>
      <c r="AF15" s="30">
        <v>0.864285707</v>
      </c>
      <c r="AG15" s="30">
        <v>0.892857</v>
      </c>
      <c r="AH15" s="9" t="s">
        <v>85</v>
      </c>
      <c r="AI15" s="9">
        <v>0.771429</v>
      </c>
      <c r="AJ15" s="9">
        <v>0.857143</v>
      </c>
      <c r="AK15" s="9" t="s">
        <v>85</v>
      </c>
      <c r="AL15" s="9">
        <v>0.835714</v>
      </c>
      <c r="AM15" s="9">
        <v>0.857143</v>
      </c>
      <c r="AN15" s="9" t="s">
        <v>85</v>
      </c>
      <c r="AO15" s="9">
        <v>0.864286</v>
      </c>
      <c r="AP15" s="9">
        <v>0.892857</v>
      </c>
      <c r="AQ15" s="9" t="s">
        <v>85</v>
      </c>
      <c r="AR15" s="30">
        <v>0.892857134</v>
      </c>
      <c r="AS15" s="30">
        <v>0.928571</v>
      </c>
      <c r="AT15" s="9" t="s">
        <v>85</v>
      </c>
      <c r="AU15" s="9">
        <v>0.935714</v>
      </c>
      <c r="AV15" s="9">
        <v>0.964286</v>
      </c>
      <c r="AW15" s="9" t="s">
        <v>85</v>
      </c>
      <c r="AX15" s="9">
        <v>0.935714</v>
      </c>
      <c r="AY15" s="9">
        <v>0.928571</v>
      </c>
      <c r="AZ15" s="9" t="s">
        <v>85</v>
      </c>
      <c r="BA15" s="9">
        <v>0.885714</v>
      </c>
      <c r="BB15" s="9">
        <v>0.928571</v>
      </c>
      <c r="BC15" s="9" t="s">
        <v>85</v>
      </c>
      <c r="BD15" s="30">
        <v>0.964286</v>
      </c>
      <c r="BE15" s="30">
        <v>0.964286</v>
      </c>
      <c r="BF15" s="9" t="s">
        <v>85</v>
      </c>
      <c r="BG15" s="10" t="s">
        <v>85</v>
      </c>
      <c r="BH15" s="10" t="s">
        <v>85</v>
      </c>
      <c r="BI15" s="9" t="s">
        <v>85</v>
      </c>
      <c r="BJ15" s="6"/>
      <c r="BK15" s="6" t="str">
        <f t="shared" si="2"/>
        <v>8V_Fold_Median</v>
      </c>
      <c r="BL15" s="6" t="str">
        <f t="shared" si="3"/>
        <v>8V_Fold_Median</v>
      </c>
      <c r="BM15" s="6" t="str">
        <f t="shared" si="4"/>
        <v>8V_Fold_Mean</v>
      </c>
      <c r="BN15" s="6"/>
      <c r="BO15" s="6">
        <f t="shared" ref="BO15:BQ15" si="22">IF(ISNUMBER(SEARCH("5",BK15)),5,IF(ISNUMBER(SEARCH("*8*",BK15)),8,IF(ISNUMBER(SEARCH("*10*",BK15)),10,IF(ISNUMBER(SEARCH("*12*",BK15)),12,IF(ISNUMBER(SEARCH("*20*",BK15)),20)))))</f>
        <v>8</v>
      </c>
      <c r="BP15" s="6">
        <f t="shared" si="22"/>
        <v>8</v>
      </c>
      <c r="BQ15" s="6">
        <f t="shared" si="22"/>
        <v>8</v>
      </c>
      <c r="BR15" s="6"/>
      <c r="BS15" s="6">
        <f t="shared" si="6"/>
        <v>52</v>
      </c>
      <c r="BT15" s="6">
        <f t="shared" si="7"/>
        <v>65</v>
      </c>
      <c r="BU15" s="6"/>
      <c r="BV15" s="6"/>
      <c r="BW15" s="1" t="s">
        <v>214</v>
      </c>
      <c r="BX15" s="6" t="s">
        <v>249</v>
      </c>
      <c r="BY15" s="6"/>
      <c r="BZ15" s="6"/>
      <c r="CA15" s="6"/>
      <c r="CB15" s="6"/>
      <c r="CC15" s="6"/>
      <c r="CD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 t="s">
        <v>216</v>
      </c>
      <c r="CQ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 t="s">
        <v>216</v>
      </c>
      <c r="DD15" s="6"/>
    </row>
    <row r="16" ht="15.75" customHeight="1">
      <c r="A16" s="1" t="s">
        <v>110</v>
      </c>
      <c r="B16" s="17">
        <v>720.0</v>
      </c>
      <c r="C16" s="17">
        <v>2.0</v>
      </c>
      <c r="D16" s="17" t="s">
        <v>299</v>
      </c>
      <c r="E16" s="9">
        <v>0.8104</v>
      </c>
      <c r="F16" s="9">
        <v>0.812</v>
      </c>
      <c r="G16" s="9" t="s">
        <v>85</v>
      </c>
      <c r="H16" s="30">
        <v>0.73039999</v>
      </c>
      <c r="I16" s="30">
        <v>0.736000001</v>
      </c>
      <c r="J16" s="9" t="s">
        <v>85</v>
      </c>
      <c r="K16" s="9">
        <v>0.6848</v>
      </c>
      <c r="L16" s="9">
        <v>0.672</v>
      </c>
      <c r="M16" s="9" t="s">
        <v>85</v>
      </c>
      <c r="N16" s="9">
        <v>0.669599998</v>
      </c>
      <c r="O16" s="9">
        <v>0.676</v>
      </c>
      <c r="P16" s="9" t="s">
        <v>85</v>
      </c>
      <c r="Q16" s="9">
        <v>0.8112</v>
      </c>
      <c r="R16" s="9">
        <v>0.808</v>
      </c>
      <c r="S16" s="9" t="s">
        <v>85</v>
      </c>
      <c r="T16" s="9">
        <v>0.8176</v>
      </c>
      <c r="U16" s="9">
        <v>0.816</v>
      </c>
      <c r="V16" s="9" t="s">
        <v>85</v>
      </c>
      <c r="W16" s="9">
        <v>0.7032</v>
      </c>
      <c r="X16" s="9">
        <v>0.704</v>
      </c>
      <c r="Y16" s="9" t="s">
        <v>85</v>
      </c>
      <c r="Z16" s="9">
        <v>0.692</v>
      </c>
      <c r="AA16" s="9">
        <v>0.688</v>
      </c>
      <c r="AB16" s="9" t="s">
        <v>85</v>
      </c>
      <c r="AC16" s="30">
        <v>0.828000009</v>
      </c>
      <c r="AD16" s="30">
        <v>0.832</v>
      </c>
      <c r="AE16" s="9" t="s">
        <v>85</v>
      </c>
      <c r="AF16" s="30">
        <v>0.823199987</v>
      </c>
      <c r="AG16" s="30">
        <v>0.824</v>
      </c>
      <c r="AH16" s="9" t="s">
        <v>85</v>
      </c>
      <c r="AI16" s="9">
        <v>0.6616</v>
      </c>
      <c r="AJ16" s="9">
        <v>0.66</v>
      </c>
      <c r="AK16" s="9" t="s">
        <v>85</v>
      </c>
      <c r="AL16" s="9">
        <v>0.6584</v>
      </c>
      <c r="AM16" s="9">
        <v>0.656</v>
      </c>
      <c r="AN16" s="9" t="s">
        <v>85</v>
      </c>
      <c r="AO16" s="9">
        <v>0.8136</v>
      </c>
      <c r="AP16" s="9">
        <v>0.812</v>
      </c>
      <c r="AQ16" s="9" t="s">
        <v>85</v>
      </c>
      <c r="AR16" s="30">
        <v>0.809600008</v>
      </c>
      <c r="AS16" s="30">
        <v>0.808</v>
      </c>
      <c r="AT16" s="9" t="s">
        <v>85</v>
      </c>
      <c r="AU16" s="9">
        <v>0.6728</v>
      </c>
      <c r="AV16" s="9">
        <v>0.672</v>
      </c>
      <c r="AW16" s="9" t="s">
        <v>85</v>
      </c>
      <c r="AX16" s="9">
        <v>0.6416</v>
      </c>
      <c r="AY16" s="9">
        <v>0.632</v>
      </c>
      <c r="AZ16" s="9" t="s">
        <v>85</v>
      </c>
      <c r="BA16" s="9">
        <v>0.7872</v>
      </c>
      <c r="BB16" s="9">
        <v>0.792</v>
      </c>
      <c r="BC16" s="9" t="s">
        <v>85</v>
      </c>
      <c r="BD16" s="30">
        <v>0.6688</v>
      </c>
      <c r="BE16" s="30">
        <v>0.68</v>
      </c>
      <c r="BF16" s="9" t="s">
        <v>85</v>
      </c>
      <c r="BG16" s="10" t="s">
        <v>85</v>
      </c>
      <c r="BH16" s="10" t="s">
        <v>85</v>
      </c>
      <c r="BI16" s="9" t="s">
        <v>85</v>
      </c>
      <c r="BJ16" s="6"/>
      <c r="BK16" s="6" t="str">
        <f t="shared" si="2"/>
        <v>10Bo_Fold_Median</v>
      </c>
      <c r="BL16" s="6" t="str">
        <f t="shared" si="3"/>
        <v>10Bo_Fold_Mean</v>
      </c>
      <c r="BM16" s="6" t="str">
        <f t="shared" si="4"/>
        <v>10BoN_Fold_Median</v>
      </c>
      <c r="BN16" s="6"/>
      <c r="BO16" s="6">
        <f t="shared" ref="BO16:BQ16" si="23">IF(ISNUMBER(SEARCH("5",BK16)),5,IF(ISNUMBER(SEARCH("*8*",BK16)),8,IF(ISNUMBER(SEARCH("*10*",BK16)),10,IF(ISNUMBER(SEARCH("*12*",BK16)),12,IF(ISNUMBER(SEARCH("*20*",BK16)),20)))))</f>
        <v>10</v>
      </c>
      <c r="BP16" s="6">
        <f t="shared" si="23"/>
        <v>10</v>
      </c>
      <c r="BQ16" s="6">
        <f t="shared" si="23"/>
        <v>10</v>
      </c>
      <c r="BR16" s="6"/>
      <c r="BS16" s="6">
        <f t="shared" si="6"/>
        <v>23.5</v>
      </c>
      <c r="BT16" s="6">
        <f t="shared" si="7"/>
        <v>46.5</v>
      </c>
      <c r="BU16" s="6"/>
      <c r="BV16" s="6"/>
      <c r="BX16" s="6" t="s">
        <v>255</v>
      </c>
      <c r="BY16" s="6" t="s">
        <v>256</v>
      </c>
      <c r="BZ16" s="6" t="s">
        <v>257</v>
      </c>
      <c r="CA16" s="6" t="s">
        <v>258</v>
      </c>
      <c r="CB16" s="6" t="s">
        <v>259</v>
      </c>
      <c r="CC16" s="6"/>
      <c r="CD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>
        <f>SUM(CP10:CP15)</f>
        <v>98</v>
      </c>
      <c r="CQ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>
        <f>SUM(DC10:DC15)</f>
        <v>98</v>
      </c>
      <c r="DD16" s="6"/>
    </row>
    <row r="17" ht="15.75" customHeight="1">
      <c r="A17" s="1" t="s">
        <v>111</v>
      </c>
      <c r="B17" s="17">
        <v>46.0</v>
      </c>
      <c r="C17" s="17">
        <v>24.0</v>
      </c>
      <c r="D17" s="17" t="s">
        <v>300</v>
      </c>
      <c r="E17" s="9">
        <v>0.409798</v>
      </c>
      <c r="F17" s="9">
        <v>0.406548</v>
      </c>
      <c r="G17" s="9" t="s">
        <v>85</v>
      </c>
      <c r="H17" s="30">
        <v>0.425797617</v>
      </c>
      <c r="I17" s="30">
        <v>0.441726178</v>
      </c>
      <c r="J17" s="9" t="s">
        <v>85</v>
      </c>
      <c r="K17" s="9">
        <v>0.401869</v>
      </c>
      <c r="L17" s="9">
        <v>0.399048</v>
      </c>
      <c r="M17" s="9" t="s">
        <v>85</v>
      </c>
      <c r="N17" s="9">
        <v>0.413392866</v>
      </c>
      <c r="O17" s="9">
        <v>0.451548</v>
      </c>
      <c r="P17" s="9" t="s">
        <v>85</v>
      </c>
      <c r="Q17" s="9">
        <v>0.454262</v>
      </c>
      <c r="R17" s="9">
        <v>0.43619</v>
      </c>
      <c r="S17" s="9" t="s">
        <v>85</v>
      </c>
      <c r="T17" s="9">
        <v>0.490238106</v>
      </c>
      <c r="U17" s="9">
        <v>0.501071</v>
      </c>
      <c r="V17" s="9" t="s">
        <v>85</v>
      </c>
      <c r="W17" s="9">
        <v>0.363964</v>
      </c>
      <c r="X17" s="9">
        <v>0.35625</v>
      </c>
      <c r="Y17" s="9" t="s">
        <v>85</v>
      </c>
      <c r="Z17" s="9">
        <v>0.411381</v>
      </c>
      <c r="AA17" s="9">
        <v>0.4275</v>
      </c>
      <c r="AB17" s="9" t="s">
        <v>85</v>
      </c>
      <c r="AC17" s="30">
        <v>0.451357144</v>
      </c>
      <c r="AD17" s="30">
        <v>0.458274</v>
      </c>
      <c r="AE17" s="9" t="s">
        <v>85</v>
      </c>
      <c r="AF17" s="30">
        <v>0.390392855</v>
      </c>
      <c r="AG17" s="30">
        <v>0.431786</v>
      </c>
      <c r="AH17" s="9" t="s">
        <v>85</v>
      </c>
      <c r="AI17" s="9">
        <v>0.301881</v>
      </c>
      <c r="AJ17" s="9">
        <v>0.236786</v>
      </c>
      <c r="AK17" s="9" t="s">
        <v>85</v>
      </c>
      <c r="AL17" s="9">
        <v>0.249524</v>
      </c>
      <c r="AM17" s="9">
        <v>0.207679</v>
      </c>
      <c r="AN17" s="9" t="s">
        <v>85</v>
      </c>
      <c r="AO17" s="9">
        <v>0.483131</v>
      </c>
      <c r="AP17" s="9">
        <v>0.496012</v>
      </c>
      <c r="AQ17" s="9" t="s">
        <v>85</v>
      </c>
      <c r="AR17" s="30">
        <v>0.489238095</v>
      </c>
      <c r="AS17" s="30">
        <v>0.504881</v>
      </c>
      <c r="AT17" s="9" t="s">
        <v>85</v>
      </c>
      <c r="AU17" s="9">
        <v>0.373298</v>
      </c>
      <c r="AV17" s="9">
        <v>0.363512</v>
      </c>
      <c r="AW17" s="9" t="s">
        <v>85</v>
      </c>
      <c r="AX17" s="9">
        <v>0.31631</v>
      </c>
      <c r="AY17" s="9">
        <v>0.317976</v>
      </c>
      <c r="AZ17" s="9" t="s">
        <v>85</v>
      </c>
      <c r="BA17" s="9">
        <v>0.409679</v>
      </c>
      <c r="BB17" s="9">
        <v>0.425774</v>
      </c>
      <c r="BC17" s="9" t="s">
        <v>85</v>
      </c>
      <c r="BD17" s="30">
        <v>0.292607</v>
      </c>
      <c r="BE17" s="30">
        <v>0.270179</v>
      </c>
      <c r="BF17" s="9" t="s">
        <v>85</v>
      </c>
      <c r="BG17" s="10" t="s">
        <v>85</v>
      </c>
      <c r="BH17" s="10" t="s">
        <v>85</v>
      </c>
      <c r="BI17" s="9" t="s">
        <v>85</v>
      </c>
      <c r="BJ17" s="6"/>
      <c r="BK17" s="6" t="str">
        <f t="shared" si="2"/>
        <v>12BoN_Fold_Median</v>
      </c>
      <c r="BL17" s="6" t="str">
        <f t="shared" si="3"/>
        <v>8BoN_Fold_Median</v>
      </c>
      <c r="BM17" s="6" t="str">
        <f t="shared" si="4"/>
        <v>12Bo_Fold_Median</v>
      </c>
      <c r="BN17" s="6"/>
      <c r="BO17" s="6">
        <f t="shared" ref="BO17:BQ17" si="24">IF(ISNUMBER(SEARCH("5",BK17)),5,IF(ISNUMBER(SEARCH("*8*",BK17)),8,IF(ISNUMBER(SEARCH("*10*",BK17)),10,IF(ISNUMBER(SEARCH("*12*",BK17)),12,IF(ISNUMBER(SEARCH("*20*",BK17)),20)))))</f>
        <v>12</v>
      </c>
      <c r="BP17" s="6">
        <f t="shared" si="24"/>
        <v>8</v>
      </c>
      <c r="BQ17" s="6">
        <f t="shared" si="24"/>
        <v>12</v>
      </c>
      <c r="BR17" s="6"/>
      <c r="BS17" s="6">
        <f t="shared" si="6"/>
        <v>95</v>
      </c>
      <c r="BT17" s="6">
        <f t="shared" si="7"/>
        <v>27</v>
      </c>
      <c r="BU17" s="6"/>
      <c r="BV17" s="6"/>
      <c r="BW17" s="6"/>
      <c r="BX17" s="6">
        <f>COUNTIF(BL3:BL100,"*5*")</f>
        <v>31</v>
      </c>
      <c r="BY17" s="6">
        <f>COUNTIF(BL3:BL100,"*8*")</f>
        <v>21</v>
      </c>
      <c r="BZ17" s="6">
        <f>COUNTIF(BL3:BL100,"*10*")</f>
        <v>14</v>
      </c>
      <c r="CA17" s="6">
        <f>COUNTIF(BL3:BL100,"*12*")</f>
        <v>19</v>
      </c>
      <c r="CB17" s="6">
        <f>COUNTIF(BL3:BL100,"*20*")</f>
        <v>13</v>
      </c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</row>
    <row r="18" ht="15.75" customHeight="1">
      <c r="A18" s="1" t="s">
        <v>112</v>
      </c>
      <c r="B18" s="17">
        <v>345.0</v>
      </c>
      <c r="C18" s="17">
        <v>4.0</v>
      </c>
      <c r="D18" s="17" t="s">
        <v>300</v>
      </c>
      <c r="E18" s="9">
        <v>0.865359</v>
      </c>
      <c r="F18" s="9">
        <v>0.882353</v>
      </c>
      <c r="G18" s="9" t="s">
        <v>85</v>
      </c>
      <c r="H18" s="30">
        <v>0.858823514</v>
      </c>
      <c r="I18" s="30">
        <v>0.879084945</v>
      </c>
      <c r="J18" s="9" t="s">
        <v>85</v>
      </c>
      <c r="K18" s="9">
        <v>0.859477</v>
      </c>
      <c r="L18" s="9">
        <v>0.885621</v>
      </c>
      <c r="M18" s="9" t="s">
        <v>85</v>
      </c>
      <c r="N18" s="9">
        <v>0.794117641</v>
      </c>
      <c r="O18" s="9">
        <v>0.843137</v>
      </c>
      <c r="P18" s="9" t="s">
        <v>85</v>
      </c>
      <c r="Q18" s="9">
        <v>0.881046</v>
      </c>
      <c r="R18" s="9">
        <v>0.879085</v>
      </c>
      <c r="S18" s="9" t="s">
        <v>85</v>
      </c>
      <c r="T18" s="9">
        <v>0.774509794</v>
      </c>
      <c r="U18" s="9">
        <v>0.892157</v>
      </c>
      <c r="V18" s="9" t="s">
        <v>85</v>
      </c>
      <c r="W18" s="9">
        <v>0.885621</v>
      </c>
      <c r="X18" s="9">
        <v>0.892157</v>
      </c>
      <c r="Y18" s="9" t="s">
        <v>85</v>
      </c>
      <c r="Z18" s="9">
        <v>0.889542</v>
      </c>
      <c r="AA18" s="9">
        <v>0.892157</v>
      </c>
      <c r="AB18" s="9" t="s">
        <v>85</v>
      </c>
      <c r="AC18" s="30">
        <v>0.884313715</v>
      </c>
      <c r="AD18" s="30">
        <v>0.888889</v>
      </c>
      <c r="AE18" s="9" t="s">
        <v>85</v>
      </c>
      <c r="AF18" s="30">
        <v>0.879084969</v>
      </c>
      <c r="AG18" s="30">
        <v>0.882353</v>
      </c>
      <c r="AH18" s="9" t="s">
        <v>85</v>
      </c>
      <c r="AI18" s="9">
        <v>0.891503</v>
      </c>
      <c r="AJ18" s="9">
        <v>0.888889</v>
      </c>
      <c r="AK18" s="9" t="s">
        <v>85</v>
      </c>
      <c r="AL18" s="9">
        <v>0.869935</v>
      </c>
      <c r="AM18" s="9">
        <v>0.892157</v>
      </c>
      <c r="AN18" s="9" t="s">
        <v>85</v>
      </c>
      <c r="AO18" s="9">
        <v>0.890196</v>
      </c>
      <c r="AP18" s="9">
        <v>0.888889</v>
      </c>
      <c r="AQ18" s="9" t="s">
        <v>85</v>
      </c>
      <c r="AR18" s="30">
        <v>0.871895421</v>
      </c>
      <c r="AS18" s="30">
        <v>0.892157</v>
      </c>
      <c r="AT18" s="9" t="s">
        <v>85</v>
      </c>
      <c r="AU18" s="9">
        <v>0.861438</v>
      </c>
      <c r="AV18" s="9">
        <v>0.875817</v>
      </c>
      <c r="AW18" s="9" t="s">
        <v>85</v>
      </c>
      <c r="AX18" s="9">
        <v>0.833987</v>
      </c>
      <c r="AY18" s="9">
        <v>0.888889</v>
      </c>
      <c r="AZ18" s="9" t="s">
        <v>85</v>
      </c>
      <c r="BA18" s="9">
        <v>0.89281</v>
      </c>
      <c r="BB18" s="9">
        <v>0.892157</v>
      </c>
      <c r="BC18" s="9" t="s">
        <v>85</v>
      </c>
      <c r="BD18" s="30">
        <v>0.896078</v>
      </c>
      <c r="BE18" s="30">
        <v>0.892157</v>
      </c>
      <c r="BF18" s="9" t="s">
        <v>85</v>
      </c>
      <c r="BG18" s="10" t="s">
        <v>85</v>
      </c>
      <c r="BH18" s="10" t="s">
        <v>85</v>
      </c>
      <c r="BI18" s="9" t="s">
        <v>85</v>
      </c>
      <c r="BJ18" s="6"/>
      <c r="BK18" s="6" t="str">
        <f t="shared" si="2"/>
        <v>20V_Fold_Mean</v>
      </c>
      <c r="BL18" s="6" t="str">
        <f t="shared" si="3"/>
        <v>20Bo_Fold_Mean</v>
      </c>
      <c r="BM18" s="6" t="str">
        <f t="shared" si="4"/>
        <v>8BoN_Fold_Median</v>
      </c>
      <c r="BN18" s="6"/>
      <c r="BO18" s="6">
        <f t="shared" ref="BO18:BQ18" si="25">IF(ISNUMBER(SEARCH("5",BK18)),5,IF(ISNUMBER(SEARCH("*8*",BK18)),8,IF(ISNUMBER(SEARCH("*10*",BK18)),10,IF(ISNUMBER(SEARCH("*12*",BK18)),12,IF(ISNUMBER(SEARCH("*20*",BK18)),20)))))</f>
        <v>20</v>
      </c>
      <c r="BP18" s="6">
        <f t="shared" si="25"/>
        <v>20</v>
      </c>
      <c r="BQ18" s="6">
        <f t="shared" si="25"/>
        <v>8</v>
      </c>
      <c r="BR18" s="6"/>
      <c r="BS18" s="6">
        <f t="shared" si="6"/>
        <v>47</v>
      </c>
      <c r="BT18" s="6">
        <f t="shared" si="7"/>
        <v>8.5</v>
      </c>
      <c r="BU18" s="6"/>
      <c r="BV18" s="6"/>
      <c r="BW18" s="6" t="s">
        <v>226</v>
      </c>
      <c r="BX18" s="18">
        <f t="shared" ref="BX18:CB18" si="26">MINUS(BX17,SUM(BX19,BX20))</f>
        <v>15</v>
      </c>
      <c r="BY18" s="18">
        <f t="shared" si="26"/>
        <v>10</v>
      </c>
      <c r="BZ18" s="18">
        <f t="shared" si="26"/>
        <v>8</v>
      </c>
      <c r="CA18" s="18">
        <f t="shared" si="26"/>
        <v>11</v>
      </c>
      <c r="CB18" s="18">
        <f t="shared" si="26"/>
        <v>5</v>
      </c>
      <c r="CC18" s="6">
        <f t="shared" ref="CC18:CC20" si="28">SUM(BX18:CB18)</f>
        <v>49</v>
      </c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</row>
    <row r="19" ht="15.75" customHeight="1">
      <c r="A19" s="1" t="s">
        <v>113</v>
      </c>
      <c r="B19" s="17">
        <v>80.0</v>
      </c>
      <c r="C19" s="17">
        <v>3.0</v>
      </c>
      <c r="D19" s="17" t="s">
        <v>300</v>
      </c>
      <c r="E19" s="9">
        <v>0.664748</v>
      </c>
      <c r="F19" s="9">
        <v>0.669065</v>
      </c>
      <c r="G19" s="9" t="s">
        <v>85</v>
      </c>
      <c r="H19" s="30">
        <v>0.682014382</v>
      </c>
      <c r="I19" s="30">
        <v>0.676258981</v>
      </c>
      <c r="J19" s="9" t="s">
        <v>85</v>
      </c>
      <c r="K19" s="9">
        <v>0.735252</v>
      </c>
      <c r="L19" s="9">
        <v>0.741007</v>
      </c>
      <c r="M19" s="9" t="s">
        <v>85</v>
      </c>
      <c r="N19" s="9">
        <v>0.710791361</v>
      </c>
      <c r="O19" s="9">
        <v>0.733813</v>
      </c>
      <c r="P19" s="9" t="s">
        <v>85</v>
      </c>
      <c r="Q19" s="9">
        <v>0.683453</v>
      </c>
      <c r="R19" s="9">
        <v>0.683453</v>
      </c>
      <c r="S19" s="9" t="s">
        <v>85</v>
      </c>
      <c r="T19" s="9">
        <v>0.684892106</v>
      </c>
      <c r="U19" s="9">
        <v>0.683453</v>
      </c>
      <c r="V19" s="9" t="s">
        <v>85</v>
      </c>
      <c r="W19" s="9">
        <v>0.693525</v>
      </c>
      <c r="X19" s="9">
        <v>0.683453</v>
      </c>
      <c r="Y19" s="9" t="s">
        <v>85</v>
      </c>
      <c r="Z19" s="9">
        <v>0.689209</v>
      </c>
      <c r="AA19" s="9">
        <v>0.683453</v>
      </c>
      <c r="AB19" s="9" t="s">
        <v>85</v>
      </c>
      <c r="AC19" s="30">
        <v>0.69784174</v>
      </c>
      <c r="AD19" s="30">
        <v>0.683453</v>
      </c>
      <c r="AE19" s="9" t="s">
        <v>85</v>
      </c>
      <c r="AF19" s="30">
        <v>0.702158272</v>
      </c>
      <c r="AG19" s="30">
        <v>0.71223</v>
      </c>
      <c r="AH19" s="9" t="s">
        <v>85</v>
      </c>
      <c r="AI19" s="9">
        <v>0.706475</v>
      </c>
      <c r="AJ19" s="9">
        <v>0.705036</v>
      </c>
      <c r="AK19" s="9" t="s">
        <v>85</v>
      </c>
      <c r="AL19" s="9">
        <v>0.697842</v>
      </c>
      <c r="AM19" s="9">
        <v>0.683453</v>
      </c>
      <c r="AN19" s="9" t="s">
        <v>85</v>
      </c>
      <c r="AO19" s="9">
        <v>0.686331</v>
      </c>
      <c r="AP19" s="9">
        <v>0.683453</v>
      </c>
      <c r="AQ19" s="9" t="s">
        <v>85</v>
      </c>
      <c r="AR19" s="30">
        <v>0.700719428</v>
      </c>
      <c r="AS19" s="30">
        <v>0.697842</v>
      </c>
      <c r="AT19" s="9" t="s">
        <v>85</v>
      </c>
      <c r="AU19" s="9">
        <v>0.67482</v>
      </c>
      <c r="AV19" s="9">
        <v>0.683453</v>
      </c>
      <c r="AW19" s="9" t="s">
        <v>85</v>
      </c>
      <c r="AX19" s="9">
        <v>0.67482</v>
      </c>
      <c r="AY19" s="9">
        <v>0.683453</v>
      </c>
      <c r="AZ19" s="9" t="s">
        <v>85</v>
      </c>
      <c r="BA19" s="9">
        <v>0.664748</v>
      </c>
      <c r="BB19" s="9">
        <v>0.669065</v>
      </c>
      <c r="BC19" s="9" t="s">
        <v>85</v>
      </c>
      <c r="BD19" s="30">
        <v>0.690647</v>
      </c>
      <c r="BE19" s="30">
        <v>0.683453</v>
      </c>
      <c r="BF19" s="9" t="s">
        <v>85</v>
      </c>
      <c r="BG19" s="10" t="s">
        <v>85</v>
      </c>
      <c r="BH19" s="10" t="s">
        <v>85</v>
      </c>
      <c r="BI19" s="9" t="s">
        <v>85</v>
      </c>
      <c r="BJ19" s="6"/>
      <c r="BK19" s="6" t="str">
        <f t="shared" si="2"/>
        <v>5V_Fold_Median</v>
      </c>
      <c r="BL19" s="6" t="str">
        <f t="shared" si="3"/>
        <v>5V_Fold_Mean</v>
      </c>
      <c r="BM19" s="6" t="str">
        <f t="shared" si="4"/>
        <v>5VB_Fold_Median</v>
      </c>
      <c r="BN19" s="6"/>
      <c r="BO19" s="6">
        <f t="shared" ref="BO19:BQ19" si="27">IF(ISNUMBER(SEARCH("5",BK19)),5,IF(ISNUMBER(SEARCH("*8*",BK19)),8,IF(ISNUMBER(SEARCH("*10*",BK19)),10,IF(ISNUMBER(SEARCH("*12*",BK19)),12,IF(ISNUMBER(SEARCH("*20*",BK19)),20)))))</f>
        <v>5</v>
      </c>
      <c r="BP19" s="6">
        <f t="shared" si="27"/>
        <v>5</v>
      </c>
      <c r="BQ19" s="6">
        <f t="shared" si="27"/>
        <v>5</v>
      </c>
      <c r="BR19" s="6"/>
      <c r="BS19" s="6">
        <f t="shared" si="6"/>
        <v>86.5</v>
      </c>
      <c r="BT19" s="6">
        <f t="shared" si="7"/>
        <v>86.5</v>
      </c>
      <c r="BU19" s="6"/>
      <c r="BV19" s="6"/>
      <c r="BW19" s="6" t="s">
        <v>227</v>
      </c>
      <c r="BX19" s="18">
        <f>COUNTIFS(BL3:BL100,"*V*",BL3:BL100,"*5*")</f>
        <v>16</v>
      </c>
      <c r="BY19" s="19">
        <f>COUNTIFS(BL3:BL100,"*V*",BL3:BL100,"*8*")</f>
        <v>11</v>
      </c>
      <c r="BZ19" s="18">
        <f>COUNTIFS(BL3:BL100,"*V*",BL3:BL100,"*10*")</f>
        <v>6</v>
      </c>
      <c r="CA19" s="18">
        <f>COUNTIFS(BL3:BL100,"*V*",BL3:BL100,"*12*")</f>
        <v>8</v>
      </c>
      <c r="CB19" s="18">
        <f>COUNTIFS(BL3:BL100,"*V*",BL3:BL100,"*20*")</f>
        <v>8</v>
      </c>
      <c r="CC19" s="6">
        <f t="shared" si="28"/>
        <v>49</v>
      </c>
      <c r="CD19" s="6"/>
      <c r="CE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</row>
    <row r="20" ht="15.75" customHeight="1">
      <c r="A20" s="1" t="s">
        <v>114</v>
      </c>
      <c r="B20" s="17">
        <v>80.0</v>
      </c>
      <c r="C20" s="17">
        <v>2.0</v>
      </c>
      <c r="D20" s="17" t="s">
        <v>300</v>
      </c>
      <c r="E20" s="9">
        <v>0.726087</v>
      </c>
      <c r="F20" s="9">
        <v>0.728261</v>
      </c>
      <c r="G20" s="9" t="s">
        <v>85</v>
      </c>
      <c r="H20" s="30">
        <v>0.7268116</v>
      </c>
      <c r="I20" s="30">
        <v>0.728260875</v>
      </c>
      <c r="J20" s="9" t="s">
        <v>85</v>
      </c>
      <c r="K20" s="9">
        <v>0.747826</v>
      </c>
      <c r="L20" s="9">
        <v>0.75</v>
      </c>
      <c r="M20" s="9" t="s">
        <v>85</v>
      </c>
      <c r="N20" s="9">
        <v>0.754347825</v>
      </c>
      <c r="O20" s="9">
        <v>0.75</v>
      </c>
      <c r="P20" s="9" t="s">
        <v>85</v>
      </c>
      <c r="Q20" s="9">
        <v>0.734058</v>
      </c>
      <c r="R20" s="9">
        <v>0.735507</v>
      </c>
      <c r="S20" s="9" t="s">
        <v>85</v>
      </c>
      <c r="T20" s="9">
        <v>0.7326087</v>
      </c>
      <c r="U20" s="9">
        <v>0.728261</v>
      </c>
      <c r="V20" s="9" t="s">
        <v>85</v>
      </c>
      <c r="W20" s="9">
        <v>0.755072</v>
      </c>
      <c r="X20" s="9">
        <v>0.757246</v>
      </c>
      <c r="Y20" s="9" t="s">
        <v>85</v>
      </c>
      <c r="Z20" s="9">
        <v>0.75942</v>
      </c>
      <c r="AA20" s="9">
        <v>0.757246</v>
      </c>
      <c r="AB20" s="9" t="s">
        <v>85</v>
      </c>
      <c r="AC20" s="30">
        <v>0.744927537</v>
      </c>
      <c r="AD20" s="30">
        <v>0.742754</v>
      </c>
      <c r="AE20" s="9" t="s">
        <v>85</v>
      </c>
      <c r="AF20" s="30">
        <v>0.747826087</v>
      </c>
      <c r="AG20" s="30">
        <v>0.75</v>
      </c>
      <c r="AH20" s="9" t="s">
        <v>85</v>
      </c>
      <c r="AI20" s="9">
        <v>0.736957</v>
      </c>
      <c r="AJ20" s="9">
        <v>0.735507</v>
      </c>
      <c r="AK20" s="9" t="s">
        <v>85</v>
      </c>
      <c r="AL20" s="9">
        <v>0.728986</v>
      </c>
      <c r="AM20" s="9">
        <v>0.724638</v>
      </c>
      <c r="AN20" s="9" t="s">
        <v>85</v>
      </c>
      <c r="AO20" s="9">
        <v>0.757246</v>
      </c>
      <c r="AP20" s="9">
        <v>0.764493</v>
      </c>
      <c r="AQ20" s="9" t="s">
        <v>85</v>
      </c>
      <c r="AR20" s="30">
        <v>0.760869563</v>
      </c>
      <c r="AS20" s="30">
        <v>0.757246</v>
      </c>
      <c r="AT20" s="9" t="s">
        <v>85</v>
      </c>
      <c r="AU20" s="9">
        <v>0.765217</v>
      </c>
      <c r="AV20" s="9">
        <v>0.764493</v>
      </c>
      <c r="AW20" s="9" t="s">
        <v>85</v>
      </c>
      <c r="AX20" s="9">
        <v>0.762319</v>
      </c>
      <c r="AY20" s="9">
        <v>0.764493</v>
      </c>
      <c r="AZ20" s="9" t="s">
        <v>85</v>
      </c>
      <c r="BA20" s="9">
        <v>0.751449</v>
      </c>
      <c r="BB20" s="9">
        <v>0.753623</v>
      </c>
      <c r="BC20" s="9" t="s">
        <v>85</v>
      </c>
      <c r="BD20" s="30">
        <v>0.752174</v>
      </c>
      <c r="BE20" s="30">
        <v>0.757246</v>
      </c>
      <c r="BF20" s="9" t="s">
        <v>85</v>
      </c>
      <c r="BG20" s="10" t="s">
        <v>85</v>
      </c>
      <c r="BH20" s="10" t="s">
        <v>85</v>
      </c>
      <c r="BI20" s="9" t="s">
        <v>85</v>
      </c>
      <c r="BJ20" s="6"/>
      <c r="BK20" s="6" t="str">
        <f t="shared" si="2"/>
        <v>12V_Fold_Mean</v>
      </c>
      <c r="BL20" s="6" t="str">
        <f t="shared" si="3"/>
        <v>12Bo_Fold_Median</v>
      </c>
      <c r="BM20" s="6" t="str">
        <f t="shared" si="4"/>
        <v>12Bo_Fold_Median</v>
      </c>
      <c r="BN20" s="6"/>
      <c r="BO20" s="6">
        <f t="shared" ref="BO20:BQ20" si="29">IF(ISNUMBER(SEARCH("5",BK20)),5,IF(ISNUMBER(SEARCH("*8*",BK20)),8,IF(ISNUMBER(SEARCH("*10*",BK20)),10,IF(ISNUMBER(SEARCH("*12*",BK20)),12,IF(ISNUMBER(SEARCH("*20*",BK20)),20)))))</f>
        <v>12</v>
      </c>
      <c r="BP20" s="6">
        <f t="shared" si="29"/>
        <v>12</v>
      </c>
      <c r="BQ20" s="6">
        <f t="shared" si="29"/>
        <v>12</v>
      </c>
      <c r="BR20" s="6"/>
      <c r="BS20" s="6">
        <f t="shared" si="6"/>
        <v>86.5</v>
      </c>
      <c r="BT20" s="6">
        <f t="shared" si="7"/>
        <v>27</v>
      </c>
      <c r="BU20" s="6"/>
      <c r="BV20" s="6"/>
      <c r="BW20" s="6" t="s">
        <v>20</v>
      </c>
      <c r="BX20" s="18">
        <f>COUNTIFS(BL3:BL100,"*De*",BL3:BL100,"*5*")</f>
        <v>0</v>
      </c>
      <c r="BY20" s="19">
        <f>COUNTIFS(BL3:BL100,"*De*",BL3:BL100,"*8*")</f>
        <v>0</v>
      </c>
      <c r="BZ20" s="18">
        <f>COUNTIFS(BL3:BL100,"*De*",BL3:BL100,"*10*")</f>
        <v>0</v>
      </c>
      <c r="CA20" s="18">
        <f>COUNTIFS(BL3:BL100,"*De*",BL3:BL100,"*12*")</f>
        <v>0</v>
      </c>
      <c r="CB20" s="18">
        <f>COUNTIFS(BL3:BL100,"*De*",BL3:BL100,"*20*")</f>
        <v>0</v>
      </c>
      <c r="CC20" s="6">
        <f t="shared" si="28"/>
        <v>0</v>
      </c>
      <c r="CD20" s="6"/>
      <c r="CE20" s="6"/>
      <c r="CF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 t="s">
        <v>313</v>
      </c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</row>
    <row r="21" ht="15.75" customHeight="1">
      <c r="A21" s="1" t="s">
        <v>115</v>
      </c>
      <c r="B21" s="17">
        <v>80.0</v>
      </c>
      <c r="C21" s="17">
        <v>6.0</v>
      </c>
      <c r="D21" s="17" t="s">
        <v>300</v>
      </c>
      <c r="E21" s="9">
        <v>0.594245</v>
      </c>
      <c r="F21" s="9">
        <v>0.597122</v>
      </c>
      <c r="G21" s="9" t="s">
        <v>85</v>
      </c>
      <c r="H21" s="30">
        <v>0.597122312</v>
      </c>
      <c r="I21" s="30">
        <v>0.597122312</v>
      </c>
      <c r="J21" s="9" t="s">
        <v>85</v>
      </c>
      <c r="K21" s="9">
        <v>0.666187</v>
      </c>
      <c r="L21" s="9">
        <v>0.669065</v>
      </c>
      <c r="M21" s="9" t="s">
        <v>85</v>
      </c>
      <c r="N21" s="9">
        <v>0.641726613</v>
      </c>
      <c r="O21" s="9">
        <v>0.654676</v>
      </c>
      <c r="P21" s="9" t="s">
        <v>85</v>
      </c>
      <c r="Q21" s="9">
        <v>0.61295</v>
      </c>
      <c r="R21" s="9">
        <v>0.589928</v>
      </c>
      <c r="S21" s="9" t="s">
        <v>85</v>
      </c>
      <c r="T21" s="9">
        <v>0.61438849</v>
      </c>
      <c r="U21" s="9">
        <v>0.611511</v>
      </c>
      <c r="V21" s="9" t="s">
        <v>85</v>
      </c>
      <c r="W21" s="9">
        <v>0.653237</v>
      </c>
      <c r="X21" s="9">
        <v>0.66187</v>
      </c>
      <c r="Y21" s="9" t="s">
        <v>85</v>
      </c>
      <c r="Z21" s="9">
        <v>0.656115</v>
      </c>
      <c r="AA21" s="9">
        <v>0.669065</v>
      </c>
      <c r="AB21" s="9" t="s">
        <v>85</v>
      </c>
      <c r="AC21" s="30">
        <v>0.607194245</v>
      </c>
      <c r="AD21" s="30">
        <v>0.582734</v>
      </c>
      <c r="AE21" s="9" t="s">
        <v>85</v>
      </c>
      <c r="AF21" s="30">
        <v>0.615827334</v>
      </c>
      <c r="AG21" s="30">
        <v>0.604317</v>
      </c>
      <c r="AH21" s="9" t="s">
        <v>85</v>
      </c>
      <c r="AI21" s="9">
        <v>0.614389</v>
      </c>
      <c r="AJ21" s="9">
        <v>0.633094</v>
      </c>
      <c r="AK21" s="9" t="s">
        <v>85</v>
      </c>
      <c r="AL21" s="9">
        <v>0.647482</v>
      </c>
      <c r="AM21" s="9">
        <v>0.647482</v>
      </c>
      <c r="AN21" s="9" t="s">
        <v>85</v>
      </c>
      <c r="AO21" s="9">
        <v>0.620144</v>
      </c>
      <c r="AP21" s="9">
        <v>0.625899</v>
      </c>
      <c r="AQ21" s="9" t="s">
        <v>85</v>
      </c>
      <c r="AR21" s="30">
        <v>0.618705034</v>
      </c>
      <c r="AS21" s="30">
        <v>0.582734</v>
      </c>
      <c r="AT21" s="9" t="s">
        <v>85</v>
      </c>
      <c r="AU21" s="9">
        <v>0.65036</v>
      </c>
      <c r="AV21" s="9">
        <v>0.654676</v>
      </c>
      <c r="AW21" s="9" t="s">
        <v>85</v>
      </c>
      <c r="AX21" s="9">
        <v>0.634532</v>
      </c>
      <c r="AY21" s="9">
        <v>0.654676</v>
      </c>
      <c r="AZ21" s="9" t="s">
        <v>85</v>
      </c>
      <c r="BA21" s="9">
        <v>0.62446</v>
      </c>
      <c r="BB21" s="9">
        <v>0.633094</v>
      </c>
      <c r="BC21" s="9" t="s">
        <v>85</v>
      </c>
      <c r="BD21" s="30">
        <v>0.638849</v>
      </c>
      <c r="BE21" s="30">
        <v>0.654676</v>
      </c>
      <c r="BF21" s="9" t="s">
        <v>85</v>
      </c>
      <c r="BG21" s="10" t="s">
        <v>85</v>
      </c>
      <c r="BH21" s="10" t="s">
        <v>85</v>
      </c>
      <c r="BI21" s="9" t="s">
        <v>85</v>
      </c>
      <c r="BJ21" s="6"/>
      <c r="BK21" s="6" t="str">
        <f t="shared" si="2"/>
        <v>5V_Fold_Median</v>
      </c>
      <c r="BL21" s="6" t="str">
        <f t="shared" si="3"/>
        <v>5V_Fold_Median</v>
      </c>
      <c r="BM21" s="6" t="str">
        <f t="shared" si="4"/>
        <v>5V_Fold_Mean</v>
      </c>
      <c r="BN21" s="6"/>
      <c r="BO21" s="6">
        <f t="shared" ref="BO21:BQ21" si="30">IF(ISNUMBER(SEARCH("5",BK21)),5,IF(ISNUMBER(SEARCH("*8*",BK21)),8,IF(ISNUMBER(SEARCH("*10*",BK21)),10,IF(ISNUMBER(SEARCH("*12*",BK21)),12,IF(ISNUMBER(SEARCH("*20*",BK21)),20)))))</f>
        <v>5</v>
      </c>
      <c r="BP21" s="6">
        <f t="shared" si="30"/>
        <v>5</v>
      </c>
      <c r="BQ21" s="6">
        <f t="shared" si="30"/>
        <v>5</v>
      </c>
      <c r="BR21" s="6"/>
      <c r="BS21" s="6">
        <f t="shared" si="6"/>
        <v>86.5</v>
      </c>
      <c r="BT21" s="6">
        <f t="shared" si="7"/>
        <v>86.5</v>
      </c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 t="s">
        <v>314</v>
      </c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</row>
    <row r="22" ht="15.75" customHeight="1">
      <c r="A22" s="1" t="s">
        <v>116</v>
      </c>
      <c r="B22" s="17">
        <v>512.0</v>
      </c>
      <c r="C22" s="17">
        <v>2.0</v>
      </c>
      <c r="D22" s="17" t="s">
        <v>305</v>
      </c>
      <c r="E22" s="9">
        <v>0.748201</v>
      </c>
      <c r="F22" s="9">
        <v>0.748201</v>
      </c>
      <c r="G22" s="9" t="s">
        <v>85</v>
      </c>
      <c r="H22" s="30">
        <v>0.74820143</v>
      </c>
      <c r="I22" s="30">
        <v>0.74820143</v>
      </c>
      <c r="J22" s="9" t="s">
        <v>85</v>
      </c>
      <c r="K22" s="9">
        <v>0.748201</v>
      </c>
      <c r="L22" s="9">
        <v>0.748201</v>
      </c>
      <c r="M22" s="9" t="s">
        <v>85</v>
      </c>
      <c r="N22" s="9">
        <v>0.74820143</v>
      </c>
      <c r="O22" s="9">
        <v>0.748201</v>
      </c>
      <c r="P22" s="9" t="s">
        <v>85</v>
      </c>
      <c r="Q22" s="9">
        <v>0.748201</v>
      </c>
      <c r="R22" s="9">
        <v>0.748201</v>
      </c>
      <c r="S22" s="9" t="s">
        <v>85</v>
      </c>
      <c r="T22" s="9">
        <v>0.74820143</v>
      </c>
      <c r="U22" s="9">
        <v>0.748201</v>
      </c>
      <c r="V22" s="9" t="s">
        <v>85</v>
      </c>
      <c r="W22" s="9">
        <v>0.748201</v>
      </c>
      <c r="X22" s="9">
        <v>0.748201</v>
      </c>
      <c r="Y22" s="9" t="s">
        <v>85</v>
      </c>
      <c r="Z22" s="9">
        <v>0.748201</v>
      </c>
      <c r="AA22" s="9">
        <v>0.748201</v>
      </c>
      <c r="AB22" s="9" t="s">
        <v>85</v>
      </c>
      <c r="AC22" s="30">
        <v>0.74820143</v>
      </c>
      <c r="AD22" s="30">
        <v>0.748201</v>
      </c>
      <c r="AE22" s="9" t="s">
        <v>85</v>
      </c>
      <c r="AF22" s="30">
        <v>0.74820143</v>
      </c>
      <c r="AG22" s="30">
        <v>0.748201</v>
      </c>
      <c r="AH22" s="9" t="s">
        <v>85</v>
      </c>
      <c r="AI22" s="9">
        <v>0.748201</v>
      </c>
      <c r="AJ22" s="9">
        <v>0.748201</v>
      </c>
      <c r="AK22" s="9" t="s">
        <v>85</v>
      </c>
      <c r="AL22" s="9">
        <v>0.748201</v>
      </c>
      <c r="AM22" s="9">
        <v>0.748201</v>
      </c>
      <c r="AN22" s="9" t="s">
        <v>85</v>
      </c>
      <c r="AO22" s="9">
        <v>0.748201</v>
      </c>
      <c r="AP22" s="9">
        <v>0.748201</v>
      </c>
      <c r="AQ22" s="9" t="s">
        <v>85</v>
      </c>
      <c r="AR22" s="30">
        <v>0.74820143</v>
      </c>
      <c r="AS22" s="30">
        <v>0.748201</v>
      </c>
      <c r="AT22" s="9" t="s">
        <v>85</v>
      </c>
      <c r="AU22" s="9">
        <v>0.748201</v>
      </c>
      <c r="AV22" s="9">
        <v>0.748201</v>
      </c>
      <c r="AW22" s="9" t="s">
        <v>85</v>
      </c>
      <c r="AX22" s="9">
        <v>0.748201</v>
      </c>
      <c r="AY22" s="9">
        <v>0.748201</v>
      </c>
      <c r="AZ22" s="9" t="s">
        <v>85</v>
      </c>
      <c r="BA22" s="9">
        <v>0.748201</v>
      </c>
      <c r="BB22" s="9">
        <v>0.748201</v>
      </c>
      <c r="BC22" s="9" t="s">
        <v>85</v>
      </c>
      <c r="BD22" s="30">
        <v>0.748201</v>
      </c>
      <c r="BE22" s="30">
        <v>0.748201</v>
      </c>
      <c r="BF22" s="9" t="s">
        <v>85</v>
      </c>
      <c r="BG22" s="10" t="s">
        <v>85</v>
      </c>
      <c r="BH22" s="10" t="s">
        <v>85</v>
      </c>
      <c r="BI22" s="9" t="s">
        <v>85</v>
      </c>
      <c r="BJ22" s="6"/>
      <c r="BK22" s="6" t="str">
        <f t="shared" si="2"/>
        <v>5BoN_Fold_Mean</v>
      </c>
      <c r="BL22" s="6" t="str">
        <f t="shared" si="3"/>
        <v>5BoN_Fold_Mean</v>
      </c>
      <c r="BM22" s="6" t="str">
        <f t="shared" si="4"/>
        <v>5BoN_Fold_Mean</v>
      </c>
      <c r="BN22" s="6"/>
      <c r="BO22" s="6">
        <f t="shared" ref="BO22:BQ22" si="31">IF(ISNUMBER(SEARCH("5",BK22)),5,IF(ISNUMBER(SEARCH("*8*",BK22)),8,IF(ISNUMBER(SEARCH("*10*",BK22)),10,IF(ISNUMBER(SEARCH("*12*",BK22)),12,IF(ISNUMBER(SEARCH("*20*",BK22)),20)))))</f>
        <v>5</v>
      </c>
      <c r="BP22" s="6">
        <f t="shared" si="31"/>
        <v>5</v>
      </c>
      <c r="BQ22" s="6">
        <f t="shared" si="31"/>
        <v>5</v>
      </c>
      <c r="BR22" s="6"/>
      <c r="BS22" s="6">
        <f t="shared" si="6"/>
        <v>33</v>
      </c>
      <c r="BT22" s="6">
        <f t="shared" si="7"/>
        <v>86.5</v>
      </c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 t="s">
        <v>315</v>
      </c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</row>
    <row r="23" ht="15.75" customHeight="1">
      <c r="A23" s="1" t="s">
        <v>117</v>
      </c>
      <c r="B23" s="17">
        <v>96.0</v>
      </c>
      <c r="C23" s="17">
        <v>2.0</v>
      </c>
      <c r="D23" s="17" t="s">
        <v>307</v>
      </c>
      <c r="E23" s="9">
        <v>0.64</v>
      </c>
      <c r="F23" s="9">
        <v>0.64</v>
      </c>
      <c r="G23" s="9" t="s">
        <v>85</v>
      </c>
      <c r="H23" s="30">
        <v>0.639999986</v>
      </c>
      <c r="I23" s="30">
        <v>0.639999986</v>
      </c>
      <c r="J23" s="9" t="s">
        <v>85</v>
      </c>
      <c r="K23" s="9">
        <v>0.64</v>
      </c>
      <c r="L23" s="9">
        <v>0.64</v>
      </c>
      <c r="M23" s="9" t="s">
        <v>85</v>
      </c>
      <c r="N23" s="9">
        <v>0.639999986</v>
      </c>
      <c r="O23" s="9">
        <v>0.64</v>
      </c>
      <c r="P23" s="9" t="s">
        <v>85</v>
      </c>
      <c r="Q23" s="9">
        <v>0.64</v>
      </c>
      <c r="R23" s="9">
        <v>0.64</v>
      </c>
      <c r="S23" s="9" t="s">
        <v>85</v>
      </c>
      <c r="T23" s="9">
        <v>0.639999986</v>
      </c>
      <c r="U23" s="9">
        <v>0.64</v>
      </c>
      <c r="V23" s="9" t="s">
        <v>85</v>
      </c>
      <c r="W23" s="9">
        <v>0.64</v>
      </c>
      <c r="X23" s="9">
        <v>0.64</v>
      </c>
      <c r="Y23" s="9" t="s">
        <v>85</v>
      </c>
      <c r="Z23" s="9">
        <v>0.64</v>
      </c>
      <c r="AA23" s="9">
        <v>0.64</v>
      </c>
      <c r="AB23" s="9" t="s">
        <v>85</v>
      </c>
      <c r="AC23" s="30">
        <v>0.639999986</v>
      </c>
      <c r="AD23" s="30">
        <v>0.64</v>
      </c>
      <c r="AE23" s="9" t="s">
        <v>85</v>
      </c>
      <c r="AF23" s="30">
        <v>0.639999986</v>
      </c>
      <c r="AG23" s="30">
        <v>0.64</v>
      </c>
      <c r="AH23" s="9" t="s">
        <v>85</v>
      </c>
      <c r="AI23" s="9">
        <v>0.64</v>
      </c>
      <c r="AJ23" s="9">
        <v>0.64</v>
      </c>
      <c r="AK23" s="9" t="s">
        <v>85</v>
      </c>
      <c r="AL23" s="9">
        <v>0.64</v>
      </c>
      <c r="AM23" s="9">
        <v>0.64</v>
      </c>
      <c r="AN23" s="9" t="s">
        <v>85</v>
      </c>
      <c r="AO23" s="9">
        <v>0.64</v>
      </c>
      <c r="AP23" s="9">
        <v>0.64</v>
      </c>
      <c r="AQ23" s="9" t="s">
        <v>85</v>
      </c>
      <c r="AR23" s="30">
        <v>0.639999986</v>
      </c>
      <c r="AS23" s="30">
        <v>0.64</v>
      </c>
      <c r="AT23" s="9" t="s">
        <v>85</v>
      </c>
      <c r="AU23" s="9">
        <v>0.64</v>
      </c>
      <c r="AV23" s="9">
        <v>0.64</v>
      </c>
      <c r="AW23" s="9" t="s">
        <v>85</v>
      </c>
      <c r="AX23" s="9">
        <v>0.64</v>
      </c>
      <c r="AY23" s="9">
        <v>0.64</v>
      </c>
      <c r="AZ23" s="9" t="s">
        <v>85</v>
      </c>
      <c r="BA23" s="9">
        <v>0.64</v>
      </c>
      <c r="BB23" s="9">
        <v>0.64</v>
      </c>
      <c r="BC23" s="9" t="s">
        <v>85</v>
      </c>
      <c r="BD23" s="30">
        <v>0.64</v>
      </c>
      <c r="BE23" s="30">
        <v>0.64</v>
      </c>
      <c r="BF23" s="9" t="s">
        <v>85</v>
      </c>
      <c r="BG23" s="10" t="s">
        <v>85</v>
      </c>
      <c r="BH23" s="10" t="s">
        <v>85</v>
      </c>
      <c r="BI23" s="9" t="s">
        <v>85</v>
      </c>
      <c r="BJ23" s="6"/>
      <c r="BK23" s="6" t="str">
        <f t="shared" si="2"/>
        <v>5Bo_Fold_Mean</v>
      </c>
      <c r="BL23" s="6" t="str">
        <f t="shared" si="3"/>
        <v>5Bo_Fold_Mean</v>
      </c>
      <c r="BM23" s="6" t="str">
        <f t="shared" si="4"/>
        <v>5Bo_Fold_Mean</v>
      </c>
      <c r="BN23" s="6"/>
      <c r="BO23" s="6">
        <f t="shared" ref="BO23:BQ23" si="32">IF(ISNUMBER(SEARCH("5",BK23)),5,IF(ISNUMBER(SEARCH("*8*",BK23)),8,IF(ISNUMBER(SEARCH("*10*",BK23)),10,IF(ISNUMBER(SEARCH("*12*",BK23)),12,IF(ISNUMBER(SEARCH("*20*",BK23)),20)))))</f>
        <v>5</v>
      </c>
      <c r="BP23" s="6">
        <f t="shared" si="32"/>
        <v>5</v>
      </c>
      <c r="BQ23" s="6">
        <f t="shared" si="32"/>
        <v>5</v>
      </c>
      <c r="BR23" s="6"/>
      <c r="BS23" s="6">
        <f t="shared" si="6"/>
        <v>78.5</v>
      </c>
      <c r="BT23" s="6">
        <f t="shared" si="7"/>
        <v>86.5</v>
      </c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 t="s">
        <v>316</v>
      </c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</row>
    <row r="24" ht="15.75" customHeight="1">
      <c r="A24" s="1" t="s">
        <v>118</v>
      </c>
      <c r="B24" s="17">
        <v>140.0</v>
      </c>
      <c r="C24" s="17">
        <v>5.0</v>
      </c>
      <c r="D24" s="17" t="s">
        <v>307</v>
      </c>
      <c r="E24" s="9">
        <v>0.911467</v>
      </c>
      <c r="F24" s="9">
        <v>0.913333</v>
      </c>
      <c r="G24" s="9" t="s">
        <v>85</v>
      </c>
      <c r="H24" s="30">
        <v>0.913199985</v>
      </c>
      <c r="I24" s="30">
        <v>0.914444447</v>
      </c>
      <c r="J24" s="9" t="s">
        <v>85</v>
      </c>
      <c r="K24" s="9">
        <v>0.916356</v>
      </c>
      <c r="L24" s="9">
        <v>0.917556</v>
      </c>
      <c r="M24" s="9" t="s">
        <v>85</v>
      </c>
      <c r="N24" s="9">
        <v>0.912177777</v>
      </c>
      <c r="O24" s="9">
        <v>0.915111</v>
      </c>
      <c r="P24" s="9" t="s">
        <v>85</v>
      </c>
      <c r="Q24" s="9">
        <v>0.9136</v>
      </c>
      <c r="R24" s="9">
        <v>0.915111</v>
      </c>
      <c r="S24" s="9" t="s">
        <v>85</v>
      </c>
      <c r="T24" s="9">
        <v>0.913866675</v>
      </c>
      <c r="U24" s="9">
        <v>0.914889</v>
      </c>
      <c r="V24" s="9" t="s">
        <v>85</v>
      </c>
      <c r="W24" s="9">
        <v>0.920044</v>
      </c>
      <c r="X24" s="9">
        <v>0.921333</v>
      </c>
      <c r="Y24" s="9" t="s">
        <v>85</v>
      </c>
      <c r="Z24" s="9">
        <v>0.920089</v>
      </c>
      <c r="AA24" s="9">
        <v>0.920222</v>
      </c>
      <c r="AB24" s="9" t="s">
        <v>85</v>
      </c>
      <c r="AC24" s="30">
        <v>0.916044438</v>
      </c>
      <c r="AD24" s="30">
        <v>0.916222</v>
      </c>
      <c r="AE24" s="9" t="s">
        <v>85</v>
      </c>
      <c r="AF24" s="30">
        <v>0.916266656</v>
      </c>
      <c r="AG24" s="30">
        <v>0.916222</v>
      </c>
      <c r="AH24" s="9" t="s">
        <v>85</v>
      </c>
      <c r="AI24" s="9">
        <v>0.920489</v>
      </c>
      <c r="AJ24" s="9">
        <v>0.920444</v>
      </c>
      <c r="AK24" s="9" t="s">
        <v>85</v>
      </c>
      <c r="AL24" s="9">
        <v>0.920844</v>
      </c>
      <c r="AM24" s="9">
        <v>0.920889</v>
      </c>
      <c r="AN24" s="9" t="s">
        <v>85</v>
      </c>
      <c r="AO24" s="9">
        <v>0.917733</v>
      </c>
      <c r="AP24" s="9">
        <v>0.916667</v>
      </c>
      <c r="AQ24" s="9" t="s">
        <v>85</v>
      </c>
      <c r="AR24" s="30">
        <v>0.915911126</v>
      </c>
      <c r="AS24" s="30">
        <v>0.916</v>
      </c>
      <c r="AT24" s="9" t="s">
        <v>85</v>
      </c>
      <c r="AU24" s="9">
        <v>0.920978</v>
      </c>
      <c r="AV24" s="9">
        <v>0.920667</v>
      </c>
      <c r="AW24" s="9" t="s">
        <v>85</v>
      </c>
      <c r="AX24" s="9">
        <v>0.920222</v>
      </c>
      <c r="AY24" s="9">
        <v>0.920444</v>
      </c>
      <c r="AZ24" s="9" t="s">
        <v>85</v>
      </c>
      <c r="BA24" s="9">
        <v>0.913778</v>
      </c>
      <c r="BB24" s="9">
        <v>0.914222</v>
      </c>
      <c r="BC24" s="9" t="s">
        <v>85</v>
      </c>
      <c r="BD24" s="30">
        <v>0.919778</v>
      </c>
      <c r="BE24" s="30">
        <v>0.920444</v>
      </c>
      <c r="BF24" s="9" t="s">
        <v>85</v>
      </c>
      <c r="BG24" s="10" t="s">
        <v>85</v>
      </c>
      <c r="BH24" s="10" t="s">
        <v>85</v>
      </c>
      <c r="BI24" s="9" t="s">
        <v>85</v>
      </c>
      <c r="BJ24" s="6"/>
      <c r="BK24" s="6" t="str">
        <f t="shared" si="2"/>
        <v>8V_Fold_Median</v>
      </c>
      <c r="BL24" s="6" t="str">
        <f t="shared" si="3"/>
        <v>12V_Fold_Mean</v>
      </c>
      <c r="BM24" s="6" t="str">
        <f t="shared" si="4"/>
        <v>10VB_Fold_Median</v>
      </c>
      <c r="BN24" s="6"/>
      <c r="BO24" s="6">
        <f t="shared" ref="BO24:BQ24" si="33">IF(ISNUMBER(SEARCH("5",BK24)),5,IF(ISNUMBER(SEARCH("*8*",BK24)),8,IF(ISNUMBER(SEARCH("*10*",BK24)),10,IF(ISNUMBER(SEARCH("*12*",BK24)),12,IF(ISNUMBER(SEARCH("*20*",BK24)),20)))))</f>
        <v>8</v>
      </c>
      <c r="BP24" s="6">
        <f t="shared" si="33"/>
        <v>12</v>
      </c>
      <c r="BQ24" s="6">
        <f t="shared" si="33"/>
        <v>10</v>
      </c>
      <c r="BR24" s="6"/>
      <c r="BS24" s="6">
        <f t="shared" si="6"/>
        <v>69</v>
      </c>
      <c r="BT24" s="6">
        <f t="shared" si="7"/>
        <v>65</v>
      </c>
      <c r="BU24" s="6"/>
      <c r="BV24" s="6"/>
      <c r="BW24" s="1" t="s">
        <v>215</v>
      </c>
      <c r="BX24" s="6" t="s">
        <v>249</v>
      </c>
      <c r="BY24" s="6"/>
      <c r="BZ24" s="6"/>
      <c r="CA24" s="6"/>
      <c r="CB24" s="6"/>
      <c r="CC24" s="6"/>
      <c r="CD24" s="6"/>
      <c r="CF24" s="1" t="s">
        <v>213</v>
      </c>
      <c r="CG24" s="6" t="s">
        <v>308</v>
      </c>
      <c r="CS24" s="6" t="s">
        <v>317</v>
      </c>
      <c r="CT24" s="6"/>
      <c r="CU24" s="6"/>
      <c r="CV24" s="6"/>
      <c r="CW24" s="6"/>
      <c r="CX24" s="6"/>
      <c r="CY24" s="6"/>
      <c r="CZ24" s="6" t="s">
        <v>321</v>
      </c>
      <c r="DA24" s="6"/>
      <c r="DB24" s="6"/>
      <c r="DC24" s="6"/>
      <c r="DD24" s="6"/>
    </row>
    <row r="25" ht="15.75" customHeight="1">
      <c r="A25" s="1" t="s">
        <v>119</v>
      </c>
      <c r="B25" s="17">
        <v>136.0</v>
      </c>
      <c r="C25" s="17">
        <v>2.0</v>
      </c>
      <c r="D25" s="17" t="s">
        <v>307</v>
      </c>
      <c r="E25" s="9">
        <v>0.75633</v>
      </c>
      <c r="F25" s="9">
        <v>0.785134</v>
      </c>
      <c r="G25" s="9" t="s">
        <v>85</v>
      </c>
      <c r="H25" s="30">
        <v>0.592102212</v>
      </c>
      <c r="I25" s="30">
        <v>0.59814167</v>
      </c>
      <c r="J25" s="9" t="s">
        <v>85</v>
      </c>
      <c r="K25" s="9">
        <v>0.881998</v>
      </c>
      <c r="L25" s="9">
        <v>0.888502</v>
      </c>
      <c r="M25" s="9" t="s">
        <v>85</v>
      </c>
      <c r="N25" s="9">
        <v>0.876655042</v>
      </c>
      <c r="O25" s="9">
        <v>0.878049</v>
      </c>
      <c r="P25" s="9" t="s">
        <v>85</v>
      </c>
      <c r="Q25" s="9">
        <v>0.702207</v>
      </c>
      <c r="R25" s="9">
        <v>0.765389</v>
      </c>
      <c r="S25" s="9" t="s">
        <v>85</v>
      </c>
      <c r="T25" s="9">
        <v>0.719628346</v>
      </c>
      <c r="U25" s="9">
        <v>0.704994</v>
      </c>
      <c r="V25" s="9" t="s">
        <v>85</v>
      </c>
      <c r="W25" s="9">
        <v>0.837863</v>
      </c>
      <c r="X25" s="9">
        <v>0.858304</v>
      </c>
      <c r="Y25" s="9" t="s">
        <v>85</v>
      </c>
      <c r="Z25" s="9">
        <v>0.75122</v>
      </c>
      <c r="AA25" s="9">
        <v>0.826945</v>
      </c>
      <c r="AB25" s="9" t="s">
        <v>85</v>
      </c>
      <c r="AC25" s="30">
        <v>0.675029039</v>
      </c>
      <c r="AD25" s="30">
        <v>0.745645</v>
      </c>
      <c r="AE25" s="9" t="s">
        <v>85</v>
      </c>
      <c r="AF25" s="30">
        <v>0.690127766</v>
      </c>
      <c r="AG25" s="30">
        <v>0.71777</v>
      </c>
      <c r="AH25" s="9" t="s">
        <v>85</v>
      </c>
      <c r="AI25" s="9">
        <v>0.672242</v>
      </c>
      <c r="AJ25" s="9">
        <v>0.68525</v>
      </c>
      <c r="AK25" s="9" t="s">
        <v>85</v>
      </c>
      <c r="AL25" s="9">
        <v>0.650174</v>
      </c>
      <c r="AM25" s="9">
        <v>0.627178</v>
      </c>
      <c r="AN25" s="9" t="s">
        <v>85</v>
      </c>
      <c r="AO25" s="9">
        <v>0.769106</v>
      </c>
      <c r="AP25" s="9">
        <v>0.807201</v>
      </c>
      <c r="AQ25" s="9" t="s">
        <v>85</v>
      </c>
      <c r="AR25" s="30">
        <v>0.65574913</v>
      </c>
      <c r="AS25" s="30">
        <v>0.735192</v>
      </c>
      <c r="AT25" s="9" t="s">
        <v>85</v>
      </c>
      <c r="AU25" s="9">
        <v>0.728455</v>
      </c>
      <c r="AV25" s="9">
        <v>0.810685</v>
      </c>
      <c r="AW25" s="9" t="s">
        <v>85</v>
      </c>
      <c r="AX25" s="9">
        <v>0.818815</v>
      </c>
      <c r="AY25" s="9">
        <v>0.829268</v>
      </c>
      <c r="AZ25" s="9" t="s">
        <v>85</v>
      </c>
      <c r="BA25" s="9">
        <v>0.774913</v>
      </c>
      <c r="BB25" s="9">
        <v>0.790941</v>
      </c>
      <c r="BC25" s="9" t="s">
        <v>85</v>
      </c>
      <c r="BD25" s="30">
        <v>0.560279</v>
      </c>
      <c r="BE25" s="30">
        <v>0.497096</v>
      </c>
      <c r="BF25" s="9" t="s">
        <v>85</v>
      </c>
      <c r="BG25" s="10" t="s">
        <v>85</v>
      </c>
      <c r="BH25" s="10" t="s">
        <v>85</v>
      </c>
      <c r="BI25" s="9" t="s">
        <v>85</v>
      </c>
      <c r="BJ25" s="6"/>
      <c r="BK25" s="6" t="str">
        <f t="shared" si="2"/>
        <v>5V_Fold_Median</v>
      </c>
      <c r="BL25" s="6" t="str">
        <f t="shared" si="3"/>
        <v>5V_Fold_Mean</v>
      </c>
      <c r="BM25" s="6" t="str">
        <f t="shared" si="4"/>
        <v>5VB_Fold_Median</v>
      </c>
      <c r="BN25" s="6"/>
      <c r="BO25" s="6">
        <f t="shared" ref="BO25:BQ25" si="34">IF(ISNUMBER(SEARCH("5",BK25)),5,IF(ISNUMBER(SEARCH("*8*",BK25)),8,IF(ISNUMBER(SEARCH("*10*",BK25)),10,IF(ISNUMBER(SEARCH("*12*",BK25)),12,IF(ISNUMBER(SEARCH("*20*",BK25)),20)))))</f>
        <v>5</v>
      </c>
      <c r="BP25" s="6">
        <f t="shared" si="34"/>
        <v>5</v>
      </c>
      <c r="BQ25" s="6">
        <f t="shared" si="34"/>
        <v>5</v>
      </c>
      <c r="BR25" s="6"/>
      <c r="BS25" s="6">
        <f t="shared" si="6"/>
        <v>70</v>
      </c>
      <c r="BT25" s="6">
        <f t="shared" si="7"/>
        <v>86.5</v>
      </c>
      <c r="BU25" s="6"/>
      <c r="BV25" s="6"/>
      <c r="BX25" s="6" t="s">
        <v>255</v>
      </c>
      <c r="BY25" s="6" t="s">
        <v>256</v>
      </c>
      <c r="BZ25" s="6" t="s">
        <v>257</v>
      </c>
      <c r="CA25" s="6" t="s">
        <v>258</v>
      </c>
      <c r="CB25" s="6" t="s">
        <v>259</v>
      </c>
      <c r="CC25" s="6"/>
      <c r="CD25" s="6"/>
      <c r="CG25" s="6">
        <f>COUNTIF($D$3:$D$100,"*DEVICE*")</f>
        <v>7</v>
      </c>
      <c r="CH25" s="6">
        <f>COUNTIF($D$3:$D$100,"*ECG*")</f>
        <v>5</v>
      </c>
      <c r="CI25" s="6">
        <f>COUNTIF($D$3:$D$100,"*EPG*")</f>
        <v>2</v>
      </c>
      <c r="CJ25" s="6">
        <f>COUNTIF($D$3:$D$100,"*HEMODYNAMICS*")</f>
        <v>3</v>
      </c>
      <c r="CK25" s="6">
        <f>COUNTIF($D$3:$D$100,"*IMAGE*")</f>
        <v>31</v>
      </c>
      <c r="CL25" s="6">
        <f>COUNTIF($D$3:$D$100,"*MOTION*")</f>
        <v>11</v>
      </c>
      <c r="CM25" s="6">
        <f>COUNTIF($D$3:$D$100,"*SENSOR*")</f>
        <v>16</v>
      </c>
      <c r="CN25" s="6">
        <f>COUNTIF($D$3:$D$100,"*SIMULATED*")</f>
        <v>9</v>
      </c>
      <c r="CO25" s="6">
        <f>COUNTIF($D$3:$D$100,"*SOUND*")</f>
        <v>1</v>
      </c>
      <c r="CP25" s="6">
        <f>COUNTIF($D$3:$D$100,"*SPECTRO*")</f>
        <v>12</v>
      </c>
      <c r="CQ25" s="6">
        <f>COUNTIF($D$3:$D$100,"*Traffic*")</f>
        <v>1</v>
      </c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</row>
    <row r="26" ht="15.75" customHeight="1">
      <c r="A26" s="1" t="s">
        <v>120</v>
      </c>
      <c r="B26" s="17">
        <v>96.0</v>
      </c>
      <c r="C26" s="17">
        <v>7.0</v>
      </c>
      <c r="D26" s="17" t="s">
        <v>299</v>
      </c>
      <c r="E26" s="9">
        <v>0.620568</v>
      </c>
      <c r="F26" s="9">
        <v>0.630787</v>
      </c>
      <c r="G26" s="9" t="s">
        <v>85</v>
      </c>
      <c r="H26" s="30">
        <v>0.560368311</v>
      </c>
      <c r="I26" s="30">
        <v>0.556866825</v>
      </c>
      <c r="J26" s="9" t="s">
        <v>85</v>
      </c>
      <c r="K26" s="9">
        <v>0.628998</v>
      </c>
      <c r="L26" s="9">
        <v>0.628712</v>
      </c>
      <c r="M26" s="9" t="s">
        <v>85</v>
      </c>
      <c r="N26" s="9">
        <v>0.63862015</v>
      </c>
      <c r="O26" s="9">
        <v>0.637012</v>
      </c>
      <c r="P26" s="9" t="s">
        <v>85</v>
      </c>
      <c r="Q26" s="9">
        <v>0.637271</v>
      </c>
      <c r="R26" s="9">
        <v>0.648165</v>
      </c>
      <c r="S26" s="9" t="s">
        <v>85</v>
      </c>
      <c r="T26" s="9">
        <v>0.640876675</v>
      </c>
      <c r="U26" s="9">
        <v>0.652056</v>
      </c>
      <c r="V26" s="9" t="s">
        <v>85</v>
      </c>
      <c r="W26" s="9">
        <v>0.635352</v>
      </c>
      <c r="X26" s="9">
        <v>0.635975</v>
      </c>
      <c r="Y26" s="9" t="s">
        <v>85</v>
      </c>
      <c r="Z26" s="9">
        <v>0.648502</v>
      </c>
      <c r="AA26" s="9">
        <v>0.651277</v>
      </c>
      <c r="AB26" s="9" t="s">
        <v>85</v>
      </c>
      <c r="AC26" s="30">
        <v>0.632473087</v>
      </c>
      <c r="AD26" s="30">
        <v>0.635067</v>
      </c>
      <c r="AE26" s="9" t="s">
        <v>85</v>
      </c>
      <c r="AF26" s="30">
        <v>0.655894172</v>
      </c>
      <c r="AG26" s="30">
        <v>0.664765</v>
      </c>
      <c r="AH26" s="9" t="s">
        <v>85</v>
      </c>
      <c r="AI26" s="9">
        <v>0.65203</v>
      </c>
      <c r="AJ26" s="9">
        <v>0.651018</v>
      </c>
      <c r="AK26" s="9" t="s">
        <v>85</v>
      </c>
      <c r="AL26" s="9">
        <v>0.644612</v>
      </c>
      <c r="AM26" s="9">
        <v>0.638698</v>
      </c>
      <c r="AN26" s="9" t="s">
        <v>85</v>
      </c>
      <c r="AO26" s="9">
        <v>0.611309</v>
      </c>
      <c r="AP26" s="9">
        <v>0.622487</v>
      </c>
      <c r="AQ26" s="9" t="s">
        <v>85</v>
      </c>
      <c r="AR26" s="30">
        <v>0.613876283</v>
      </c>
      <c r="AS26" s="30">
        <v>0.61328</v>
      </c>
      <c r="AT26" s="9" t="s">
        <v>85</v>
      </c>
      <c r="AU26" s="9">
        <v>0.630398</v>
      </c>
      <c r="AV26" s="9">
        <v>0.631436</v>
      </c>
      <c r="AW26" s="9" t="s">
        <v>85</v>
      </c>
      <c r="AX26" s="9">
        <v>0.639684</v>
      </c>
      <c r="AY26" s="9">
        <v>0.638179</v>
      </c>
      <c r="AZ26" s="9" t="s">
        <v>85</v>
      </c>
      <c r="BA26" s="9">
        <v>0.62892</v>
      </c>
      <c r="BB26" s="9">
        <v>0.62158</v>
      </c>
      <c r="BC26" s="9" t="s">
        <v>85</v>
      </c>
      <c r="BD26" s="30">
        <v>0.638205</v>
      </c>
      <c r="BE26" s="30">
        <v>0.641551</v>
      </c>
      <c r="BF26" s="9" t="s">
        <v>85</v>
      </c>
      <c r="BG26" s="10" t="s">
        <v>85</v>
      </c>
      <c r="BH26" s="10" t="s">
        <v>85</v>
      </c>
      <c r="BI26" s="9" t="s">
        <v>85</v>
      </c>
      <c r="BJ26" s="6"/>
      <c r="BK26" s="6" t="str">
        <f t="shared" si="2"/>
        <v>10BoN_Fold_Median</v>
      </c>
      <c r="BL26" s="6" t="str">
        <f t="shared" si="3"/>
        <v>10BoN_Fold_Mean</v>
      </c>
      <c r="BM26" s="6" t="str">
        <f t="shared" si="4"/>
        <v>8BoN_Fold_Median</v>
      </c>
      <c r="BN26" s="6"/>
      <c r="BO26" s="6">
        <f t="shared" ref="BO26:BQ26" si="35">IF(ISNUMBER(SEARCH("5",BK26)),5,IF(ISNUMBER(SEARCH("*8*",BK26)),8,IF(ISNUMBER(SEARCH("*10*",BK26)),10,IF(ISNUMBER(SEARCH("*12*",BK26)),12,IF(ISNUMBER(SEARCH("*20*",BK26)),20)))))</f>
        <v>10</v>
      </c>
      <c r="BP26" s="6">
        <f t="shared" si="35"/>
        <v>10</v>
      </c>
      <c r="BQ26" s="6">
        <f t="shared" si="35"/>
        <v>8</v>
      </c>
      <c r="BR26" s="6"/>
      <c r="BS26" s="6">
        <f t="shared" si="6"/>
        <v>78.5</v>
      </c>
      <c r="BT26" s="6">
        <f t="shared" si="7"/>
        <v>46.5</v>
      </c>
      <c r="BU26" s="6"/>
      <c r="BV26" s="6"/>
      <c r="BW26" s="6"/>
      <c r="BX26" s="6">
        <f>COUNTIF(BM3:BM100,"*5*")</f>
        <v>30</v>
      </c>
      <c r="BY26" s="6">
        <f>COUNTIF(BM3:BM100,"*8*")</f>
        <v>21</v>
      </c>
      <c r="BZ26" s="6">
        <f>COUNTIF(BM3:BM100,"*10*")</f>
        <v>18</v>
      </c>
      <c r="CA26" s="6">
        <f>COUNTIF(BM3:BM100,"*12*")</f>
        <v>17</v>
      </c>
      <c r="CB26" s="6">
        <f>COUNTIF(BM3:BM100,"*20*")</f>
        <v>12</v>
      </c>
      <c r="CC26" s="6"/>
      <c r="CD26" s="6"/>
      <c r="CE26" s="6"/>
      <c r="CF26" s="6"/>
      <c r="CG26" s="6" t="s">
        <v>299</v>
      </c>
      <c r="CH26" s="6" t="s">
        <v>307</v>
      </c>
      <c r="CI26" s="6" t="s">
        <v>309</v>
      </c>
      <c r="CJ26" s="6" t="s">
        <v>310</v>
      </c>
      <c r="CK26" s="6" t="s">
        <v>300</v>
      </c>
      <c r="CL26" s="6" t="s">
        <v>311</v>
      </c>
      <c r="CM26" s="6" t="s">
        <v>305</v>
      </c>
      <c r="CN26" s="6" t="s">
        <v>303</v>
      </c>
      <c r="CO26" s="6" t="s">
        <v>312</v>
      </c>
      <c r="CP26" s="6" t="s">
        <v>302</v>
      </c>
      <c r="CQ26" s="6" t="s">
        <v>306</v>
      </c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</row>
    <row r="27" ht="15.75" customHeight="1">
      <c r="A27" s="1" t="s">
        <v>121</v>
      </c>
      <c r="B27" s="17">
        <v>1751.0</v>
      </c>
      <c r="C27" s="17">
        <v>4.0</v>
      </c>
      <c r="D27" s="17" t="s">
        <v>302</v>
      </c>
      <c r="E27" s="9">
        <v>0.2672</v>
      </c>
      <c r="F27" s="9">
        <v>0.252</v>
      </c>
      <c r="G27" s="9" t="s">
        <v>85</v>
      </c>
      <c r="H27" s="30">
        <v>0.266000009</v>
      </c>
      <c r="I27" s="30">
        <v>0.256000012</v>
      </c>
      <c r="J27" s="9" t="s">
        <v>85</v>
      </c>
      <c r="K27" s="9">
        <v>0.2496</v>
      </c>
      <c r="L27" s="9">
        <v>0.25</v>
      </c>
      <c r="M27" s="9" t="s">
        <v>85</v>
      </c>
      <c r="N27" s="9">
        <v>0.253999996</v>
      </c>
      <c r="O27" s="9">
        <v>0.248</v>
      </c>
      <c r="P27" s="9" t="s">
        <v>85</v>
      </c>
      <c r="Q27" s="9">
        <v>0.2932</v>
      </c>
      <c r="R27" s="9">
        <v>0.284</v>
      </c>
      <c r="S27" s="9" t="s">
        <v>85</v>
      </c>
      <c r="T27" s="9">
        <v>0.253599995</v>
      </c>
      <c r="U27" s="9">
        <v>0.248</v>
      </c>
      <c r="V27" s="9" t="s">
        <v>85</v>
      </c>
      <c r="W27" s="9">
        <v>0.2524</v>
      </c>
      <c r="X27" s="9">
        <v>0.252</v>
      </c>
      <c r="Y27" s="9" t="s">
        <v>85</v>
      </c>
      <c r="Z27" s="9">
        <v>0.2476</v>
      </c>
      <c r="AA27" s="9">
        <v>0.252</v>
      </c>
      <c r="AB27" s="9" t="s">
        <v>85</v>
      </c>
      <c r="AC27" s="30">
        <v>0.285599995</v>
      </c>
      <c r="AD27" s="30">
        <v>0.268</v>
      </c>
      <c r="AE27" s="9" t="s">
        <v>85</v>
      </c>
      <c r="AF27" s="30">
        <v>0.288000003</v>
      </c>
      <c r="AG27" s="30">
        <v>0.284</v>
      </c>
      <c r="AH27" s="9" t="s">
        <v>85</v>
      </c>
      <c r="AI27" s="9">
        <v>0.3264</v>
      </c>
      <c r="AJ27" s="9">
        <v>0.294</v>
      </c>
      <c r="AK27" s="9" t="s">
        <v>85</v>
      </c>
      <c r="AL27" s="9">
        <v>0.3488</v>
      </c>
      <c r="AM27" s="9">
        <v>0.356</v>
      </c>
      <c r="AN27" s="9" t="s">
        <v>85</v>
      </c>
      <c r="AO27" s="9">
        <v>0.2496</v>
      </c>
      <c r="AP27" s="9">
        <v>0.248</v>
      </c>
      <c r="AQ27" s="9" t="s">
        <v>85</v>
      </c>
      <c r="AR27" s="30">
        <v>0.281999993</v>
      </c>
      <c r="AS27" s="30">
        <v>0.258</v>
      </c>
      <c r="AT27" s="9" t="s">
        <v>85</v>
      </c>
      <c r="AU27" s="9">
        <v>0.2476</v>
      </c>
      <c r="AV27" s="9">
        <v>0.248</v>
      </c>
      <c r="AW27" s="9" t="s">
        <v>85</v>
      </c>
      <c r="AX27" s="9">
        <v>0.25</v>
      </c>
      <c r="AY27" s="9">
        <v>0.248</v>
      </c>
      <c r="AZ27" s="9" t="s">
        <v>85</v>
      </c>
      <c r="BA27" s="9">
        <v>0.2536</v>
      </c>
      <c r="BB27" s="9">
        <v>0.248</v>
      </c>
      <c r="BC27" s="9" t="s">
        <v>85</v>
      </c>
      <c r="BD27" s="30">
        <v>0.286</v>
      </c>
      <c r="BE27" s="30">
        <v>0.26</v>
      </c>
      <c r="BF27" s="9" t="s">
        <v>85</v>
      </c>
      <c r="BG27" s="10" t="s">
        <v>85</v>
      </c>
      <c r="BH27" s="10" t="s">
        <v>85</v>
      </c>
      <c r="BI27" s="9" t="s">
        <v>85</v>
      </c>
      <c r="BJ27" s="6"/>
      <c r="BK27" s="6" t="str">
        <f t="shared" si="2"/>
        <v>10VB_Fold_Median</v>
      </c>
      <c r="BL27" s="6" t="str">
        <f t="shared" si="3"/>
        <v>10VB_Fold_Mean</v>
      </c>
      <c r="BM27" s="6" t="str">
        <f t="shared" si="4"/>
        <v>10V_Fold_Mean</v>
      </c>
      <c r="BN27" s="6"/>
      <c r="BO27" s="6">
        <f t="shared" ref="BO27:BQ27" si="36">IF(ISNUMBER(SEARCH("5",BK27)),5,IF(ISNUMBER(SEARCH("*8*",BK27)),8,IF(ISNUMBER(SEARCH("*10*",BK27)),10,IF(ISNUMBER(SEARCH("*12*",BK27)),12,IF(ISNUMBER(SEARCH("*20*",BK27)),20)))))</f>
        <v>10</v>
      </c>
      <c r="BP27" s="6">
        <f t="shared" si="36"/>
        <v>10</v>
      </c>
      <c r="BQ27" s="6">
        <f t="shared" si="36"/>
        <v>10</v>
      </c>
      <c r="BR27" s="6"/>
      <c r="BS27" s="6">
        <f t="shared" si="6"/>
        <v>7</v>
      </c>
      <c r="BT27" s="6">
        <f t="shared" si="7"/>
        <v>46.5</v>
      </c>
      <c r="BU27" s="6"/>
      <c r="BV27" s="6"/>
      <c r="BW27" s="6" t="s">
        <v>226</v>
      </c>
      <c r="BX27" s="18">
        <f t="shared" ref="BX27:CB27" si="37">MINUS(BX26,SUM(BX28,BX29))</f>
        <v>14</v>
      </c>
      <c r="BY27" s="18">
        <f t="shared" si="37"/>
        <v>13</v>
      </c>
      <c r="BZ27" s="18">
        <f t="shared" si="37"/>
        <v>11</v>
      </c>
      <c r="CA27" s="18">
        <f t="shared" si="37"/>
        <v>10</v>
      </c>
      <c r="CB27" s="18">
        <f t="shared" si="37"/>
        <v>4</v>
      </c>
      <c r="CC27" s="6">
        <f t="shared" ref="CC27:CC29" si="39">SUM(BX27:CB27)</f>
        <v>52</v>
      </c>
      <c r="CD27" s="6"/>
      <c r="CE27" s="6"/>
      <c r="CF27" s="6" t="s">
        <v>226</v>
      </c>
      <c r="CG27" s="18">
        <f>COUNTIFS($D$3:$D$100,"*DEVICE*",$BK$3:$BK$100,"*Bo*")</f>
        <v>6</v>
      </c>
      <c r="CH27" s="18">
        <f>COUNTIFS($D$3:$D$100,"*ECG*",$BK$3:$BK$100,"*Bo*")</f>
        <v>1</v>
      </c>
      <c r="CI27" s="18">
        <f>COUNTIFS($D$3:$D$100,"*EPG*",$BK$3:$BK$100,"*Bo*")</f>
        <v>1</v>
      </c>
      <c r="CJ27" s="18">
        <f>COUNTIFS($D$3:$D$100,"*HEMODYNAMICS*",$BK$3:$BK$100,"*Bo*")</f>
        <v>1</v>
      </c>
      <c r="CK27" s="18">
        <f>COUNTIFS($D$3:$D$100,"*IMAGE*",$BK$3:$BK$100,"*Bo*")</f>
        <v>9</v>
      </c>
      <c r="CL27" s="18">
        <f>COUNTIFS($D$3:$D$100,"*MOTION*",$BK$3:$BK$100,"*Bo*")</f>
        <v>8</v>
      </c>
      <c r="CM27" s="18">
        <f>COUNTIFS($D$3:$D$100,"*SENSOR*",$BK$3:$BK$100,"*Bo*")</f>
        <v>8</v>
      </c>
      <c r="CN27" s="18">
        <f>COUNTIFS($D$3:$D$100,"*SIMULATED*",$BK$3:$BK$100,"*Bo*")</f>
        <v>5</v>
      </c>
      <c r="CO27" s="18">
        <f>COUNTIFS($D$3:$D$100,"*SOUND*",$BK$3:$BK$100,"*Bo*")</f>
        <v>1</v>
      </c>
      <c r="CP27" s="18">
        <f>COUNTIFS($D$3:$D$100,"*SPECTRO*",$BK$3:$BK$100,"*Bo*")</f>
        <v>4</v>
      </c>
      <c r="CQ27" s="18">
        <f>COUNTIFS($D$3:$D$100,"*Traffic*",$BK$3:$BK$100,"*Bo*")</f>
        <v>1</v>
      </c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</row>
    <row r="28" ht="15.75" customHeight="1">
      <c r="A28" s="1" t="s">
        <v>122</v>
      </c>
      <c r="B28" s="17">
        <v>131.0</v>
      </c>
      <c r="C28" s="17">
        <v>14.0</v>
      </c>
      <c r="D28" s="17" t="s">
        <v>300</v>
      </c>
      <c r="E28" s="9">
        <v>0.393728</v>
      </c>
      <c r="F28" s="9">
        <v>0.395266</v>
      </c>
      <c r="G28" s="9" t="s">
        <v>85</v>
      </c>
      <c r="H28" s="30">
        <v>0.400710058</v>
      </c>
      <c r="I28" s="30">
        <v>0.411834329</v>
      </c>
      <c r="J28" s="9" t="s">
        <v>85</v>
      </c>
      <c r="K28" s="9">
        <v>0.539527</v>
      </c>
      <c r="L28" s="9">
        <v>0.554438</v>
      </c>
      <c r="M28" s="9" t="s">
        <v>85</v>
      </c>
      <c r="N28" s="9">
        <v>0.371124262</v>
      </c>
      <c r="O28" s="9">
        <v>0.36568</v>
      </c>
      <c r="P28" s="9" t="s">
        <v>85</v>
      </c>
      <c r="Q28" s="9">
        <v>0.587219</v>
      </c>
      <c r="R28" s="9">
        <v>0.587574</v>
      </c>
      <c r="S28" s="9" t="s">
        <v>85</v>
      </c>
      <c r="T28" s="9">
        <v>0.553964508</v>
      </c>
      <c r="U28" s="9">
        <v>0.557396</v>
      </c>
      <c r="V28" s="9" t="s">
        <v>85</v>
      </c>
      <c r="W28" s="9">
        <v>0.577751</v>
      </c>
      <c r="X28" s="9">
        <v>0.523077</v>
      </c>
      <c r="Y28" s="9" t="s">
        <v>85</v>
      </c>
      <c r="Z28" s="9">
        <v>0.439172</v>
      </c>
      <c r="AA28" s="9">
        <v>0.443787</v>
      </c>
      <c r="AB28" s="9" t="s">
        <v>85</v>
      </c>
      <c r="AC28" s="30">
        <v>0.567573953</v>
      </c>
      <c r="AD28" s="30">
        <v>0.580473</v>
      </c>
      <c r="AE28" s="9" t="s">
        <v>85</v>
      </c>
      <c r="AF28" s="30">
        <v>0.675621295</v>
      </c>
      <c r="AG28" s="30">
        <v>0.673373</v>
      </c>
      <c r="AH28" s="9" t="s">
        <v>85</v>
      </c>
      <c r="AI28" s="9">
        <v>0.54213</v>
      </c>
      <c r="AJ28" s="9">
        <v>0.550888</v>
      </c>
      <c r="AK28" s="9" t="s">
        <v>85</v>
      </c>
      <c r="AL28" s="9">
        <v>0.422249</v>
      </c>
      <c r="AM28" s="9">
        <v>0.374556</v>
      </c>
      <c r="AN28" s="9" t="s">
        <v>85</v>
      </c>
      <c r="AO28" s="9">
        <v>0.550888</v>
      </c>
      <c r="AP28" s="9">
        <v>0.591124</v>
      </c>
      <c r="AQ28" s="9" t="s">
        <v>85</v>
      </c>
      <c r="AR28" s="30">
        <v>0.624023664</v>
      </c>
      <c r="AS28" s="30">
        <v>0.629586</v>
      </c>
      <c r="AT28" s="9" t="s">
        <v>85</v>
      </c>
      <c r="AU28" s="9">
        <v>0.442722</v>
      </c>
      <c r="AV28" s="9">
        <v>0.420118</v>
      </c>
      <c r="AW28" s="9" t="s">
        <v>85</v>
      </c>
      <c r="AX28" s="9">
        <v>0.485917</v>
      </c>
      <c r="AY28" s="9">
        <v>0.46568</v>
      </c>
      <c r="AZ28" s="9" t="s">
        <v>85</v>
      </c>
      <c r="BA28" s="9">
        <v>0.631716</v>
      </c>
      <c r="BB28" s="9">
        <v>0.678106</v>
      </c>
      <c r="BC28" s="9" t="s">
        <v>85</v>
      </c>
      <c r="BD28" s="30">
        <v>0.422604</v>
      </c>
      <c r="BE28" s="30">
        <v>0.405325</v>
      </c>
      <c r="BF28" s="9" t="s">
        <v>85</v>
      </c>
      <c r="BG28" s="10" t="s">
        <v>85</v>
      </c>
      <c r="BH28" s="10" t="s">
        <v>85</v>
      </c>
      <c r="BI28" s="9" t="s">
        <v>85</v>
      </c>
      <c r="BJ28" s="6"/>
      <c r="BK28" s="6" t="str">
        <f t="shared" si="2"/>
        <v>20Bo_Fold_Median</v>
      </c>
      <c r="BL28" s="6" t="str">
        <f t="shared" si="3"/>
        <v>10BoN_Fold_Mean</v>
      </c>
      <c r="BM28" s="6" t="str">
        <f t="shared" si="4"/>
        <v>10BoN_Fold_Median</v>
      </c>
      <c r="BN28" s="6"/>
      <c r="BO28" s="6">
        <f t="shared" ref="BO28:BQ28" si="38">IF(ISNUMBER(SEARCH("5",BK28)),5,IF(ISNUMBER(SEARCH("*8*",BK28)),8,IF(ISNUMBER(SEARCH("*10*",BK28)),10,IF(ISNUMBER(SEARCH("*12*",BK28)),12,IF(ISNUMBER(SEARCH("*20*",BK28)),20)))))</f>
        <v>20</v>
      </c>
      <c r="BP28" s="6">
        <f t="shared" si="38"/>
        <v>10</v>
      </c>
      <c r="BQ28" s="6">
        <f t="shared" si="38"/>
        <v>10</v>
      </c>
      <c r="BR28" s="6"/>
      <c r="BS28" s="6">
        <f t="shared" si="6"/>
        <v>71.5</v>
      </c>
      <c r="BT28" s="6">
        <f t="shared" si="7"/>
        <v>8.5</v>
      </c>
      <c r="BU28" s="6"/>
      <c r="BV28" s="6"/>
      <c r="BW28" s="6" t="s">
        <v>227</v>
      </c>
      <c r="BX28" s="18">
        <f>COUNTIFS(BM3:BM100,"*V*",BM3:BM100,"*5*")</f>
        <v>16</v>
      </c>
      <c r="BY28" s="19">
        <f>COUNTIFS(BM3:BM100,"*V*",BM3:BM100,"*8*")</f>
        <v>8</v>
      </c>
      <c r="BZ28" s="18">
        <f>COUNTIFS(BM3:BM100,"*V*",BM3:BM100,"*10*")</f>
        <v>7</v>
      </c>
      <c r="CA28" s="18">
        <f>COUNTIFS(BM3:BM100,"*V*",BM3:BM100,"*12*")</f>
        <v>7</v>
      </c>
      <c r="CB28" s="18">
        <f>COUNTIFS(BM3:BM100,"*V*",BM3:BM100,"*20*")</f>
        <v>8</v>
      </c>
      <c r="CC28" s="6">
        <f t="shared" si="39"/>
        <v>46</v>
      </c>
      <c r="CD28" s="6"/>
      <c r="CE28" s="6"/>
      <c r="CF28" s="6" t="s">
        <v>227</v>
      </c>
      <c r="CG28" s="18">
        <f>COUNTIFS($D$3:$D$100,"*DEVICE*",$BK$3:$BK$100,"*V*")</f>
        <v>1</v>
      </c>
      <c r="CH28" s="18">
        <f>COUNTIFS($D$3:$D$100,"*ECG*",$BK$3:$BK$100,"*V*")</f>
        <v>4</v>
      </c>
      <c r="CI28" s="18">
        <f>COUNTIFS($D$3:$D$100,"*EPG*",$BK$3:$BK$100,"*V*")</f>
        <v>1</v>
      </c>
      <c r="CJ28" s="18">
        <f>COUNTIFS($D$3:$D$100,"*HEMODYNAMICS*",$BK$3:$BK$100,"*V*")</f>
        <v>2</v>
      </c>
      <c r="CK28" s="18">
        <f>COUNTIFS($D$3:$D$100,"*IMAGE*",$BK$3:$BK$100,"*V*")</f>
        <v>22</v>
      </c>
      <c r="CL28" s="18">
        <f>COUNTIFS($D$3:$D$100,"*MOTION*",$BK$3:$BK$100,"*V*")</f>
        <v>3</v>
      </c>
      <c r="CM28" s="18">
        <f>COUNTIFS($D$3:$D$100,"*SENSOR*",$BK$3:$BK$100,"*V*")</f>
        <v>8</v>
      </c>
      <c r="CN28" s="18">
        <f>COUNTIFS($D$3:$D$100,"*SIMULATED*",$BK$3:$BK$100,"*V*")</f>
        <v>4</v>
      </c>
      <c r="CO28" s="18">
        <f>COUNTIFS($D$3:$D$100,"*SOUND*",$BK$3:$BK$100,"*V*")</f>
        <v>0</v>
      </c>
      <c r="CP28" s="18">
        <f>COUNTIFS($D$3:$D$100,"*SPECTRO*",$BK$3:$BK$100,"*V*")</f>
        <v>8</v>
      </c>
      <c r="CQ28" s="18">
        <f>COUNTIFS($D$3:$D$100,"*Traffic*",$BK$3:$BK$100,"*V*")</f>
        <v>0</v>
      </c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</row>
    <row r="29" ht="15.75" customHeight="1">
      <c r="A29" s="1" t="s">
        <v>123</v>
      </c>
      <c r="B29" s="17">
        <v>350.0</v>
      </c>
      <c r="C29" s="17">
        <v>4.0</v>
      </c>
      <c r="D29" s="17" t="s">
        <v>300</v>
      </c>
      <c r="E29" s="9">
        <v>0.384091</v>
      </c>
      <c r="F29" s="9">
        <v>0.397727</v>
      </c>
      <c r="G29" s="9" t="s">
        <v>85</v>
      </c>
      <c r="H29" s="30">
        <v>0.361363637</v>
      </c>
      <c r="I29" s="30">
        <v>0.363636374</v>
      </c>
      <c r="J29" s="9" t="s">
        <v>85</v>
      </c>
      <c r="K29" s="9">
        <v>0.531818</v>
      </c>
      <c r="L29" s="9">
        <v>0.522727</v>
      </c>
      <c r="M29" s="9" t="s">
        <v>85</v>
      </c>
      <c r="N29" s="9">
        <v>0.586363637</v>
      </c>
      <c r="O29" s="9">
        <v>0.545455</v>
      </c>
      <c r="P29" s="9" t="s">
        <v>85</v>
      </c>
      <c r="Q29" s="9">
        <v>0.456818</v>
      </c>
      <c r="R29" s="9">
        <v>0.409091</v>
      </c>
      <c r="S29" s="9" t="s">
        <v>85</v>
      </c>
      <c r="T29" s="9">
        <v>0.490909094</v>
      </c>
      <c r="U29" s="9">
        <v>0.488636</v>
      </c>
      <c r="V29" s="9" t="s">
        <v>85</v>
      </c>
      <c r="W29" s="9">
        <v>0.7</v>
      </c>
      <c r="X29" s="9">
        <v>0.715909</v>
      </c>
      <c r="Y29" s="9" t="s">
        <v>85</v>
      </c>
      <c r="Z29" s="9">
        <v>0.645455</v>
      </c>
      <c r="AA29" s="9">
        <v>0.602273</v>
      </c>
      <c r="AB29" s="9" t="s">
        <v>85</v>
      </c>
      <c r="AC29" s="30">
        <v>0.45454545</v>
      </c>
      <c r="AD29" s="30">
        <v>0.454545</v>
      </c>
      <c r="AE29" s="9" t="s">
        <v>85</v>
      </c>
      <c r="AF29" s="30">
        <v>0.440909091</v>
      </c>
      <c r="AG29" s="30">
        <v>0.477273</v>
      </c>
      <c r="AH29" s="9" t="s">
        <v>85</v>
      </c>
      <c r="AI29" s="9">
        <v>0.590909</v>
      </c>
      <c r="AJ29" s="9">
        <v>0.556818</v>
      </c>
      <c r="AK29" s="9" t="s">
        <v>85</v>
      </c>
      <c r="AL29" s="9">
        <v>0.638636</v>
      </c>
      <c r="AM29" s="9">
        <v>0.625</v>
      </c>
      <c r="AN29" s="9" t="s">
        <v>85</v>
      </c>
      <c r="AO29" s="9">
        <v>0.515909</v>
      </c>
      <c r="AP29" s="9">
        <v>0.534091</v>
      </c>
      <c r="AQ29" s="9" t="s">
        <v>85</v>
      </c>
      <c r="AR29" s="30">
        <v>0.522727263</v>
      </c>
      <c r="AS29" s="30">
        <v>0.647727</v>
      </c>
      <c r="AT29" s="9" t="s">
        <v>85</v>
      </c>
      <c r="AU29" s="9">
        <v>0.522727</v>
      </c>
      <c r="AV29" s="9">
        <v>0.545455</v>
      </c>
      <c r="AW29" s="9" t="s">
        <v>85</v>
      </c>
      <c r="AX29" s="9">
        <v>0.602273</v>
      </c>
      <c r="AY29" s="9">
        <v>0.602273</v>
      </c>
      <c r="AZ29" s="9" t="s">
        <v>85</v>
      </c>
      <c r="BA29" s="9">
        <v>0.563636</v>
      </c>
      <c r="BB29" s="9">
        <v>0.488636</v>
      </c>
      <c r="BC29" s="9" t="s">
        <v>85</v>
      </c>
      <c r="BD29" s="30">
        <v>0.65</v>
      </c>
      <c r="BE29" s="30">
        <v>0.681818</v>
      </c>
      <c r="BF29" s="9" t="s">
        <v>85</v>
      </c>
      <c r="BG29" s="10" t="s">
        <v>85</v>
      </c>
      <c r="BH29" s="10" t="s">
        <v>85</v>
      </c>
      <c r="BI29" s="9" t="s">
        <v>85</v>
      </c>
      <c r="BJ29" s="6"/>
      <c r="BK29" s="6" t="str">
        <f t="shared" si="2"/>
        <v>8V_Fold_Median</v>
      </c>
      <c r="BL29" s="6" t="str">
        <f t="shared" si="3"/>
        <v>8V_Fold_Mean</v>
      </c>
      <c r="BM29" s="6" t="str">
        <f t="shared" si="4"/>
        <v>20V_Fold_Median</v>
      </c>
      <c r="BN29" s="6"/>
      <c r="BO29" s="6">
        <f t="shared" ref="BO29:BQ29" si="40">IF(ISNUMBER(SEARCH("5",BK29)),5,IF(ISNUMBER(SEARCH("*8*",BK29)),8,IF(ISNUMBER(SEARCH("*10*",BK29)),10,IF(ISNUMBER(SEARCH("*12*",BK29)),12,IF(ISNUMBER(SEARCH("*20*",BK29)),20)))))</f>
        <v>8</v>
      </c>
      <c r="BP29" s="6">
        <f t="shared" si="40"/>
        <v>8</v>
      </c>
      <c r="BQ29" s="6">
        <f t="shared" si="40"/>
        <v>20</v>
      </c>
      <c r="BR29" s="6"/>
      <c r="BS29" s="6">
        <f t="shared" si="6"/>
        <v>46</v>
      </c>
      <c r="BT29" s="6">
        <f t="shared" si="7"/>
        <v>65</v>
      </c>
      <c r="BU29" s="6"/>
      <c r="BV29" s="6"/>
      <c r="BW29" s="6" t="s">
        <v>20</v>
      </c>
      <c r="BX29" s="18">
        <f>COUNTIFS(BM3:BM100,"*De*",BM3:BM100,"*5*")</f>
        <v>0</v>
      </c>
      <c r="BY29" s="19">
        <f>COUNTIFS(BM3:BM100,"*De*",BM3:BM100,"*8*")</f>
        <v>0</v>
      </c>
      <c r="BZ29" s="18">
        <f>COUNTIFS(BM3:BM100,"*De*",BM3:BM100,"*10*")</f>
        <v>0</v>
      </c>
      <c r="CA29" s="18">
        <f>COUNTIFS(BM3:BM100,"*De*",BM3:BM100,"*12*")</f>
        <v>0</v>
      </c>
      <c r="CB29" s="18">
        <f>COUNTIFS(BM3:BM100,"*De*",BM3:BM100,"*20*")</f>
        <v>0</v>
      </c>
      <c r="CC29" s="6">
        <f t="shared" si="39"/>
        <v>0</v>
      </c>
      <c r="CD29" s="6"/>
      <c r="CE29" s="6"/>
      <c r="CF29" s="6" t="s">
        <v>20</v>
      </c>
      <c r="CG29" s="18">
        <f>COUNTIFS($D$3:$D$100,"*DEVICE*",$BK$3:$BK$100,"*De*")</f>
        <v>0</v>
      </c>
      <c r="CH29" s="18">
        <f>COUNTIFS($D$3:$D$100,"*ECG*",$BK$3:$BK$100,"*De*")</f>
        <v>0</v>
      </c>
      <c r="CI29" s="18">
        <f>COUNTIFS($D$3:$D$100,"*EPG*",$BK$3:$BK$100,"*De*")</f>
        <v>0</v>
      </c>
      <c r="CJ29" s="18">
        <f>COUNTIFS($D$3:$D$100,"*HEMODYNAMICS*",$BK$3:$BK$100,"*De*")</f>
        <v>0</v>
      </c>
      <c r="CK29" s="18">
        <f>COUNTIFS($D$3:$D$100,"*IMAGE*",$BK$3:$BK$100,"*De*")</f>
        <v>0</v>
      </c>
      <c r="CL29" s="18">
        <f>COUNTIFS($D$3:$D$100,"*MOTION*",$BK$3:$BK$100,"*De*")</f>
        <v>0</v>
      </c>
      <c r="CM29" s="18">
        <f>COUNTIFS($D$3:$D$100,"*SENSOR*",$BK$3:$BK$100,"*De*")</f>
        <v>0</v>
      </c>
      <c r="CN29" s="18">
        <f>COUNTIFS($D$3:$D$100,"*SIMULATED*",$BK$3:$BK$100,"*De*")</f>
        <v>0</v>
      </c>
      <c r="CO29" s="18">
        <f>COUNTIFS($D$3:$D$100,"*SOUND*",$BK$3:$BK$100,"*De*")</f>
        <v>0</v>
      </c>
      <c r="CP29" s="18">
        <f>COUNTIFS($D$3:$D$100,"*SPECTRO*",$BK$3:$BK$100,"*De*")</f>
        <v>0</v>
      </c>
      <c r="CQ29" s="18">
        <f>COUNTIFS($D$3:$D$100,"*Traffic*",$BK$3:$BK$100,"*De*")</f>
        <v>0</v>
      </c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</row>
    <row r="30" ht="15.75" customHeight="1">
      <c r="A30" s="1" t="s">
        <v>124</v>
      </c>
      <c r="B30" s="17">
        <v>131.0</v>
      </c>
      <c r="C30" s="17">
        <v>14.0</v>
      </c>
      <c r="D30" s="17" t="s">
        <v>300</v>
      </c>
      <c r="E30" s="9">
        <v>0.517951</v>
      </c>
      <c r="F30" s="9">
        <v>0.519024</v>
      </c>
      <c r="G30" s="9" t="s">
        <v>85</v>
      </c>
      <c r="H30" s="30">
        <v>0.456195128</v>
      </c>
      <c r="I30" s="30">
        <v>0.458048791</v>
      </c>
      <c r="J30" s="9" t="s">
        <v>85</v>
      </c>
      <c r="K30" s="9">
        <v>0.564</v>
      </c>
      <c r="L30" s="9">
        <v>0.581951</v>
      </c>
      <c r="M30" s="9" t="s">
        <v>85</v>
      </c>
      <c r="N30" s="9">
        <v>0.548682922</v>
      </c>
      <c r="O30" s="9">
        <v>0.556585</v>
      </c>
      <c r="P30" s="9" t="s">
        <v>85</v>
      </c>
      <c r="Q30" s="9">
        <v>0.626049</v>
      </c>
      <c r="R30" s="9">
        <v>0.625366</v>
      </c>
      <c r="S30" s="9" t="s">
        <v>85</v>
      </c>
      <c r="T30" s="9">
        <v>0.582048786</v>
      </c>
      <c r="U30" s="9">
        <v>0.598537</v>
      </c>
      <c r="V30" s="9" t="s">
        <v>85</v>
      </c>
      <c r="W30" s="9">
        <v>0.607512</v>
      </c>
      <c r="X30" s="9">
        <v>0.61122</v>
      </c>
      <c r="Y30" s="9" t="s">
        <v>85</v>
      </c>
      <c r="Z30" s="9">
        <v>0.585854</v>
      </c>
      <c r="AA30" s="9">
        <v>0.583902</v>
      </c>
      <c r="AB30" s="9" t="s">
        <v>85</v>
      </c>
      <c r="AC30" s="30">
        <v>0.599414653</v>
      </c>
      <c r="AD30" s="30">
        <v>0.610244</v>
      </c>
      <c r="AE30" s="9" t="s">
        <v>85</v>
      </c>
      <c r="AF30" s="30">
        <v>0.617268288</v>
      </c>
      <c r="AG30" s="30">
        <v>0.640976</v>
      </c>
      <c r="AH30" s="9" t="s">
        <v>85</v>
      </c>
      <c r="AI30" s="9">
        <v>0.538829</v>
      </c>
      <c r="AJ30" s="9">
        <v>0.537073</v>
      </c>
      <c r="AK30" s="9" t="s">
        <v>85</v>
      </c>
      <c r="AL30" s="9">
        <v>0.564878</v>
      </c>
      <c r="AM30" s="9">
        <v>0.581463</v>
      </c>
      <c r="AN30" s="9" t="s">
        <v>85</v>
      </c>
      <c r="AO30" s="9">
        <v>0.636195</v>
      </c>
      <c r="AP30" s="9">
        <v>0.649268</v>
      </c>
      <c r="AQ30" s="9" t="s">
        <v>85</v>
      </c>
      <c r="AR30" s="30">
        <v>0.636097562</v>
      </c>
      <c r="AS30" s="30">
        <v>0.636585</v>
      </c>
      <c r="AT30" s="9" t="s">
        <v>85</v>
      </c>
      <c r="AU30" s="9">
        <v>0.573268</v>
      </c>
      <c r="AV30" s="9">
        <v>0.565366</v>
      </c>
      <c r="AW30" s="9" t="s">
        <v>85</v>
      </c>
      <c r="AX30" s="9">
        <v>0.612098</v>
      </c>
      <c r="AY30" s="9">
        <v>0.61122</v>
      </c>
      <c r="AZ30" s="9" t="s">
        <v>85</v>
      </c>
      <c r="BA30" s="9">
        <v>0.667902</v>
      </c>
      <c r="BB30" s="9">
        <v>0.687805</v>
      </c>
      <c r="BC30" s="9" t="s">
        <v>85</v>
      </c>
      <c r="BD30" s="30">
        <v>0.549463</v>
      </c>
      <c r="BE30" s="30">
        <v>0.541463</v>
      </c>
      <c r="BF30" s="9" t="s">
        <v>85</v>
      </c>
      <c r="BG30" s="10" t="s">
        <v>85</v>
      </c>
      <c r="BH30" s="10" t="s">
        <v>85</v>
      </c>
      <c r="BI30" s="9" t="s">
        <v>85</v>
      </c>
      <c r="BJ30" s="6"/>
      <c r="BK30" s="6" t="str">
        <f t="shared" si="2"/>
        <v>20Bo_Fold_Median</v>
      </c>
      <c r="BL30" s="6" t="str">
        <f t="shared" si="3"/>
        <v>20Bo_Fold_Mean</v>
      </c>
      <c r="BM30" s="6" t="str">
        <f t="shared" si="4"/>
        <v>12Bo_Fold_Median</v>
      </c>
      <c r="BN30" s="6"/>
      <c r="BO30" s="6">
        <f t="shared" ref="BO30:BQ30" si="41">IF(ISNUMBER(SEARCH("5",BK30)),5,IF(ISNUMBER(SEARCH("*8*",BK30)),8,IF(ISNUMBER(SEARCH("*10*",BK30)),10,IF(ISNUMBER(SEARCH("*12*",BK30)),12,IF(ISNUMBER(SEARCH("*20*",BK30)),20)))))</f>
        <v>20</v>
      </c>
      <c r="BP30" s="6">
        <f t="shared" si="41"/>
        <v>20</v>
      </c>
      <c r="BQ30" s="6">
        <f t="shared" si="41"/>
        <v>12</v>
      </c>
      <c r="BR30" s="6"/>
      <c r="BS30" s="6">
        <f t="shared" si="6"/>
        <v>71.5</v>
      </c>
      <c r="BT30" s="6">
        <f t="shared" si="7"/>
        <v>8.5</v>
      </c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</row>
    <row r="31" ht="15.75" customHeight="1">
      <c r="A31" s="1" t="s">
        <v>125</v>
      </c>
      <c r="B31" s="17">
        <v>270.0</v>
      </c>
      <c r="C31" s="17">
        <v>50.0</v>
      </c>
      <c r="D31" s="17" t="s">
        <v>300</v>
      </c>
      <c r="E31" s="9">
        <v>0.412747</v>
      </c>
      <c r="F31" s="9">
        <v>0.413187</v>
      </c>
      <c r="G31" s="9" t="s">
        <v>85</v>
      </c>
      <c r="H31" s="30">
        <v>0.356043965</v>
      </c>
      <c r="I31" s="30">
        <v>0.353846163</v>
      </c>
      <c r="J31" s="9" t="s">
        <v>85</v>
      </c>
      <c r="K31" s="9">
        <v>0.396044</v>
      </c>
      <c r="L31" s="9">
        <v>0.386813</v>
      </c>
      <c r="M31" s="9" t="s">
        <v>85</v>
      </c>
      <c r="N31" s="9">
        <v>0.389010996</v>
      </c>
      <c r="O31" s="9">
        <v>0.373626</v>
      </c>
      <c r="P31" s="9" t="s">
        <v>85</v>
      </c>
      <c r="Q31" s="9">
        <v>0.444835</v>
      </c>
      <c r="R31" s="9">
        <v>0.446154</v>
      </c>
      <c r="S31" s="9" t="s">
        <v>85</v>
      </c>
      <c r="T31" s="9">
        <v>0.465934068</v>
      </c>
      <c r="U31" s="9">
        <v>0.476923</v>
      </c>
      <c r="V31" s="9" t="s">
        <v>85</v>
      </c>
      <c r="W31" s="9">
        <v>0.374066</v>
      </c>
      <c r="X31" s="9">
        <v>0.397802</v>
      </c>
      <c r="Y31" s="9" t="s">
        <v>85</v>
      </c>
      <c r="Z31" s="9">
        <v>0.38989</v>
      </c>
      <c r="AA31" s="9">
        <v>0.378022</v>
      </c>
      <c r="AB31" s="9" t="s">
        <v>85</v>
      </c>
      <c r="AC31" s="30">
        <v>0.439120883</v>
      </c>
      <c r="AD31" s="30">
        <v>0.430769</v>
      </c>
      <c r="AE31" s="9" t="s">
        <v>85</v>
      </c>
      <c r="AF31" s="30">
        <v>0.454945064</v>
      </c>
      <c r="AG31" s="30">
        <v>0.432967</v>
      </c>
      <c r="AH31" s="9" t="s">
        <v>85</v>
      </c>
      <c r="AI31" s="9">
        <v>0.301538</v>
      </c>
      <c r="AJ31" s="9">
        <v>0.259341</v>
      </c>
      <c r="AK31" s="9" t="s">
        <v>85</v>
      </c>
      <c r="AL31" s="9">
        <v>0.414945</v>
      </c>
      <c r="AM31" s="9">
        <v>0.424176</v>
      </c>
      <c r="AN31" s="9" t="s">
        <v>85</v>
      </c>
      <c r="AO31" s="9">
        <v>0.414945</v>
      </c>
      <c r="AP31" s="9">
        <v>0.413187</v>
      </c>
      <c r="AQ31" s="9" t="s">
        <v>85</v>
      </c>
      <c r="AR31" s="30">
        <v>0.479120886</v>
      </c>
      <c r="AS31" s="30">
        <v>0.481319</v>
      </c>
      <c r="AT31" s="9" t="s">
        <v>85</v>
      </c>
      <c r="AU31" s="9">
        <v>0.338022</v>
      </c>
      <c r="AV31" s="9">
        <v>0.342857</v>
      </c>
      <c r="AW31" s="9" t="s">
        <v>85</v>
      </c>
      <c r="AX31" s="9">
        <v>0.331429</v>
      </c>
      <c r="AY31" s="9">
        <v>0.336264</v>
      </c>
      <c r="AZ31" s="9" t="s">
        <v>85</v>
      </c>
      <c r="BA31" s="9">
        <v>0.378022</v>
      </c>
      <c r="BB31" s="9">
        <v>0.373626</v>
      </c>
      <c r="BC31" s="9" t="s">
        <v>85</v>
      </c>
      <c r="BD31" s="30">
        <v>0.384176</v>
      </c>
      <c r="BE31" s="30">
        <v>0.382418</v>
      </c>
      <c r="BF31" s="9" t="s">
        <v>85</v>
      </c>
      <c r="BG31" s="10" t="s">
        <v>85</v>
      </c>
      <c r="BH31" s="10" t="s">
        <v>85</v>
      </c>
      <c r="BI31" s="9" t="s">
        <v>85</v>
      </c>
      <c r="BJ31" s="6"/>
      <c r="BK31" s="6" t="str">
        <f t="shared" si="2"/>
        <v>12BoN_Fold_Median</v>
      </c>
      <c r="BL31" s="6" t="str">
        <f t="shared" si="3"/>
        <v>12BoN_Fold_Mean</v>
      </c>
      <c r="BM31" s="6" t="str">
        <f t="shared" si="4"/>
        <v>8BoN_Fold_Median</v>
      </c>
      <c r="BN31" s="6"/>
      <c r="BO31" s="6">
        <f t="shared" ref="BO31:BQ31" si="42">IF(ISNUMBER(SEARCH("5",BK31)),5,IF(ISNUMBER(SEARCH("*8*",BK31)),8,IF(ISNUMBER(SEARCH("*10*",BK31)),10,IF(ISNUMBER(SEARCH("*12*",BK31)),12,IF(ISNUMBER(SEARCH("*20*",BK31)),20)))))</f>
        <v>12</v>
      </c>
      <c r="BP31" s="6">
        <f t="shared" si="42"/>
        <v>12</v>
      </c>
      <c r="BQ31" s="6">
        <f t="shared" si="42"/>
        <v>8</v>
      </c>
      <c r="BR31" s="6"/>
      <c r="BS31" s="6">
        <f t="shared" si="6"/>
        <v>55.5</v>
      </c>
      <c r="BT31" s="6">
        <f t="shared" si="7"/>
        <v>27</v>
      </c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 t="s">
        <v>322</v>
      </c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</row>
    <row r="32" ht="15.75" customHeight="1">
      <c r="A32" s="1" t="s">
        <v>126</v>
      </c>
      <c r="B32" s="17">
        <v>463.0</v>
      </c>
      <c r="C32" s="17">
        <v>7.0</v>
      </c>
      <c r="D32" s="17" t="s">
        <v>300</v>
      </c>
      <c r="E32" s="9">
        <v>0.517714</v>
      </c>
      <c r="F32" s="9">
        <v>0.514286</v>
      </c>
      <c r="G32" s="9" t="s">
        <v>85</v>
      </c>
      <c r="H32" s="30">
        <v>0.48228572</v>
      </c>
      <c r="I32" s="30">
        <v>0.497142851</v>
      </c>
      <c r="J32" s="9" t="s">
        <v>85</v>
      </c>
      <c r="K32" s="9">
        <v>0.669714</v>
      </c>
      <c r="L32" s="9">
        <v>0.68</v>
      </c>
      <c r="M32" s="9" t="s">
        <v>85</v>
      </c>
      <c r="N32" s="9">
        <v>0.656000006</v>
      </c>
      <c r="O32" s="9">
        <v>0.651429</v>
      </c>
      <c r="P32" s="9" t="s">
        <v>85</v>
      </c>
      <c r="Q32" s="9">
        <v>0.580571</v>
      </c>
      <c r="R32" s="9">
        <v>0.577143</v>
      </c>
      <c r="S32" s="9" t="s">
        <v>85</v>
      </c>
      <c r="T32" s="9">
        <v>0.618285716</v>
      </c>
      <c r="U32" s="9">
        <v>0.628571</v>
      </c>
      <c r="V32" s="9" t="s">
        <v>85</v>
      </c>
      <c r="W32" s="9">
        <v>0.618286</v>
      </c>
      <c r="X32" s="9">
        <v>0.691429</v>
      </c>
      <c r="Y32" s="9" t="s">
        <v>85</v>
      </c>
      <c r="Z32" s="9">
        <v>0.592</v>
      </c>
      <c r="AA32" s="9">
        <v>0.64</v>
      </c>
      <c r="AB32" s="9" t="s">
        <v>85</v>
      </c>
      <c r="AC32" s="30">
        <v>0.594285703</v>
      </c>
      <c r="AD32" s="30">
        <v>0.577143</v>
      </c>
      <c r="AE32" s="9" t="s">
        <v>85</v>
      </c>
      <c r="AF32" s="30">
        <v>0.595428574</v>
      </c>
      <c r="AG32" s="30">
        <v>0.6</v>
      </c>
      <c r="AH32" s="9" t="s">
        <v>85</v>
      </c>
      <c r="AI32" s="9">
        <v>0.613714</v>
      </c>
      <c r="AJ32" s="9">
        <v>0.611429</v>
      </c>
      <c r="AK32" s="9" t="s">
        <v>85</v>
      </c>
      <c r="AL32" s="9">
        <v>0.558857</v>
      </c>
      <c r="AM32" s="9">
        <v>0.537143</v>
      </c>
      <c r="AN32" s="9" t="s">
        <v>85</v>
      </c>
      <c r="AO32" s="9">
        <v>0.590857</v>
      </c>
      <c r="AP32" s="9">
        <v>0.588571</v>
      </c>
      <c r="AQ32" s="9" t="s">
        <v>85</v>
      </c>
      <c r="AR32" s="30">
        <v>0.555428576</v>
      </c>
      <c r="AS32" s="30">
        <v>0.554286</v>
      </c>
      <c r="AT32" s="9" t="s">
        <v>85</v>
      </c>
      <c r="AU32" s="9">
        <v>0.539429</v>
      </c>
      <c r="AV32" s="9">
        <v>0.571429</v>
      </c>
      <c r="AW32" s="9" t="s">
        <v>85</v>
      </c>
      <c r="AX32" s="9">
        <v>0.542857</v>
      </c>
      <c r="AY32" s="9">
        <v>0.537143</v>
      </c>
      <c r="AZ32" s="9" t="s">
        <v>85</v>
      </c>
      <c r="BA32" s="9">
        <v>0.562286</v>
      </c>
      <c r="BB32" s="9">
        <v>0.565714</v>
      </c>
      <c r="BC32" s="9" t="s">
        <v>85</v>
      </c>
      <c r="BD32" s="30">
        <v>0.633143</v>
      </c>
      <c r="BE32" s="30">
        <v>0.657143</v>
      </c>
      <c r="BF32" s="9" t="s">
        <v>85</v>
      </c>
      <c r="BG32" s="10" t="s">
        <v>85</v>
      </c>
      <c r="BH32" s="10" t="s">
        <v>85</v>
      </c>
      <c r="BI32" s="9" t="s">
        <v>85</v>
      </c>
      <c r="BJ32" s="6"/>
      <c r="BK32" s="6" t="str">
        <f t="shared" si="2"/>
        <v>8V_Fold_Median</v>
      </c>
      <c r="BL32" s="6" t="str">
        <f t="shared" si="3"/>
        <v>5V_Fold_Median</v>
      </c>
      <c r="BM32" s="6" t="str">
        <f t="shared" si="4"/>
        <v>5V_Fold_Mean</v>
      </c>
      <c r="BN32" s="6"/>
      <c r="BO32" s="6">
        <f t="shared" ref="BO32:BQ32" si="43">IF(ISNUMBER(SEARCH("5",BK32)),5,IF(ISNUMBER(SEARCH("*8*",BK32)),8,IF(ISNUMBER(SEARCH("*10*",BK32)),10,IF(ISNUMBER(SEARCH("*12*",BK32)),12,IF(ISNUMBER(SEARCH("*20*",BK32)),20)))))</f>
        <v>8</v>
      </c>
      <c r="BP32" s="6">
        <f t="shared" si="43"/>
        <v>5</v>
      </c>
      <c r="BQ32" s="6">
        <f t="shared" si="43"/>
        <v>5</v>
      </c>
      <c r="BR32" s="6"/>
      <c r="BS32" s="6">
        <f t="shared" si="6"/>
        <v>40</v>
      </c>
      <c r="BT32" s="6">
        <f t="shared" si="7"/>
        <v>65</v>
      </c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</row>
    <row r="33" ht="15.75" customHeight="1">
      <c r="A33" s="1" t="s">
        <v>127</v>
      </c>
      <c r="B33" s="17">
        <v>500.0</v>
      </c>
      <c r="C33" s="17">
        <v>2.0</v>
      </c>
      <c r="D33" s="17" t="s">
        <v>305</v>
      </c>
      <c r="E33" s="9">
        <v>0.484091</v>
      </c>
      <c r="F33" s="9">
        <v>0.484091</v>
      </c>
      <c r="G33" s="9" t="s">
        <v>85</v>
      </c>
      <c r="H33" s="30">
        <v>0.484090894</v>
      </c>
      <c r="I33" s="30">
        <v>0.484090894</v>
      </c>
      <c r="J33" s="9" t="s">
        <v>85</v>
      </c>
      <c r="K33" s="9">
        <v>0.484091</v>
      </c>
      <c r="L33" s="9">
        <v>0.484091</v>
      </c>
      <c r="M33" s="9" t="s">
        <v>85</v>
      </c>
      <c r="N33" s="9">
        <v>0.484090894</v>
      </c>
      <c r="O33" s="9">
        <v>0.484091</v>
      </c>
      <c r="P33" s="9" t="s">
        <v>85</v>
      </c>
      <c r="Q33" s="9">
        <v>0.484091</v>
      </c>
      <c r="R33" s="9">
        <v>0.484091</v>
      </c>
      <c r="S33" s="9" t="s">
        <v>85</v>
      </c>
      <c r="T33" s="9">
        <v>0.484090894</v>
      </c>
      <c r="U33" s="9">
        <v>0.484091</v>
      </c>
      <c r="V33" s="9" t="s">
        <v>85</v>
      </c>
      <c r="W33" s="9">
        <v>0.484091</v>
      </c>
      <c r="X33" s="9">
        <v>0.484091</v>
      </c>
      <c r="Y33" s="9" t="s">
        <v>85</v>
      </c>
      <c r="Z33" s="9">
        <v>0.484091</v>
      </c>
      <c r="AA33" s="9">
        <v>0.484091</v>
      </c>
      <c r="AB33" s="9" t="s">
        <v>85</v>
      </c>
      <c r="AC33" s="30">
        <v>0.484090894</v>
      </c>
      <c r="AD33" s="30">
        <v>0.484091</v>
      </c>
      <c r="AE33" s="9" t="s">
        <v>85</v>
      </c>
      <c r="AF33" s="30">
        <v>0.484090894</v>
      </c>
      <c r="AG33" s="30">
        <v>0.484091</v>
      </c>
      <c r="AH33" s="9" t="s">
        <v>85</v>
      </c>
      <c r="AI33" s="9">
        <v>0.484091</v>
      </c>
      <c r="AJ33" s="9">
        <v>0.484091</v>
      </c>
      <c r="AK33" s="9" t="s">
        <v>85</v>
      </c>
      <c r="AL33" s="9">
        <v>0.484091</v>
      </c>
      <c r="AM33" s="9">
        <v>0.484091</v>
      </c>
      <c r="AN33" s="9" t="s">
        <v>85</v>
      </c>
      <c r="AO33" s="9">
        <v>0.484091</v>
      </c>
      <c r="AP33" s="9">
        <v>0.484091</v>
      </c>
      <c r="AQ33" s="9" t="s">
        <v>85</v>
      </c>
      <c r="AR33" s="30">
        <v>0.484090894</v>
      </c>
      <c r="AS33" s="30">
        <v>0.484091</v>
      </c>
      <c r="AT33" s="9" t="s">
        <v>85</v>
      </c>
      <c r="AU33" s="9">
        <v>0.484091</v>
      </c>
      <c r="AV33" s="9">
        <v>0.484091</v>
      </c>
      <c r="AW33" s="9" t="s">
        <v>85</v>
      </c>
      <c r="AX33" s="9">
        <v>0.484091</v>
      </c>
      <c r="AY33" s="9">
        <v>0.484091</v>
      </c>
      <c r="AZ33" s="9" t="s">
        <v>85</v>
      </c>
      <c r="BA33" s="9">
        <v>0.484091</v>
      </c>
      <c r="BB33" s="9">
        <v>0.484091</v>
      </c>
      <c r="BC33" s="9" t="s">
        <v>85</v>
      </c>
      <c r="BD33" s="30">
        <v>0.484091</v>
      </c>
      <c r="BE33" s="30">
        <v>0.484091</v>
      </c>
      <c r="BF33" s="9" t="s">
        <v>85</v>
      </c>
      <c r="BG33" s="10" t="s">
        <v>85</v>
      </c>
      <c r="BH33" s="10" t="s">
        <v>85</v>
      </c>
      <c r="BI33" s="9" t="s">
        <v>85</v>
      </c>
      <c r="BJ33" s="6"/>
      <c r="BK33" s="6" t="str">
        <f t="shared" si="2"/>
        <v>5Bo_Fold_Mean</v>
      </c>
      <c r="BL33" s="6" t="str">
        <f t="shared" si="3"/>
        <v>5Bo_Fold_Mean</v>
      </c>
      <c r="BM33" s="6" t="str">
        <f t="shared" si="4"/>
        <v>5Bo_Fold_Mean</v>
      </c>
      <c r="BN33" s="6"/>
      <c r="BO33" s="6">
        <f t="shared" ref="BO33:BQ33" si="44">IF(ISNUMBER(SEARCH("5",BK33)),5,IF(ISNUMBER(SEARCH("*8*",BK33)),8,IF(ISNUMBER(SEARCH("*10*",BK33)),10,IF(ISNUMBER(SEARCH("*12*",BK33)),12,IF(ISNUMBER(SEARCH("*20*",BK33)),20)))))</f>
        <v>5</v>
      </c>
      <c r="BP33" s="6">
        <f t="shared" si="44"/>
        <v>5</v>
      </c>
      <c r="BQ33" s="6">
        <f t="shared" si="44"/>
        <v>5</v>
      </c>
      <c r="BR33" s="6"/>
      <c r="BS33" s="6">
        <f t="shared" si="6"/>
        <v>37</v>
      </c>
      <c r="BT33" s="6">
        <f t="shared" si="7"/>
        <v>86.5</v>
      </c>
      <c r="BU33" s="6"/>
      <c r="BV33" s="6"/>
      <c r="BW33" s="21" t="s">
        <v>289</v>
      </c>
      <c r="BX33" s="18" t="s">
        <v>290</v>
      </c>
      <c r="BY33" s="18" t="s">
        <v>291</v>
      </c>
      <c r="BZ33" s="18" t="s">
        <v>292</v>
      </c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</row>
    <row r="34" ht="15.75" customHeight="1">
      <c r="A34" s="14" t="s">
        <v>128</v>
      </c>
      <c r="B34" s="17">
        <v>500.0</v>
      </c>
      <c r="C34" s="17">
        <v>2.0</v>
      </c>
      <c r="D34" s="17" t="s">
        <v>305</v>
      </c>
      <c r="E34" s="9">
        <v>0.504938</v>
      </c>
      <c r="F34" s="9">
        <v>0.504938</v>
      </c>
      <c r="G34" s="9" t="s">
        <v>85</v>
      </c>
      <c r="H34" s="30">
        <v>0.504938245</v>
      </c>
      <c r="I34" s="30">
        <v>0.504938245</v>
      </c>
      <c r="J34" s="9" t="s">
        <v>85</v>
      </c>
      <c r="K34" s="9">
        <v>0.504938</v>
      </c>
      <c r="L34" s="9">
        <v>0.504938</v>
      </c>
      <c r="M34" s="9" t="s">
        <v>85</v>
      </c>
      <c r="N34" s="9">
        <v>0.504938245</v>
      </c>
      <c r="O34" s="9">
        <v>0.504938</v>
      </c>
      <c r="P34" s="9" t="s">
        <v>85</v>
      </c>
      <c r="Q34" s="9">
        <v>0.504938</v>
      </c>
      <c r="R34" s="9">
        <v>0.504938</v>
      </c>
      <c r="S34" s="9" t="s">
        <v>85</v>
      </c>
      <c r="T34" s="9">
        <v>0.504938245</v>
      </c>
      <c r="U34" s="9">
        <v>0.504938</v>
      </c>
      <c r="V34" s="9" t="s">
        <v>85</v>
      </c>
      <c r="W34" s="9">
        <v>0.504938</v>
      </c>
      <c r="X34" s="9">
        <v>0.504938</v>
      </c>
      <c r="Y34" s="9" t="s">
        <v>85</v>
      </c>
      <c r="Z34" s="9">
        <v>0.504938</v>
      </c>
      <c r="AA34" s="9">
        <v>0.504938</v>
      </c>
      <c r="AB34" s="9" t="s">
        <v>85</v>
      </c>
      <c r="AC34" s="30">
        <v>0.504938245</v>
      </c>
      <c r="AD34" s="30">
        <v>0.504938</v>
      </c>
      <c r="AE34" s="9" t="s">
        <v>85</v>
      </c>
      <c r="AF34" s="30">
        <v>0.504938245</v>
      </c>
      <c r="AG34" s="30">
        <v>0.504938</v>
      </c>
      <c r="AH34" s="9" t="s">
        <v>85</v>
      </c>
      <c r="AI34" s="9">
        <v>0.504938</v>
      </c>
      <c r="AJ34" s="9">
        <v>0.504938</v>
      </c>
      <c r="AK34" s="9" t="s">
        <v>85</v>
      </c>
      <c r="AL34" s="9">
        <v>0.504938</v>
      </c>
      <c r="AM34" s="9">
        <v>0.504938</v>
      </c>
      <c r="AN34" s="9" t="s">
        <v>85</v>
      </c>
      <c r="AO34" s="9">
        <v>0.504938</v>
      </c>
      <c r="AP34" s="9">
        <v>0.504938</v>
      </c>
      <c r="AQ34" s="9" t="s">
        <v>85</v>
      </c>
      <c r="AR34" s="30">
        <v>0.504938245</v>
      </c>
      <c r="AS34" s="30">
        <v>0.504938</v>
      </c>
      <c r="AT34" s="9" t="s">
        <v>85</v>
      </c>
      <c r="AU34" s="9">
        <v>0.504938</v>
      </c>
      <c r="AV34" s="9">
        <v>0.504938</v>
      </c>
      <c r="AW34" s="9" t="s">
        <v>85</v>
      </c>
      <c r="AX34" s="9">
        <v>0.504938</v>
      </c>
      <c r="AY34" s="9">
        <v>0.504938</v>
      </c>
      <c r="AZ34" s="9" t="s">
        <v>85</v>
      </c>
      <c r="BA34" s="9">
        <v>0.504938</v>
      </c>
      <c r="BB34" s="9">
        <v>0.504938</v>
      </c>
      <c r="BC34" s="9" t="s">
        <v>85</v>
      </c>
      <c r="BD34" s="30">
        <v>0.504938</v>
      </c>
      <c r="BE34" s="30">
        <v>0.504938</v>
      </c>
      <c r="BF34" s="9" t="s">
        <v>85</v>
      </c>
      <c r="BG34" s="10" t="s">
        <v>85</v>
      </c>
      <c r="BH34" s="10" t="s">
        <v>85</v>
      </c>
      <c r="BI34" s="9" t="s">
        <v>85</v>
      </c>
      <c r="BJ34" s="6"/>
      <c r="BK34" s="6" t="str">
        <f t="shared" si="2"/>
        <v>5BoN_Fold_Mean</v>
      </c>
      <c r="BL34" s="6" t="str">
        <f t="shared" si="3"/>
        <v>5BoN_Fold_Mean</v>
      </c>
      <c r="BM34" s="6" t="str">
        <f t="shared" si="4"/>
        <v>5BoN_Fold_Mean</v>
      </c>
      <c r="BN34" s="6"/>
      <c r="BO34" s="6">
        <f t="shared" ref="BO34:BQ34" si="45">IF(ISNUMBER(SEARCH("5",BK34)),5,IF(ISNUMBER(SEARCH("*8*",BK34)),8,IF(ISNUMBER(SEARCH("*10*",BK34)),10,IF(ISNUMBER(SEARCH("*12*",BK34)),12,IF(ISNUMBER(SEARCH("*20*",BK34)),20)))))</f>
        <v>5</v>
      </c>
      <c r="BP34" s="6">
        <f t="shared" si="45"/>
        <v>5</v>
      </c>
      <c r="BQ34" s="6">
        <f t="shared" si="45"/>
        <v>5</v>
      </c>
      <c r="BR34" s="6"/>
      <c r="BS34" s="6">
        <f t="shared" si="6"/>
        <v>37</v>
      </c>
      <c r="BT34" s="6">
        <f t="shared" si="7"/>
        <v>86.5</v>
      </c>
      <c r="BU34" s="6"/>
      <c r="BV34" s="6"/>
      <c r="BW34" s="18" t="s">
        <v>290</v>
      </c>
      <c r="BX34" s="18">
        <v>1.0</v>
      </c>
      <c r="BY34" s="18"/>
      <c r="BZ34" s="18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</row>
    <row r="35" ht="15.75" customHeight="1">
      <c r="A35" s="1" t="s">
        <v>129</v>
      </c>
      <c r="B35" s="17">
        <v>301.0</v>
      </c>
      <c r="C35" s="17">
        <v>2.0</v>
      </c>
      <c r="D35" s="17" t="s">
        <v>305</v>
      </c>
      <c r="E35" s="9">
        <v>0.966175</v>
      </c>
      <c r="F35" s="9">
        <v>0.967018</v>
      </c>
      <c r="G35" s="9" t="s">
        <v>85</v>
      </c>
      <c r="H35" s="30">
        <v>0.967157888</v>
      </c>
      <c r="I35" s="30">
        <v>0.968070149</v>
      </c>
      <c r="J35" s="9" t="s">
        <v>85</v>
      </c>
      <c r="K35" s="9">
        <v>0.940351</v>
      </c>
      <c r="L35" s="9">
        <v>0.944211</v>
      </c>
      <c r="M35" s="9" t="s">
        <v>85</v>
      </c>
      <c r="N35" s="9">
        <v>0.942947364</v>
      </c>
      <c r="O35" s="9">
        <v>0.94386</v>
      </c>
      <c r="P35" s="9" t="s">
        <v>85</v>
      </c>
      <c r="Q35" s="9">
        <v>0.968772</v>
      </c>
      <c r="R35" s="9">
        <v>0.968421</v>
      </c>
      <c r="S35" s="9" t="s">
        <v>85</v>
      </c>
      <c r="T35" s="9">
        <v>0.971157897</v>
      </c>
      <c r="U35" s="9">
        <v>0.971228</v>
      </c>
      <c r="V35" s="9" t="s">
        <v>85</v>
      </c>
      <c r="W35" s="9">
        <v>0.974597</v>
      </c>
      <c r="X35" s="9">
        <v>0.975088</v>
      </c>
      <c r="Y35" s="9" t="s">
        <v>85</v>
      </c>
      <c r="Z35" s="9">
        <v>0.970667</v>
      </c>
      <c r="AA35" s="9">
        <v>0.969123</v>
      </c>
      <c r="AB35" s="9" t="s">
        <v>85</v>
      </c>
      <c r="AC35" s="30">
        <v>0.973684216</v>
      </c>
      <c r="AD35" s="30">
        <v>0.973333</v>
      </c>
      <c r="AE35" s="9" t="s">
        <v>85</v>
      </c>
      <c r="AF35" s="30">
        <v>0.971087718</v>
      </c>
      <c r="AG35" s="30">
        <v>0.970877</v>
      </c>
      <c r="AH35" s="9" t="s">
        <v>85</v>
      </c>
      <c r="AI35" s="9">
        <v>0.95186</v>
      </c>
      <c r="AJ35" s="9">
        <v>0.962456</v>
      </c>
      <c r="AK35" s="9" t="s">
        <v>85</v>
      </c>
      <c r="AL35" s="9">
        <v>0.962246</v>
      </c>
      <c r="AM35" s="9">
        <v>0.961403</v>
      </c>
      <c r="AN35" s="9" t="s">
        <v>85</v>
      </c>
      <c r="AO35" s="9">
        <v>0.969474</v>
      </c>
      <c r="AP35" s="9">
        <v>0.970175</v>
      </c>
      <c r="AQ35" s="9" t="s">
        <v>85</v>
      </c>
      <c r="AR35" s="30">
        <v>0.965964901</v>
      </c>
      <c r="AS35" s="30">
        <v>0.970175</v>
      </c>
      <c r="AT35" s="9" t="s">
        <v>85</v>
      </c>
      <c r="AU35" s="9">
        <v>0.961684</v>
      </c>
      <c r="AV35" s="9">
        <v>0.963158</v>
      </c>
      <c r="AW35" s="9" t="s">
        <v>85</v>
      </c>
      <c r="AX35" s="9">
        <v>0.962386</v>
      </c>
      <c r="AY35" s="9">
        <v>0.965263</v>
      </c>
      <c r="AZ35" s="9" t="s">
        <v>85</v>
      </c>
      <c r="BA35" s="9">
        <v>0.970807</v>
      </c>
      <c r="BB35" s="9">
        <v>0.970877</v>
      </c>
      <c r="BC35" s="9" t="s">
        <v>85</v>
      </c>
      <c r="BD35" s="30">
        <v>0.945825</v>
      </c>
      <c r="BE35" s="30">
        <v>0.945965</v>
      </c>
      <c r="BF35" s="9" t="s">
        <v>85</v>
      </c>
      <c r="BG35" s="10" t="s">
        <v>85</v>
      </c>
      <c r="BH35" s="10" t="s">
        <v>85</v>
      </c>
      <c r="BI35" s="9" t="s">
        <v>85</v>
      </c>
      <c r="BJ35" s="6"/>
      <c r="BK35" s="6" t="str">
        <f t="shared" si="2"/>
        <v>8V_Fold_Median</v>
      </c>
      <c r="BL35" s="6" t="str">
        <f t="shared" si="3"/>
        <v>8V_Fold_Mean</v>
      </c>
      <c r="BM35" s="6" t="str">
        <f t="shared" si="4"/>
        <v>10Bo_Fold_Mean</v>
      </c>
      <c r="BN35" s="6"/>
      <c r="BO35" s="6">
        <f t="shared" ref="BO35:BQ35" si="46">IF(ISNUMBER(SEARCH("5",BK35)),5,IF(ISNUMBER(SEARCH("*8*",BK35)),8,IF(ISNUMBER(SEARCH("*10*",BK35)),10,IF(ISNUMBER(SEARCH("*12*",BK35)),12,IF(ISNUMBER(SEARCH("*20*",BK35)),20)))))</f>
        <v>8</v>
      </c>
      <c r="BP35" s="6">
        <f t="shared" si="46"/>
        <v>8</v>
      </c>
      <c r="BQ35" s="6">
        <f t="shared" si="46"/>
        <v>10</v>
      </c>
      <c r="BR35" s="6"/>
      <c r="BS35" s="6">
        <f t="shared" si="6"/>
        <v>50.5</v>
      </c>
      <c r="BT35" s="6">
        <f t="shared" si="7"/>
        <v>65</v>
      </c>
      <c r="BU35" s="6"/>
      <c r="BV35" s="6"/>
      <c r="BW35" s="18" t="s">
        <v>291</v>
      </c>
      <c r="BX35" s="18">
        <f>CORREL($BO$3:$BO$100,$B$3:$B$100)</f>
        <v>0.06275257218</v>
      </c>
      <c r="BY35" s="18">
        <v>1.0</v>
      </c>
      <c r="BZ35" s="18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</row>
    <row r="36" ht="15.75" customHeight="1">
      <c r="A36" s="1" t="s">
        <v>130</v>
      </c>
      <c r="B36" s="17">
        <v>301.0</v>
      </c>
      <c r="C36" s="17">
        <v>2.0</v>
      </c>
      <c r="D36" s="17" t="s">
        <v>305</v>
      </c>
      <c r="E36" s="9">
        <v>0.962526</v>
      </c>
      <c r="F36" s="9">
        <v>0.962807</v>
      </c>
      <c r="G36" s="9" t="s">
        <v>85</v>
      </c>
      <c r="H36" s="30">
        <v>0.960561407</v>
      </c>
      <c r="I36" s="30">
        <v>0.958947361</v>
      </c>
      <c r="J36" s="9" t="s">
        <v>85</v>
      </c>
      <c r="K36" s="9">
        <v>0.788</v>
      </c>
      <c r="L36" s="9">
        <v>0.793333</v>
      </c>
      <c r="M36" s="9" t="s">
        <v>85</v>
      </c>
      <c r="N36" s="9">
        <v>0.788280702</v>
      </c>
      <c r="O36" s="9">
        <v>0.801053</v>
      </c>
      <c r="P36" s="9" t="s">
        <v>85</v>
      </c>
      <c r="Q36" s="9">
        <v>0.950035</v>
      </c>
      <c r="R36" s="9">
        <v>0.950175</v>
      </c>
      <c r="S36" s="9" t="s">
        <v>85</v>
      </c>
      <c r="T36" s="9">
        <v>0.946175444</v>
      </c>
      <c r="U36" s="9">
        <v>0.949825</v>
      </c>
      <c r="V36" s="9" t="s">
        <v>85</v>
      </c>
      <c r="W36" s="9">
        <v>0.913404</v>
      </c>
      <c r="X36" s="9">
        <v>0.921404</v>
      </c>
      <c r="Y36" s="9" t="s">
        <v>85</v>
      </c>
      <c r="Z36" s="9">
        <v>0.905263</v>
      </c>
      <c r="AA36" s="9">
        <v>0.910526</v>
      </c>
      <c r="AB36" s="9" t="s">
        <v>85</v>
      </c>
      <c r="AC36" s="31" t="s">
        <v>85</v>
      </c>
      <c r="AD36" s="31" t="s">
        <v>85</v>
      </c>
      <c r="AE36" s="9" t="s">
        <v>85</v>
      </c>
      <c r="AF36" s="30">
        <v>0.964070177</v>
      </c>
      <c r="AG36" s="30">
        <v>0.966316</v>
      </c>
      <c r="AH36" s="9" t="s">
        <v>85</v>
      </c>
      <c r="AI36" s="9">
        <v>0.883158</v>
      </c>
      <c r="AJ36" s="9">
        <v>0.889474</v>
      </c>
      <c r="AK36" s="9" t="s">
        <v>85</v>
      </c>
      <c r="AL36" s="9">
        <v>0.877825</v>
      </c>
      <c r="AM36" s="9">
        <v>0.886316</v>
      </c>
      <c r="AN36" s="9" t="s">
        <v>85</v>
      </c>
      <c r="AO36" s="9">
        <v>0.952912</v>
      </c>
      <c r="AP36" s="9">
        <v>0.954386</v>
      </c>
      <c r="AQ36" s="9" t="s">
        <v>85</v>
      </c>
      <c r="AR36" s="30">
        <v>0.949052632</v>
      </c>
      <c r="AS36" s="30">
        <v>0.952632</v>
      </c>
      <c r="AT36" s="9" t="s">
        <v>85</v>
      </c>
      <c r="AU36" s="9">
        <v>0.785404</v>
      </c>
      <c r="AV36" s="9">
        <v>0.782105</v>
      </c>
      <c r="AW36" s="9" t="s">
        <v>85</v>
      </c>
      <c r="AX36" s="9">
        <v>0.808351</v>
      </c>
      <c r="AY36" s="9">
        <v>0.799649</v>
      </c>
      <c r="AZ36" s="9" t="s">
        <v>85</v>
      </c>
      <c r="BA36" s="9">
        <v>0.966807</v>
      </c>
      <c r="BB36" s="9">
        <v>0.968772</v>
      </c>
      <c r="BC36" s="9" t="s">
        <v>85</v>
      </c>
      <c r="BD36" s="30">
        <v>0.889614</v>
      </c>
      <c r="BE36" s="30">
        <v>0.886667</v>
      </c>
      <c r="BF36" s="9" t="s">
        <v>85</v>
      </c>
      <c r="BG36" s="10" t="s">
        <v>85</v>
      </c>
      <c r="BH36" s="10" t="s">
        <v>85</v>
      </c>
      <c r="BI36" s="9" t="s">
        <v>85</v>
      </c>
      <c r="BJ36" s="6"/>
      <c r="BK36" s="6" t="str">
        <f t="shared" si="2"/>
        <v>20Bo_Fold_Median</v>
      </c>
      <c r="BL36" s="6" t="str">
        <f t="shared" si="3"/>
        <v>20Bo_Fold_Mean</v>
      </c>
      <c r="BM36" s="6" t="str">
        <f t="shared" si="4"/>
        <v>10BoN_Fold_Median</v>
      </c>
      <c r="BN36" s="6"/>
      <c r="BO36" s="6">
        <f t="shared" ref="BO36:BQ36" si="47">IF(ISNUMBER(SEARCH("5",BK36)),5,IF(ISNUMBER(SEARCH("*8*",BK36)),8,IF(ISNUMBER(SEARCH("*10*",BK36)),10,IF(ISNUMBER(SEARCH("*12*",BK36)),12,IF(ISNUMBER(SEARCH("*20*",BK36)),20)))))</f>
        <v>20</v>
      </c>
      <c r="BP36" s="6">
        <f t="shared" si="47"/>
        <v>20</v>
      </c>
      <c r="BQ36" s="6">
        <f t="shared" si="47"/>
        <v>10</v>
      </c>
      <c r="BR36" s="6"/>
      <c r="BS36" s="6">
        <f t="shared" si="6"/>
        <v>50.5</v>
      </c>
      <c r="BT36" s="6">
        <f t="shared" si="7"/>
        <v>8.5</v>
      </c>
      <c r="BU36" s="6"/>
      <c r="BV36" s="6"/>
      <c r="BW36" s="18" t="s">
        <v>292</v>
      </c>
      <c r="BX36" s="18">
        <f>CORREL($BO$3:$BO$100,$C$3:$C$100)</f>
        <v>0.01597932657</v>
      </c>
      <c r="BY36" s="18"/>
      <c r="BZ36" s="18">
        <v>1.0</v>
      </c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</row>
    <row r="37" ht="15.75" customHeight="1">
      <c r="A37" s="1" t="s">
        <v>131</v>
      </c>
      <c r="B37" s="17">
        <v>150.0</v>
      </c>
      <c r="C37" s="17">
        <v>2.0</v>
      </c>
      <c r="D37" s="17" t="s">
        <v>311</v>
      </c>
      <c r="E37" s="9">
        <v>0.909333</v>
      </c>
      <c r="F37" s="9">
        <v>0.906667</v>
      </c>
      <c r="G37" s="9" t="s">
        <v>85</v>
      </c>
      <c r="H37" s="30">
        <v>0.912000012</v>
      </c>
      <c r="I37" s="30">
        <v>0.913333356</v>
      </c>
      <c r="J37" s="9" t="s">
        <v>85</v>
      </c>
      <c r="K37" s="9">
        <v>0.897333</v>
      </c>
      <c r="L37" s="9">
        <v>0.9</v>
      </c>
      <c r="M37" s="9" t="s">
        <v>85</v>
      </c>
      <c r="N37" s="9">
        <v>0.921333337</v>
      </c>
      <c r="O37" s="9">
        <v>0.926667</v>
      </c>
      <c r="P37" s="9" t="s">
        <v>85</v>
      </c>
      <c r="Q37" s="9">
        <v>0.941333</v>
      </c>
      <c r="R37" s="9">
        <v>0.946667</v>
      </c>
      <c r="S37" s="9" t="s">
        <v>85</v>
      </c>
      <c r="T37" s="9">
        <v>0.937333345</v>
      </c>
      <c r="U37" s="9">
        <v>0.94</v>
      </c>
      <c r="V37" s="9" t="s">
        <v>85</v>
      </c>
      <c r="W37" s="9">
        <v>0.836</v>
      </c>
      <c r="X37" s="9">
        <v>0.84</v>
      </c>
      <c r="Y37" s="9" t="s">
        <v>85</v>
      </c>
      <c r="Z37" s="9">
        <v>0.833333</v>
      </c>
      <c r="AA37" s="9">
        <v>0.813333</v>
      </c>
      <c r="AB37" s="9" t="s">
        <v>85</v>
      </c>
      <c r="AC37" s="30">
        <v>0.918666661</v>
      </c>
      <c r="AD37" s="30">
        <v>0.933333</v>
      </c>
      <c r="AE37" s="9" t="s">
        <v>85</v>
      </c>
      <c r="AF37" s="30">
        <v>0.925333321</v>
      </c>
      <c r="AG37" s="30">
        <v>0.92</v>
      </c>
      <c r="AH37" s="9" t="s">
        <v>85</v>
      </c>
      <c r="AI37" s="9">
        <v>0.832</v>
      </c>
      <c r="AJ37" s="9">
        <v>0.826667</v>
      </c>
      <c r="AK37" s="9" t="s">
        <v>85</v>
      </c>
      <c r="AL37" s="9">
        <v>0.842667</v>
      </c>
      <c r="AM37" s="9">
        <v>0.833333</v>
      </c>
      <c r="AN37" s="9" t="s">
        <v>85</v>
      </c>
      <c r="AO37" s="9">
        <v>0.924</v>
      </c>
      <c r="AP37" s="9">
        <v>0.953333</v>
      </c>
      <c r="AQ37" s="9" t="s">
        <v>85</v>
      </c>
      <c r="AR37" s="30">
        <v>0.931999993</v>
      </c>
      <c r="AS37" s="30">
        <v>0.94</v>
      </c>
      <c r="AT37" s="9" t="s">
        <v>85</v>
      </c>
      <c r="AU37" s="9">
        <v>0.869333</v>
      </c>
      <c r="AV37" s="9">
        <v>0.873333</v>
      </c>
      <c r="AW37" s="9" t="s">
        <v>85</v>
      </c>
      <c r="AX37" s="9">
        <v>0.854667</v>
      </c>
      <c r="AY37" s="9">
        <v>0.853333</v>
      </c>
      <c r="AZ37" s="9" t="s">
        <v>85</v>
      </c>
      <c r="BA37" s="9">
        <v>0.922667</v>
      </c>
      <c r="BB37" s="9">
        <v>0.92</v>
      </c>
      <c r="BC37" s="9" t="s">
        <v>85</v>
      </c>
      <c r="BD37" s="30">
        <v>0.890667</v>
      </c>
      <c r="BE37" s="30">
        <v>0.893333</v>
      </c>
      <c r="BF37" s="9" t="s">
        <v>85</v>
      </c>
      <c r="BG37" s="10" t="s">
        <v>85</v>
      </c>
      <c r="BH37" s="10" t="s">
        <v>85</v>
      </c>
      <c r="BI37" s="9" t="s">
        <v>85</v>
      </c>
      <c r="BJ37" s="6"/>
      <c r="BK37" s="6" t="str">
        <f t="shared" si="2"/>
        <v>12Bo_Fold_Median</v>
      </c>
      <c r="BL37" s="6" t="str">
        <f t="shared" si="3"/>
        <v>8Bo_Fold_Median</v>
      </c>
      <c r="BM37" s="6" t="str">
        <f t="shared" si="4"/>
        <v>8Bo_Fold_Mean</v>
      </c>
      <c r="BN37" s="6"/>
      <c r="BO37" s="6">
        <f t="shared" ref="BO37:BQ37" si="48">IF(ISNUMBER(SEARCH("5",BK37)),5,IF(ISNUMBER(SEARCH("*8*",BK37)),8,IF(ISNUMBER(SEARCH("*10*",BK37)),10,IF(ISNUMBER(SEARCH("*12*",BK37)),12,IF(ISNUMBER(SEARCH("*20*",BK37)),20)))))</f>
        <v>12</v>
      </c>
      <c r="BP37" s="6">
        <f t="shared" si="48"/>
        <v>8</v>
      </c>
      <c r="BQ37" s="6">
        <f t="shared" si="48"/>
        <v>8</v>
      </c>
      <c r="BR37" s="6"/>
      <c r="BS37" s="6">
        <f t="shared" si="6"/>
        <v>65</v>
      </c>
      <c r="BT37" s="6">
        <f t="shared" si="7"/>
        <v>27</v>
      </c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</row>
    <row r="38" ht="15.75" customHeight="1">
      <c r="A38" s="1" t="s">
        <v>132</v>
      </c>
      <c r="B38" s="17">
        <v>150.0</v>
      </c>
      <c r="C38" s="17">
        <v>2.0</v>
      </c>
      <c r="D38" s="17" t="s">
        <v>311</v>
      </c>
      <c r="E38" s="9">
        <v>0.956962</v>
      </c>
      <c r="F38" s="9">
        <v>0.955696</v>
      </c>
      <c r="G38" s="9" t="s">
        <v>85</v>
      </c>
      <c r="H38" s="30">
        <v>0.946835446</v>
      </c>
      <c r="I38" s="30">
        <v>0.946202517</v>
      </c>
      <c r="J38" s="9" t="s">
        <v>85</v>
      </c>
      <c r="K38" s="9">
        <v>0.929747</v>
      </c>
      <c r="L38" s="9">
        <v>0.936709</v>
      </c>
      <c r="M38" s="9" t="s">
        <v>85</v>
      </c>
      <c r="N38" s="9">
        <v>0.945569623</v>
      </c>
      <c r="O38" s="9">
        <v>0.946203</v>
      </c>
      <c r="P38" s="9" t="s">
        <v>85</v>
      </c>
      <c r="Q38" s="9">
        <v>0.947468</v>
      </c>
      <c r="R38" s="9">
        <v>0.946203</v>
      </c>
      <c r="S38" s="9" t="s">
        <v>85</v>
      </c>
      <c r="T38" s="9">
        <v>0.949367106</v>
      </c>
      <c r="U38" s="9">
        <v>0.955696</v>
      </c>
      <c r="V38" s="9" t="s">
        <v>85</v>
      </c>
      <c r="W38" s="9">
        <v>0.89557</v>
      </c>
      <c r="X38" s="9">
        <v>0.89557</v>
      </c>
      <c r="Y38" s="9" t="s">
        <v>85</v>
      </c>
      <c r="Z38" s="9">
        <v>0.898101</v>
      </c>
      <c r="AA38" s="9">
        <v>0.898734</v>
      </c>
      <c r="AB38" s="9" t="s">
        <v>85</v>
      </c>
      <c r="AC38" s="30">
        <v>0.937341774</v>
      </c>
      <c r="AD38" s="30">
        <v>0.936709</v>
      </c>
      <c r="AE38" s="9" t="s">
        <v>85</v>
      </c>
      <c r="AF38" s="30">
        <v>0.940506315</v>
      </c>
      <c r="AG38" s="30">
        <v>0.939873</v>
      </c>
      <c r="AH38" s="9" t="s">
        <v>85</v>
      </c>
      <c r="AI38" s="9">
        <v>0.913291</v>
      </c>
      <c r="AJ38" s="9">
        <v>0.908228</v>
      </c>
      <c r="AK38" s="9" t="s">
        <v>85</v>
      </c>
      <c r="AL38" s="9">
        <v>0.908861</v>
      </c>
      <c r="AM38" s="9">
        <v>0.914557</v>
      </c>
      <c r="AN38" s="9" t="s">
        <v>85</v>
      </c>
      <c r="AO38" s="9">
        <v>0.932278</v>
      </c>
      <c r="AP38" s="9">
        <v>0.93038</v>
      </c>
      <c r="AQ38" s="9" t="s">
        <v>85</v>
      </c>
      <c r="AR38" s="30">
        <v>0.933544314</v>
      </c>
      <c r="AS38" s="30">
        <v>0.93038</v>
      </c>
      <c r="AT38" s="9" t="s">
        <v>85</v>
      </c>
      <c r="AU38" s="9">
        <v>0.906329</v>
      </c>
      <c r="AV38" s="9">
        <v>0.917722</v>
      </c>
      <c r="AW38" s="9" t="s">
        <v>85</v>
      </c>
      <c r="AX38" s="9">
        <v>0.90443</v>
      </c>
      <c r="AY38" s="9">
        <v>0.914557</v>
      </c>
      <c r="AZ38" s="9" t="s">
        <v>85</v>
      </c>
      <c r="BA38" s="9">
        <v>0.913924</v>
      </c>
      <c r="BB38" s="9">
        <v>0.920886</v>
      </c>
      <c r="BC38" s="9" t="s">
        <v>85</v>
      </c>
      <c r="BD38" s="30">
        <v>0.912658</v>
      </c>
      <c r="BE38" s="30">
        <v>0.920886</v>
      </c>
      <c r="BF38" s="9" t="s">
        <v>85</v>
      </c>
      <c r="BG38" s="10" t="s">
        <v>85</v>
      </c>
      <c r="BH38" s="10" t="s">
        <v>85</v>
      </c>
      <c r="BI38" s="9" t="s">
        <v>85</v>
      </c>
      <c r="BJ38" s="6"/>
      <c r="BK38" s="6" t="str">
        <f t="shared" si="2"/>
        <v>5Bo_Fold_Mean</v>
      </c>
      <c r="BL38" s="6" t="str">
        <f t="shared" si="3"/>
        <v>5Bo_Fold_Median</v>
      </c>
      <c r="BM38" s="6" t="str">
        <f t="shared" si="4"/>
        <v>5Bo_Fold_Median</v>
      </c>
      <c r="BN38" s="6"/>
      <c r="BO38" s="6">
        <f t="shared" ref="BO38:BQ38" si="49">IF(ISNUMBER(SEARCH("5",BK38)),5,IF(ISNUMBER(SEARCH("*8*",BK38)),8,IF(ISNUMBER(SEARCH("*10*",BK38)),10,IF(ISNUMBER(SEARCH("*12*",BK38)),12,IF(ISNUMBER(SEARCH("*20*",BK38)),20)))))</f>
        <v>5</v>
      </c>
      <c r="BP38" s="6">
        <f t="shared" si="49"/>
        <v>5</v>
      </c>
      <c r="BQ38" s="6">
        <f t="shared" si="49"/>
        <v>5</v>
      </c>
      <c r="BR38" s="6"/>
      <c r="BS38" s="6">
        <f t="shared" si="6"/>
        <v>65</v>
      </c>
      <c r="BT38" s="6">
        <f t="shared" si="7"/>
        <v>86.5</v>
      </c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</row>
    <row r="39" ht="15.75" customHeight="1">
      <c r="A39" s="1" t="s">
        <v>133</v>
      </c>
      <c r="B39" s="17">
        <v>150.0</v>
      </c>
      <c r="C39" s="17">
        <v>2.0</v>
      </c>
      <c r="D39" s="17" t="s">
        <v>311</v>
      </c>
      <c r="E39" s="9">
        <v>0.968987</v>
      </c>
      <c r="F39" s="9">
        <v>0.96519</v>
      </c>
      <c r="G39" s="9" t="s">
        <v>85</v>
      </c>
      <c r="H39" s="30">
        <v>0.961392403</v>
      </c>
      <c r="I39" s="30">
        <v>0.958860755</v>
      </c>
      <c r="J39" s="9" t="s">
        <v>85</v>
      </c>
      <c r="K39" s="9">
        <v>0.944304</v>
      </c>
      <c r="L39" s="9">
        <v>0.946203</v>
      </c>
      <c r="M39" s="9" t="s">
        <v>85</v>
      </c>
      <c r="N39" s="9">
        <v>0.958227849</v>
      </c>
      <c r="O39" s="9">
        <v>0.96519</v>
      </c>
      <c r="P39" s="9" t="s">
        <v>85</v>
      </c>
      <c r="Q39" s="9">
        <v>0.974051</v>
      </c>
      <c r="R39" s="9">
        <v>0.977848</v>
      </c>
      <c r="S39" s="9" t="s">
        <v>85</v>
      </c>
      <c r="T39" s="9">
        <v>0.972151887</v>
      </c>
      <c r="U39" s="9">
        <v>0.974684</v>
      </c>
      <c r="V39" s="9" t="s">
        <v>85</v>
      </c>
      <c r="W39" s="9">
        <v>0.946203</v>
      </c>
      <c r="X39" s="9">
        <v>0.949367</v>
      </c>
      <c r="Y39" s="9" t="s">
        <v>85</v>
      </c>
      <c r="Z39" s="9">
        <v>0.960127</v>
      </c>
      <c r="AA39" s="9">
        <v>0.958861</v>
      </c>
      <c r="AB39" s="9" t="s">
        <v>85</v>
      </c>
      <c r="AC39" s="30">
        <v>0.98227849</v>
      </c>
      <c r="AD39" s="30">
        <v>0.987342</v>
      </c>
      <c r="AE39" s="9" t="s">
        <v>85</v>
      </c>
      <c r="AF39" s="30">
        <v>0.977848089</v>
      </c>
      <c r="AG39" s="30">
        <v>0.981013</v>
      </c>
      <c r="AH39" s="9" t="s">
        <v>85</v>
      </c>
      <c r="AI39" s="9">
        <v>0.975316</v>
      </c>
      <c r="AJ39" s="9">
        <v>0.974684</v>
      </c>
      <c r="AK39" s="9" t="s">
        <v>85</v>
      </c>
      <c r="AL39" s="9">
        <v>0.968354</v>
      </c>
      <c r="AM39" s="9">
        <v>0.968354</v>
      </c>
      <c r="AN39" s="9" t="s">
        <v>85</v>
      </c>
      <c r="AO39" s="9">
        <v>0.968354</v>
      </c>
      <c r="AP39" s="9">
        <v>0.96519</v>
      </c>
      <c r="AQ39" s="9" t="s">
        <v>85</v>
      </c>
      <c r="AR39" s="30">
        <v>0.966455686</v>
      </c>
      <c r="AS39" s="30">
        <v>0.968354</v>
      </c>
      <c r="AT39" s="9" t="s">
        <v>85</v>
      </c>
      <c r="AU39" s="9">
        <v>0.982911</v>
      </c>
      <c r="AV39" s="9">
        <v>0.987342</v>
      </c>
      <c r="AW39" s="9" t="s">
        <v>85</v>
      </c>
      <c r="AX39" s="9">
        <v>0.982278</v>
      </c>
      <c r="AY39" s="9">
        <v>0.987342</v>
      </c>
      <c r="AZ39" s="9" t="s">
        <v>85</v>
      </c>
      <c r="BA39" s="9">
        <v>0.967089</v>
      </c>
      <c r="BB39" s="9">
        <v>0.968354</v>
      </c>
      <c r="BC39" s="9" t="s">
        <v>85</v>
      </c>
      <c r="BD39" s="30">
        <v>0.961392</v>
      </c>
      <c r="BE39" s="30">
        <v>0.96519</v>
      </c>
      <c r="BF39" s="9" t="s">
        <v>85</v>
      </c>
      <c r="BG39" s="10" t="s">
        <v>85</v>
      </c>
      <c r="BH39" s="10" t="s">
        <v>85</v>
      </c>
      <c r="BI39" s="9" t="s">
        <v>85</v>
      </c>
      <c r="BJ39" s="6"/>
      <c r="BK39" s="6" t="str">
        <f t="shared" si="2"/>
        <v>10Bo_Fold_Median</v>
      </c>
      <c r="BL39" s="6" t="str">
        <f t="shared" si="3"/>
        <v>10Bo_Fold_Median</v>
      </c>
      <c r="BM39" s="6" t="str">
        <f t="shared" si="4"/>
        <v>10Bo_Fold_Median</v>
      </c>
      <c r="BN39" s="6"/>
      <c r="BO39" s="6">
        <f t="shared" ref="BO39:BQ39" si="50">IF(ISNUMBER(SEARCH("5",BK39)),5,IF(ISNUMBER(SEARCH("*8*",BK39)),8,IF(ISNUMBER(SEARCH("*10*",BK39)),10,IF(ISNUMBER(SEARCH("*12*",BK39)),12,IF(ISNUMBER(SEARCH("*20*",BK39)),20)))))</f>
        <v>10</v>
      </c>
      <c r="BP39" s="6">
        <f t="shared" si="50"/>
        <v>10</v>
      </c>
      <c r="BQ39" s="6">
        <f t="shared" si="50"/>
        <v>10</v>
      </c>
      <c r="BR39" s="6"/>
      <c r="BS39" s="6">
        <f t="shared" si="6"/>
        <v>65</v>
      </c>
      <c r="BT39" s="6">
        <f t="shared" si="7"/>
        <v>46.5</v>
      </c>
      <c r="BU39" s="6"/>
      <c r="BV39" s="6"/>
      <c r="BW39" s="6">
        <f>CORREL(BT3:BT100,BS3:BS100)</f>
        <v>0.07366524087</v>
      </c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</row>
    <row r="40" ht="15.75" customHeight="1">
      <c r="A40" s="1" t="s">
        <v>134</v>
      </c>
      <c r="B40" s="17">
        <v>150.0</v>
      </c>
      <c r="C40" s="17">
        <v>2.0</v>
      </c>
      <c r="D40" s="17" t="s">
        <v>311</v>
      </c>
      <c r="E40" s="9">
        <v>0.961905</v>
      </c>
      <c r="F40" s="9">
        <v>0.968254</v>
      </c>
      <c r="G40" s="9" t="s">
        <v>85</v>
      </c>
      <c r="H40" s="30">
        <v>0.965079367</v>
      </c>
      <c r="I40" s="30">
        <v>0.965079367</v>
      </c>
      <c r="J40" s="9" t="s">
        <v>85</v>
      </c>
      <c r="K40" s="9">
        <v>0.940317</v>
      </c>
      <c r="L40" s="9">
        <v>0.942857</v>
      </c>
      <c r="M40" s="9" t="s">
        <v>85</v>
      </c>
      <c r="N40" s="9">
        <v>0.93650794</v>
      </c>
      <c r="O40" s="9">
        <v>0.936508</v>
      </c>
      <c r="P40" s="9" t="s">
        <v>85</v>
      </c>
      <c r="Q40" s="9">
        <v>0.936508</v>
      </c>
      <c r="R40" s="9">
        <v>0.936508</v>
      </c>
      <c r="S40" s="9" t="s">
        <v>85</v>
      </c>
      <c r="T40" s="9">
        <v>0.939047623</v>
      </c>
      <c r="U40" s="9">
        <v>0.936508</v>
      </c>
      <c r="V40" s="9" t="s">
        <v>85</v>
      </c>
      <c r="W40" s="9">
        <v>0.934603</v>
      </c>
      <c r="X40" s="9">
        <v>0.936508</v>
      </c>
      <c r="Y40" s="9" t="s">
        <v>85</v>
      </c>
      <c r="Z40" s="9">
        <v>0.931429</v>
      </c>
      <c r="AA40" s="9">
        <v>0.933333</v>
      </c>
      <c r="AB40" s="9" t="s">
        <v>85</v>
      </c>
      <c r="AC40" s="30">
        <v>0.951746035</v>
      </c>
      <c r="AD40" s="30">
        <v>0.949206</v>
      </c>
      <c r="AE40" s="9" t="s">
        <v>85</v>
      </c>
      <c r="AF40" s="30">
        <v>0.951746035</v>
      </c>
      <c r="AG40" s="30">
        <v>0.952381</v>
      </c>
      <c r="AH40" s="9" t="s">
        <v>85</v>
      </c>
      <c r="AI40" s="9">
        <v>0.912381</v>
      </c>
      <c r="AJ40" s="9">
        <v>0.914286</v>
      </c>
      <c r="AK40" s="9" t="s">
        <v>85</v>
      </c>
      <c r="AL40" s="9">
        <v>0.914921</v>
      </c>
      <c r="AM40" s="9">
        <v>0.91746</v>
      </c>
      <c r="AN40" s="9" t="s">
        <v>85</v>
      </c>
      <c r="AO40" s="9">
        <v>0.953651</v>
      </c>
      <c r="AP40" s="9">
        <v>0.95873</v>
      </c>
      <c r="AQ40" s="9" t="s">
        <v>85</v>
      </c>
      <c r="AR40" s="30">
        <v>0.947936511</v>
      </c>
      <c r="AS40" s="30">
        <v>0.946032</v>
      </c>
      <c r="AT40" s="9" t="s">
        <v>85</v>
      </c>
      <c r="AU40" s="9">
        <v>0.905397</v>
      </c>
      <c r="AV40" s="9">
        <v>0.91746</v>
      </c>
      <c r="AW40" s="9" t="s">
        <v>85</v>
      </c>
      <c r="AX40" s="9">
        <v>0.909206</v>
      </c>
      <c r="AY40" s="9">
        <v>0.911111</v>
      </c>
      <c r="AZ40" s="9" t="s">
        <v>85</v>
      </c>
      <c r="BA40" s="9">
        <v>0.945397</v>
      </c>
      <c r="BB40" s="9">
        <v>0.946032</v>
      </c>
      <c r="BC40" s="9" t="s">
        <v>85</v>
      </c>
      <c r="BD40" s="30">
        <v>0.913016</v>
      </c>
      <c r="BE40" s="30">
        <v>0.91746</v>
      </c>
      <c r="BF40" s="9" t="s">
        <v>85</v>
      </c>
      <c r="BG40" s="10" t="s">
        <v>85</v>
      </c>
      <c r="BH40" s="10" t="s">
        <v>85</v>
      </c>
      <c r="BI40" s="9" t="s">
        <v>85</v>
      </c>
      <c r="BJ40" s="6"/>
      <c r="BK40" s="6" t="str">
        <f t="shared" si="2"/>
        <v>5Bo_Fold_Median</v>
      </c>
      <c r="BL40" s="6" t="str">
        <f t="shared" si="3"/>
        <v>5BoN_Fold_Mean</v>
      </c>
      <c r="BM40" s="6" t="str">
        <f t="shared" si="4"/>
        <v>5BoN_Fold_Mean</v>
      </c>
      <c r="BN40" s="6"/>
      <c r="BO40" s="6">
        <f t="shared" ref="BO40:BQ40" si="51">IF(ISNUMBER(SEARCH("5",BK40)),5,IF(ISNUMBER(SEARCH("*8*",BK40)),8,IF(ISNUMBER(SEARCH("*10*",BK40)),10,IF(ISNUMBER(SEARCH("*12*",BK40)),12,IF(ISNUMBER(SEARCH("*20*",BK40)),20)))))</f>
        <v>5</v>
      </c>
      <c r="BP40" s="6">
        <f t="shared" si="51"/>
        <v>5</v>
      </c>
      <c r="BQ40" s="6">
        <f t="shared" si="51"/>
        <v>5</v>
      </c>
      <c r="BR40" s="6"/>
      <c r="BS40" s="6">
        <f t="shared" si="6"/>
        <v>65</v>
      </c>
      <c r="BT40" s="6">
        <f t="shared" si="7"/>
        <v>86.5</v>
      </c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</row>
    <row r="41" ht="15.75" customHeight="1">
      <c r="A41" s="1" t="s">
        <v>135</v>
      </c>
      <c r="B41" s="17">
        <v>431.0</v>
      </c>
      <c r="C41" s="17">
        <v>2.0</v>
      </c>
      <c r="D41" s="17" t="s">
        <v>302</v>
      </c>
      <c r="E41" s="9">
        <v>0.548571</v>
      </c>
      <c r="F41" s="9">
        <v>0.542857</v>
      </c>
      <c r="G41" s="9" t="s">
        <v>85</v>
      </c>
      <c r="H41" s="30">
        <v>0.466666675</v>
      </c>
      <c r="I41" s="30">
        <v>0.45714286</v>
      </c>
      <c r="J41" s="9" t="s">
        <v>85</v>
      </c>
      <c r="K41" s="9">
        <v>0.502857</v>
      </c>
      <c r="L41" s="9">
        <v>0.514286</v>
      </c>
      <c r="M41" s="9" t="s">
        <v>85</v>
      </c>
      <c r="N41" s="9">
        <v>0.500952393</v>
      </c>
      <c r="O41" s="9">
        <v>0.495238</v>
      </c>
      <c r="P41" s="9" t="s">
        <v>85</v>
      </c>
      <c r="Q41" s="9">
        <v>0.550476</v>
      </c>
      <c r="R41" s="9">
        <v>0.561905</v>
      </c>
      <c r="S41" s="9" t="s">
        <v>85</v>
      </c>
      <c r="T41" s="9">
        <v>0.529523832</v>
      </c>
      <c r="U41" s="9">
        <v>0.533333</v>
      </c>
      <c r="V41" s="9" t="s">
        <v>85</v>
      </c>
      <c r="W41" s="9">
        <v>0.546667</v>
      </c>
      <c r="X41" s="9">
        <v>0.561905</v>
      </c>
      <c r="Y41" s="9" t="s">
        <v>85</v>
      </c>
      <c r="Z41" s="9">
        <v>0.558095</v>
      </c>
      <c r="AA41" s="9">
        <v>0.561905</v>
      </c>
      <c r="AB41" s="9" t="s">
        <v>85</v>
      </c>
      <c r="AC41" s="30">
        <v>0.580952406</v>
      </c>
      <c r="AD41" s="30">
        <v>0.571429</v>
      </c>
      <c r="AE41" s="9" t="s">
        <v>85</v>
      </c>
      <c r="AF41" s="30">
        <v>0.567619073</v>
      </c>
      <c r="AG41" s="30">
        <v>0.571429</v>
      </c>
      <c r="AH41" s="9" t="s">
        <v>85</v>
      </c>
      <c r="AI41" s="9">
        <v>0.622857</v>
      </c>
      <c r="AJ41" s="9">
        <v>0.628571</v>
      </c>
      <c r="AK41" s="9" t="s">
        <v>85</v>
      </c>
      <c r="AL41" s="9">
        <v>0.624762</v>
      </c>
      <c r="AM41" s="9">
        <v>0.647619</v>
      </c>
      <c r="AN41" s="9" t="s">
        <v>85</v>
      </c>
      <c r="AO41" s="9">
        <v>0.552381</v>
      </c>
      <c r="AP41" s="9">
        <v>0.552381</v>
      </c>
      <c r="AQ41" s="9" t="s">
        <v>85</v>
      </c>
      <c r="AR41" s="30">
        <v>0.556190503</v>
      </c>
      <c r="AS41" s="30">
        <v>0.561905</v>
      </c>
      <c r="AT41" s="9" t="s">
        <v>85</v>
      </c>
      <c r="AU41" s="9">
        <v>0.598095</v>
      </c>
      <c r="AV41" s="9">
        <v>0.609524</v>
      </c>
      <c r="AW41" s="9" t="s">
        <v>85</v>
      </c>
      <c r="AX41" s="9">
        <v>0.624762</v>
      </c>
      <c r="AY41" s="9">
        <v>0.628571</v>
      </c>
      <c r="AZ41" s="9" t="s">
        <v>85</v>
      </c>
      <c r="BA41" s="9">
        <v>0.626667</v>
      </c>
      <c r="BB41" s="9">
        <v>0.619048</v>
      </c>
      <c r="BC41" s="9" t="s">
        <v>85</v>
      </c>
      <c r="BD41" s="30">
        <v>0.605714</v>
      </c>
      <c r="BE41" s="30">
        <v>0.609524</v>
      </c>
      <c r="BF41" s="9" t="s">
        <v>85</v>
      </c>
      <c r="BG41" s="10" t="s">
        <v>85</v>
      </c>
      <c r="BH41" s="10" t="s">
        <v>85</v>
      </c>
      <c r="BI41" s="9" t="s">
        <v>85</v>
      </c>
      <c r="BJ41" s="6"/>
      <c r="BK41" s="6" t="str">
        <f t="shared" si="2"/>
        <v>10VB_Fold_Median</v>
      </c>
      <c r="BL41" s="6" t="str">
        <f t="shared" si="3"/>
        <v>10V_Fold_Median</v>
      </c>
      <c r="BM41" s="6" t="str">
        <f t="shared" si="4"/>
        <v>10V_Fold_Median</v>
      </c>
      <c r="BN41" s="6"/>
      <c r="BO41" s="6">
        <f t="shared" ref="BO41:BQ41" si="52">IF(ISNUMBER(SEARCH("5",BK41)),5,IF(ISNUMBER(SEARCH("*8*",BK41)),8,IF(ISNUMBER(SEARCH("*10*",BK41)),10,IF(ISNUMBER(SEARCH("*12*",BK41)),12,IF(ISNUMBER(SEARCH("*20*",BK41)),20)))))</f>
        <v>10</v>
      </c>
      <c r="BP41" s="6">
        <f t="shared" si="52"/>
        <v>10</v>
      </c>
      <c r="BQ41" s="6">
        <f t="shared" si="52"/>
        <v>10</v>
      </c>
      <c r="BR41" s="6"/>
      <c r="BS41" s="6">
        <f t="shared" si="6"/>
        <v>42</v>
      </c>
      <c r="BT41" s="6">
        <f t="shared" si="7"/>
        <v>46.5</v>
      </c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</row>
    <row r="42" ht="15.75" customHeight="1">
      <c r="A42" s="1" t="s">
        <v>136</v>
      </c>
      <c r="B42" s="17">
        <v>1092.0</v>
      </c>
      <c r="C42" s="17">
        <v>5.0</v>
      </c>
      <c r="D42" s="17" t="s">
        <v>311</v>
      </c>
      <c r="E42" s="9">
        <v>0.385065</v>
      </c>
      <c r="F42" s="9">
        <v>0.38961</v>
      </c>
      <c r="G42" s="9" t="s">
        <v>85</v>
      </c>
      <c r="H42" s="30">
        <v>0.342207795</v>
      </c>
      <c r="I42" s="30">
        <v>0.344155848</v>
      </c>
      <c r="J42" s="9" t="s">
        <v>85</v>
      </c>
      <c r="K42" s="9">
        <v>0.362338</v>
      </c>
      <c r="L42" s="9">
        <v>0.357143</v>
      </c>
      <c r="M42" s="9" t="s">
        <v>85</v>
      </c>
      <c r="N42" s="9">
        <v>0.348701298</v>
      </c>
      <c r="O42" s="9">
        <v>0.337662</v>
      </c>
      <c r="P42" s="9" t="s">
        <v>85</v>
      </c>
      <c r="Q42" s="9">
        <v>0.401948</v>
      </c>
      <c r="R42" s="9">
        <v>0.399351</v>
      </c>
      <c r="S42" s="9" t="s">
        <v>85</v>
      </c>
      <c r="T42" s="9">
        <v>0.411038959</v>
      </c>
      <c r="U42" s="9">
        <v>0.409091</v>
      </c>
      <c r="V42" s="9" t="s">
        <v>85</v>
      </c>
      <c r="W42" s="9">
        <v>0.414286</v>
      </c>
      <c r="X42" s="9">
        <v>0.405844</v>
      </c>
      <c r="Y42" s="9" t="s">
        <v>85</v>
      </c>
      <c r="Z42" s="9">
        <v>0.382468</v>
      </c>
      <c r="AA42" s="9">
        <v>0.38961</v>
      </c>
      <c r="AB42" s="9" t="s">
        <v>85</v>
      </c>
      <c r="AC42" s="30">
        <v>0.381818187</v>
      </c>
      <c r="AD42" s="30">
        <v>0.366883</v>
      </c>
      <c r="AE42" s="9" t="s">
        <v>85</v>
      </c>
      <c r="AF42" s="30">
        <v>0.382467532</v>
      </c>
      <c r="AG42" s="30">
        <v>0.418831</v>
      </c>
      <c r="AH42" s="9" t="s">
        <v>85</v>
      </c>
      <c r="AI42" s="9">
        <v>0.365584</v>
      </c>
      <c r="AJ42" s="9">
        <v>0.405844</v>
      </c>
      <c r="AK42" s="9" t="s">
        <v>85</v>
      </c>
      <c r="AL42" s="9">
        <v>0.422727</v>
      </c>
      <c r="AM42" s="9">
        <v>0.422078</v>
      </c>
      <c r="AN42" s="9" t="s">
        <v>85</v>
      </c>
      <c r="AO42" s="9">
        <v>0.406494</v>
      </c>
      <c r="AP42" s="9">
        <v>0.431818</v>
      </c>
      <c r="AQ42" s="9" t="s">
        <v>85</v>
      </c>
      <c r="AR42" s="30">
        <v>0.41948052</v>
      </c>
      <c r="AS42" s="30">
        <v>0.422078</v>
      </c>
      <c r="AT42" s="9" t="s">
        <v>85</v>
      </c>
      <c r="AU42" s="9">
        <v>0.390909</v>
      </c>
      <c r="AV42" s="9">
        <v>0.396104</v>
      </c>
      <c r="AW42" s="9" t="s">
        <v>85</v>
      </c>
      <c r="AX42" s="9">
        <v>0.387662</v>
      </c>
      <c r="AY42" s="9">
        <v>0.405844</v>
      </c>
      <c r="AZ42" s="9" t="s">
        <v>85</v>
      </c>
      <c r="BA42" s="9">
        <v>0.398701</v>
      </c>
      <c r="BB42" s="9">
        <v>0.409091</v>
      </c>
      <c r="BC42" s="9" t="s">
        <v>85</v>
      </c>
      <c r="BD42" s="30">
        <v>0.423377</v>
      </c>
      <c r="BE42" s="30">
        <v>0.454545</v>
      </c>
      <c r="BF42" s="9" t="s">
        <v>85</v>
      </c>
      <c r="BG42" s="10" t="s">
        <v>85</v>
      </c>
      <c r="BH42" s="10" t="s">
        <v>85</v>
      </c>
      <c r="BI42" s="9" t="s">
        <v>85</v>
      </c>
      <c r="BJ42" s="6"/>
      <c r="BK42" s="6" t="str">
        <f t="shared" si="2"/>
        <v>20V_Fold_Median</v>
      </c>
      <c r="BL42" s="6" t="str">
        <f t="shared" si="3"/>
        <v>12Bo_Fold_Median</v>
      </c>
      <c r="BM42" s="6" t="str">
        <f t="shared" si="4"/>
        <v>20V_Fold_Mean</v>
      </c>
      <c r="BN42" s="6"/>
      <c r="BO42" s="6">
        <f t="shared" ref="BO42:BQ42" si="53">IF(ISNUMBER(SEARCH("5",BK42)),5,IF(ISNUMBER(SEARCH("*8*",BK42)),8,IF(ISNUMBER(SEARCH("*10*",BK42)),10,IF(ISNUMBER(SEARCH("*12*",BK42)),12,IF(ISNUMBER(SEARCH("*20*",BK42)),20)))))</f>
        <v>20</v>
      </c>
      <c r="BP42" s="6">
        <f t="shared" si="53"/>
        <v>12</v>
      </c>
      <c r="BQ42" s="6">
        <f t="shared" si="53"/>
        <v>20</v>
      </c>
      <c r="BR42" s="6"/>
      <c r="BS42" s="6">
        <f t="shared" si="6"/>
        <v>13</v>
      </c>
      <c r="BT42" s="6">
        <f t="shared" si="7"/>
        <v>8.5</v>
      </c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</row>
    <row r="43" ht="15.75" customHeight="1">
      <c r="A43" s="1" t="s">
        <v>137</v>
      </c>
      <c r="B43" s="17">
        <v>512.0</v>
      </c>
      <c r="C43" s="17">
        <v>2.0</v>
      </c>
      <c r="D43" s="17" t="s">
        <v>300</v>
      </c>
      <c r="E43" s="9">
        <v>0.553125</v>
      </c>
      <c r="F43" s="9">
        <v>0.5625</v>
      </c>
      <c r="G43" s="9" t="s">
        <v>85</v>
      </c>
      <c r="H43" s="30">
        <v>0.565625</v>
      </c>
      <c r="I43" s="30">
        <v>0.59375</v>
      </c>
      <c r="J43" s="9" t="s">
        <v>85</v>
      </c>
      <c r="K43" s="9">
        <v>0.525</v>
      </c>
      <c r="L43" s="9">
        <v>0.53125</v>
      </c>
      <c r="M43" s="9" t="s">
        <v>85</v>
      </c>
      <c r="N43" s="9">
        <v>0.575</v>
      </c>
      <c r="O43" s="9">
        <v>0.578125</v>
      </c>
      <c r="P43" s="9" t="s">
        <v>85</v>
      </c>
      <c r="Q43" s="9">
        <v>0.546875</v>
      </c>
      <c r="R43" s="9">
        <v>0.546875</v>
      </c>
      <c r="S43" s="9" t="s">
        <v>85</v>
      </c>
      <c r="T43" s="9">
        <v>0.5375</v>
      </c>
      <c r="U43" s="9">
        <v>0.53125</v>
      </c>
      <c r="V43" s="9" t="s">
        <v>85</v>
      </c>
      <c r="W43" s="9">
        <v>0.565625</v>
      </c>
      <c r="X43" s="9">
        <v>0.5625</v>
      </c>
      <c r="Y43" s="9" t="s">
        <v>85</v>
      </c>
      <c r="Z43" s="9">
        <v>0.584375</v>
      </c>
      <c r="AA43" s="9">
        <v>0.59375</v>
      </c>
      <c r="AB43" s="9" t="s">
        <v>85</v>
      </c>
      <c r="AC43" s="30">
        <v>0.578125</v>
      </c>
      <c r="AD43" s="30">
        <v>0.578125</v>
      </c>
      <c r="AE43" s="9" t="s">
        <v>85</v>
      </c>
      <c r="AF43" s="30">
        <v>0.5875</v>
      </c>
      <c r="AG43" s="30">
        <v>0.59375</v>
      </c>
      <c r="AH43" s="9" t="s">
        <v>85</v>
      </c>
      <c r="AI43" s="9">
        <v>0.603125</v>
      </c>
      <c r="AJ43" s="9">
        <v>0.59375</v>
      </c>
      <c r="AK43" s="9" t="s">
        <v>85</v>
      </c>
      <c r="AL43" s="9">
        <v>0.584375</v>
      </c>
      <c r="AM43" s="9">
        <v>0.59375</v>
      </c>
      <c r="AN43" s="9" t="s">
        <v>85</v>
      </c>
      <c r="AO43" s="9">
        <v>0.578125</v>
      </c>
      <c r="AP43" s="9">
        <v>0.59375</v>
      </c>
      <c r="AQ43" s="9" t="s">
        <v>85</v>
      </c>
      <c r="AR43" s="30">
        <v>0.559375</v>
      </c>
      <c r="AS43" s="30">
        <v>0.546875</v>
      </c>
      <c r="AT43" s="9" t="s">
        <v>85</v>
      </c>
      <c r="AU43" s="9">
        <v>0.615625</v>
      </c>
      <c r="AV43" s="9">
        <v>0.609375</v>
      </c>
      <c r="AW43" s="9" t="s">
        <v>85</v>
      </c>
      <c r="AX43" s="9">
        <v>0.61875</v>
      </c>
      <c r="AY43" s="9">
        <v>0.609375</v>
      </c>
      <c r="AZ43" s="9" t="s">
        <v>85</v>
      </c>
      <c r="BA43" s="9">
        <v>0.55625</v>
      </c>
      <c r="BB43" s="9">
        <v>0.59375</v>
      </c>
      <c r="BC43" s="9" t="s">
        <v>85</v>
      </c>
      <c r="BD43" s="30">
        <v>0.565625</v>
      </c>
      <c r="BE43" s="30">
        <v>0.59375</v>
      </c>
      <c r="BF43" s="9" t="s">
        <v>85</v>
      </c>
      <c r="BG43" s="10" t="s">
        <v>85</v>
      </c>
      <c r="BH43" s="10" t="s">
        <v>85</v>
      </c>
      <c r="BI43" s="9" t="s">
        <v>85</v>
      </c>
      <c r="BJ43" s="6"/>
      <c r="BK43" s="6" t="str">
        <f t="shared" si="2"/>
        <v>12VB_Fold_Mean</v>
      </c>
      <c r="BL43" s="6" t="str">
        <f t="shared" si="3"/>
        <v>12V_Fold_Mean</v>
      </c>
      <c r="BM43" s="6" t="str">
        <f t="shared" si="4"/>
        <v>12V_Fold_Median</v>
      </c>
      <c r="BN43" s="6"/>
      <c r="BO43" s="6">
        <f t="shared" ref="BO43:BQ43" si="54">IF(ISNUMBER(SEARCH("5",BK43)),5,IF(ISNUMBER(SEARCH("*8*",BK43)),8,IF(ISNUMBER(SEARCH("*10*",BK43)),10,IF(ISNUMBER(SEARCH("*12*",BK43)),12,IF(ISNUMBER(SEARCH("*20*",BK43)),20)))))</f>
        <v>12</v>
      </c>
      <c r="BP43" s="6">
        <f t="shared" si="54"/>
        <v>12</v>
      </c>
      <c r="BQ43" s="6">
        <f t="shared" si="54"/>
        <v>12</v>
      </c>
      <c r="BR43" s="6"/>
      <c r="BS43" s="6">
        <f t="shared" si="6"/>
        <v>33</v>
      </c>
      <c r="BT43" s="6">
        <f t="shared" si="7"/>
        <v>27</v>
      </c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</row>
    <row r="44" ht="15.75" customHeight="1">
      <c r="A44" s="1" t="s">
        <v>138</v>
      </c>
      <c r="B44" s="17">
        <v>3000.0</v>
      </c>
      <c r="C44" s="17">
        <v>2.0</v>
      </c>
      <c r="D44" s="17" t="s">
        <v>299</v>
      </c>
      <c r="E44" s="9">
        <v>0.754622</v>
      </c>
      <c r="F44" s="9">
        <v>0.798319</v>
      </c>
      <c r="G44" s="9" t="s">
        <v>85</v>
      </c>
      <c r="H44" s="30">
        <v>0.768067241</v>
      </c>
      <c r="I44" s="30">
        <v>0.773109257</v>
      </c>
      <c r="J44" s="9" t="s">
        <v>85</v>
      </c>
      <c r="K44" s="9">
        <v>0.715966</v>
      </c>
      <c r="L44" s="9">
        <v>0.722689</v>
      </c>
      <c r="M44" s="9" t="s">
        <v>85</v>
      </c>
      <c r="N44" s="9">
        <v>0.668907583</v>
      </c>
      <c r="O44" s="9">
        <v>0.697479</v>
      </c>
      <c r="P44" s="9" t="s">
        <v>85</v>
      </c>
      <c r="Q44" s="9">
        <v>0.756303</v>
      </c>
      <c r="R44" s="9">
        <v>0.806723</v>
      </c>
      <c r="S44" s="9" t="s">
        <v>85</v>
      </c>
      <c r="T44" s="9">
        <v>0.806722701</v>
      </c>
      <c r="U44" s="9">
        <v>0.831933</v>
      </c>
      <c r="V44" s="9" t="s">
        <v>85</v>
      </c>
      <c r="W44" s="9">
        <v>0.731092</v>
      </c>
      <c r="X44" s="9">
        <v>0.731092</v>
      </c>
      <c r="Y44" s="9" t="s">
        <v>85</v>
      </c>
      <c r="Z44" s="9">
        <v>0.752941</v>
      </c>
      <c r="AA44" s="9">
        <v>0.756303</v>
      </c>
      <c r="AB44" s="9" t="s">
        <v>85</v>
      </c>
      <c r="AC44" s="30">
        <v>0.831932783</v>
      </c>
      <c r="AD44" s="30">
        <v>0.831933</v>
      </c>
      <c r="AE44" s="9" t="s">
        <v>85</v>
      </c>
      <c r="AF44" s="30">
        <v>0.831932783</v>
      </c>
      <c r="AG44" s="30">
        <v>0.840336</v>
      </c>
      <c r="AH44" s="9" t="s">
        <v>85</v>
      </c>
      <c r="AI44" s="9">
        <v>0.660504</v>
      </c>
      <c r="AJ44" s="9">
        <v>0.689076</v>
      </c>
      <c r="AK44" s="9" t="s">
        <v>85</v>
      </c>
      <c r="AL44" s="9">
        <v>0.712605</v>
      </c>
      <c r="AM44" s="9">
        <v>0.714286</v>
      </c>
      <c r="AN44" s="9" t="s">
        <v>85</v>
      </c>
      <c r="AO44" s="9">
        <v>0.87563</v>
      </c>
      <c r="AP44" s="9">
        <v>0.865546</v>
      </c>
      <c r="AQ44" s="9" t="s">
        <v>85</v>
      </c>
      <c r="AR44" s="30">
        <v>0.853781521</v>
      </c>
      <c r="AS44" s="30">
        <v>0.857143</v>
      </c>
      <c r="AT44" s="9" t="s">
        <v>85</v>
      </c>
      <c r="AU44" s="9">
        <v>0.710924</v>
      </c>
      <c r="AV44" s="9">
        <v>0.705882</v>
      </c>
      <c r="AW44" s="9" t="s">
        <v>85</v>
      </c>
      <c r="AX44" s="9">
        <v>0.769748</v>
      </c>
      <c r="AY44" s="9">
        <v>0.773109</v>
      </c>
      <c r="AZ44" s="9" t="s">
        <v>85</v>
      </c>
      <c r="BA44" s="9">
        <v>0.862185</v>
      </c>
      <c r="BB44" s="9">
        <v>0.865546</v>
      </c>
      <c r="BC44" s="9" t="s">
        <v>85</v>
      </c>
      <c r="BD44" s="30">
        <v>0.773109</v>
      </c>
      <c r="BE44" s="30">
        <v>0.773109</v>
      </c>
      <c r="BF44" s="9" t="s">
        <v>85</v>
      </c>
      <c r="BG44" s="10" t="s">
        <v>85</v>
      </c>
      <c r="BH44" s="10" t="s">
        <v>85</v>
      </c>
      <c r="BI44" s="9" t="s">
        <v>85</v>
      </c>
      <c r="BJ44" s="6"/>
      <c r="BK44" s="6" t="str">
        <f t="shared" si="2"/>
        <v>12Bo_Fold_Mean</v>
      </c>
      <c r="BL44" s="6" t="str">
        <f t="shared" si="3"/>
        <v>12Bo_Fold_Median</v>
      </c>
      <c r="BM44" s="6" t="str">
        <f t="shared" si="4"/>
        <v>12Bo_Fold_Median</v>
      </c>
      <c r="BN44" s="6"/>
      <c r="BO44" s="6">
        <f t="shared" ref="BO44:BQ44" si="55">IF(ISNUMBER(SEARCH("5",BK44)),5,IF(ISNUMBER(SEARCH("*8*",BK44)),8,IF(ISNUMBER(SEARCH("*10*",BK44)),10,IF(ISNUMBER(SEARCH("*12*",BK44)),12,IF(ISNUMBER(SEARCH("*20*",BK44)),20)))))</f>
        <v>12</v>
      </c>
      <c r="BP44" s="6">
        <f t="shared" si="55"/>
        <v>12</v>
      </c>
      <c r="BQ44" s="6">
        <f t="shared" si="55"/>
        <v>12</v>
      </c>
      <c r="BR44" s="6"/>
      <c r="BS44" s="6">
        <f t="shared" si="6"/>
        <v>1</v>
      </c>
      <c r="BT44" s="6">
        <f t="shared" si="7"/>
        <v>27</v>
      </c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</row>
    <row r="45" ht="15.75" customHeight="1">
      <c r="A45" s="1" t="s">
        <v>139</v>
      </c>
      <c r="B45" s="17">
        <v>1882.0</v>
      </c>
      <c r="C45" s="17">
        <v>7.0</v>
      </c>
      <c r="D45" s="17" t="s">
        <v>311</v>
      </c>
      <c r="E45" s="9">
        <v>0.289818</v>
      </c>
      <c r="F45" s="9">
        <v>0.303636</v>
      </c>
      <c r="G45" s="9" t="s">
        <v>85</v>
      </c>
      <c r="H45" s="30">
        <v>0.272727275</v>
      </c>
      <c r="I45" s="30">
        <v>0.298181832</v>
      </c>
      <c r="J45" s="9" t="s">
        <v>85</v>
      </c>
      <c r="K45" s="9">
        <v>0.251636</v>
      </c>
      <c r="L45" s="9">
        <v>0.247273</v>
      </c>
      <c r="M45" s="9" t="s">
        <v>85</v>
      </c>
      <c r="N45" s="9">
        <v>0.259272721</v>
      </c>
      <c r="O45" s="9">
        <v>0.287273</v>
      </c>
      <c r="P45" s="9" t="s">
        <v>85</v>
      </c>
      <c r="Q45" s="9">
        <v>0.294545</v>
      </c>
      <c r="R45" s="9">
        <v>0.289091</v>
      </c>
      <c r="S45" s="9" t="s">
        <v>85</v>
      </c>
      <c r="T45" s="9">
        <v>0.282545456</v>
      </c>
      <c r="U45" s="9">
        <v>0.289091</v>
      </c>
      <c r="V45" s="9" t="s">
        <v>85</v>
      </c>
      <c r="W45" s="9">
        <v>0.199636</v>
      </c>
      <c r="X45" s="9">
        <v>0.203636</v>
      </c>
      <c r="Y45" s="9" t="s">
        <v>85</v>
      </c>
      <c r="Z45" s="9">
        <v>0.228</v>
      </c>
      <c r="AA45" s="9">
        <v>0.223636</v>
      </c>
      <c r="AB45" s="9" t="s">
        <v>85</v>
      </c>
      <c r="AC45" s="30">
        <v>0.275636357</v>
      </c>
      <c r="AD45" s="30">
        <v>0.283636</v>
      </c>
      <c r="AE45" s="9" t="s">
        <v>85</v>
      </c>
      <c r="AF45" s="30">
        <v>0.260000002</v>
      </c>
      <c r="AG45" s="30">
        <v>0.269091</v>
      </c>
      <c r="AH45" s="9" t="s">
        <v>85</v>
      </c>
      <c r="AI45" s="9">
        <v>0.218909</v>
      </c>
      <c r="AJ45" s="9">
        <v>0.210909</v>
      </c>
      <c r="AK45" s="9" t="s">
        <v>85</v>
      </c>
      <c r="AL45" s="9">
        <v>0.225091</v>
      </c>
      <c r="AM45" s="9">
        <v>0.227273</v>
      </c>
      <c r="AN45" s="9" t="s">
        <v>85</v>
      </c>
      <c r="AO45" s="9">
        <v>0.263636</v>
      </c>
      <c r="AP45" s="9">
        <v>0.267273</v>
      </c>
      <c r="AQ45" s="9" t="s">
        <v>85</v>
      </c>
      <c r="AR45" s="30">
        <v>0.286909091</v>
      </c>
      <c r="AS45" s="30">
        <v>0.292727</v>
      </c>
      <c r="AT45" s="9" t="s">
        <v>85</v>
      </c>
      <c r="AU45" s="9">
        <v>0.258909</v>
      </c>
      <c r="AV45" s="9">
        <v>0.243636</v>
      </c>
      <c r="AW45" s="9" t="s">
        <v>85</v>
      </c>
      <c r="AX45" s="9">
        <v>0.240364</v>
      </c>
      <c r="AY45" s="9">
        <v>0.236364</v>
      </c>
      <c r="AZ45" s="9" t="s">
        <v>85</v>
      </c>
      <c r="BA45" s="9">
        <v>0.276727</v>
      </c>
      <c r="BB45" s="9">
        <v>0.290909</v>
      </c>
      <c r="BC45" s="9" t="s">
        <v>85</v>
      </c>
      <c r="BD45" s="30">
        <v>0.243273</v>
      </c>
      <c r="BE45" s="30">
        <v>0.243636</v>
      </c>
      <c r="BF45" s="9" t="s">
        <v>85</v>
      </c>
      <c r="BG45" s="10" t="s">
        <v>85</v>
      </c>
      <c r="BH45" s="10" t="s">
        <v>85</v>
      </c>
      <c r="BI45" s="9" t="s">
        <v>85</v>
      </c>
      <c r="BJ45" s="6"/>
      <c r="BK45" s="6" t="str">
        <f t="shared" si="2"/>
        <v>5Bo_Fold_Median</v>
      </c>
      <c r="BL45" s="6" t="str">
        <f t="shared" si="3"/>
        <v>5BoN_Fold_Median</v>
      </c>
      <c r="BM45" s="6" t="str">
        <f t="shared" si="4"/>
        <v>8Bo_Fold_Mean</v>
      </c>
      <c r="BN45" s="6"/>
      <c r="BO45" s="6">
        <f t="shared" ref="BO45:BQ45" si="56">IF(ISNUMBER(SEARCH("5",BK45)),5,IF(ISNUMBER(SEARCH("*8*",BK45)),8,IF(ISNUMBER(SEARCH("*10*",BK45)),10,IF(ISNUMBER(SEARCH("*12*",BK45)),12,IF(ISNUMBER(SEARCH("*20*",BK45)),20)))))</f>
        <v>5</v>
      </c>
      <c r="BP45" s="6">
        <f t="shared" si="56"/>
        <v>5</v>
      </c>
      <c r="BQ45" s="6">
        <f t="shared" si="56"/>
        <v>8</v>
      </c>
      <c r="BR45" s="6"/>
      <c r="BS45" s="6">
        <f t="shared" si="6"/>
        <v>6</v>
      </c>
      <c r="BT45" s="6">
        <f t="shared" si="7"/>
        <v>86.5</v>
      </c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</row>
    <row r="46" ht="15.75" customHeight="1">
      <c r="A46" s="1" t="s">
        <v>140</v>
      </c>
      <c r="B46" s="17">
        <v>601.0</v>
      </c>
      <c r="C46" s="17">
        <v>3.0</v>
      </c>
      <c r="D46" s="17" t="s">
        <v>309</v>
      </c>
      <c r="E46" s="9">
        <v>0.798394</v>
      </c>
      <c r="F46" s="9">
        <v>0.803213</v>
      </c>
      <c r="G46" s="9" t="s">
        <v>85</v>
      </c>
      <c r="H46" s="30">
        <v>0.798393583</v>
      </c>
      <c r="I46" s="30">
        <v>0.795180738</v>
      </c>
      <c r="J46" s="9" t="s">
        <v>85</v>
      </c>
      <c r="K46" s="9">
        <v>0.791165</v>
      </c>
      <c r="L46" s="9">
        <v>0.787149</v>
      </c>
      <c r="M46" s="9" t="s">
        <v>85</v>
      </c>
      <c r="N46" s="9">
        <v>0.804819298</v>
      </c>
      <c r="O46" s="9">
        <v>0.803213</v>
      </c>
      <c r="P46" s="9" t="s">
        <v>85</v>
      </c>
      <c r="Q46" s="9">
        <v>0.803213</v>
      </c>
      <c r="R46" s="9">
        <v>0.803213</v>
      </c>
      <c r="S46" s="9" t="s">
        <v>85</v>
      </c>
      <c r="T46" s="9">
        <v>0.809638572</v>
      </c>
      <c r="U46" s="9">
        <v>0.803213</v>
      </c>
      <c r="V46" s="9" t="s">
        <v>85</v>
      </c>
      <c r="W46" s="9">
        <v>0.801606</v>
      </c>
      <c r="X46" s="9">
        <v>0.799197</v>
      </c>
      <c r="Y46" s="9" t="s">
        <v>85</v>
      </c>
      <c r="Z46" s="9">
        <v>0.800803</v>
      </c>
      <c r="AA46" s="9">
        <v>0.795181</v>
      </c>
      <c r="AB46" s="9" t="s">
        <v>85</v>
      </c>
      <c r="AC46" s="30">
        <v>0.803212857</v>
      </c>
      <c r="AD46" s="30">
        <v>0.799197</v>
      </c>
      <c r="AE46" s="9" t="s">
        <v>85</v>
      </c>
      <c r="AF46" s="30">
        <v>0.803212857</v>
      </c>
      <c r="AG46" s="30">
        <v>0.811245</v>
      </c>
      <c r="AH46" s="9" t="s">
        <v>85</v>
      </c>
      <c r="AI46" s="9">
        <v>0.798394</v>
      </c>
      <c r="AJ46" s="9">
        <v>0.799197</v>
      </c>
      <c r="AK46" s="9" t="s">
        <v>85</v>
      </c>
      <c r="AL46" s="9">
        <v>0.798394</v>
      </c>
      <c r="AM46" s="9">
        <v>0.799197</v>
      </c>
      <c r="AN46" s="9" t="s">
        <v>85</v>
      </c>
      <c r="AO46" s="9">
        <v>0.804016</v>
      </c>
      <c r="AP46" s="9">
        <v>0.807229</v>
      </c>
      <c r="AQ46" s="9" t="s">
        <v>85</v>
      </c>
      <c r="AR46" s="30">
        <v>0.811244988</v>
      </c>
      <c r="AS46" s="30">
        <v>0.807229</v>
      </c>
      <c r="AT46" s="9" t="s">
        <v>85</v>
      </c>
      <c r="AU46" s="9">
        <v>0.808835</v>
      </c>
      <c r="AV46" s="9">
        <v>0.811245</v>
      </c>
      <c r="AW46" s="9" t="s">
        <v>85</v>
      </c>
      <c r="AX46" s="9">
        <v>0.812048</v>
      </c>
      <c r="AY46" s="9">
        <v>0.811245</v>
      </c>
      <c r="AZ46" s="9" t="s">
        <v>85</v>
      </c>
      <c r="BA46" s="9">
        <v>0.810442</v>
      </c>
      <c r="BB46" s="9">
        <v>0.815261</v>
      </c>
      <c r="BC46" s="9" t="s">
        <v>85</v>
      </c>
      <c r="BD46" s="30">
        <v>0.8249</v>
      </c>
      <c r="BE46" s="30">
        <v>0.839357</v>
      </c>
      <c r="BF46" s="9" t="s">
        <v>85</v>
      </c>
      <c r="BG46" s="10" t="s">
        <v>85</v>
      </c>
      <c r="BH46" s="10" t="s">
        <v>85</v>
      </c>
      <c r="BI46" s="9" t="s">
        <v>85</v>
      </c>
      <c r="BJ46" s="6"/>
      <c r="BK46" s="6" t="str">
        <f t="shared" si="2"/>
        <v>20V_Fold_Median</v>
      </c>
      <c r="BL46" s="6" t="str">
        <f t="shared" si="3"/>
        <v>20V_Fold_Mean</v>
      </c>
      <c r="BM46" s="6" t="str">
        <f t="shared" si="4"/>
        <v>20Bo_Fold_Median</v>
      </c>
      <c r="BN46" s="6"/>
      <c r="BO46" s="6">
        <f t="shared" ref="BO46:BQ46" si="57">IF(ISNUMBER(SEARCH("5",BK46)),5,IF(ISNUMBER(SEARCH("*8*",BK46)),8,IF(ISNUMBER(SEARCH("*10*",BK46)),10,IF(ISNUMBER(SEARCH("*12*",BK46)),12,IF(ISNUMBER(SEARCH("*20*",BK46)),20)))))</f>
        <v>20</v>
      </c>
      <c r="BP46" s="6">
        <f t="shared" si="57"/>
        <v>20</v>
      </c>
      <c r="BQ46" s="6">
        <f t="shared" si="57"/>
        <v>20</v>
      </c>
      <c r="BR46" s="6"/>
      <c r="BS46" s="6">
        <f t="shared" si="6"/>
        <v>27.5</v>
      </c>
      <c r="BT46" s="6">
        <f t="shared" si="7"/>
        <v>8.5</v>
      </c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</row>
    <row r="47" ht="15.75" customHeight="1">
      <c r="A47" s="1" t="s">
        <v>141</v>
      </c>
      <c r="B47" s="17">
        <v>601.0</v>
      </c>
      <c r="C47" s="17">
        <v>3.0</v>
      </c>
      <c r="D47" s="17" t="s">
        <v>309</v>
      </c>
      <c r="E47" s="9">
        <v>0.646586</v>
      </c>
      <c r="F47" s="9">
        <v>0.73494</v>
      </c>
      <c r="G47" s="9" t="s">
        <v>85</v>
      </c>
      <c r="H47" s="30">
        <v>0.578313255</v>
      </c>
      <c r="I47" s="30">
        <v>0.710843384</v>
      </c>
      <c r="J47" s="9" t="s">
        <v>85</v>
      </c>
      <c r="K47" s="9">
        <v>0.669076</v>
      </c>
      <c r="L47" s="9">
        <v>0.751004</v>
      </c>
      <c r="M47" s="9" t="s">
        <v>85</v>
      </c>
      <c r="N47" s="9">
        <v>0.704417664</v>
      </c>
      <c r="O47" s="9">
        <v>0.75502</v>
      </c>
      <c r="P47" s="9" t="s">
        <v>85</v>
      </c>
      <c r="Q47" s="9">
        <v>0.734137</v>
      </c>
      <c r="R47" s="9">
        <v>0.75502</v>
      </c>
      <c r="S47" s="9" t="s">
        <v>85</v>
      </c>
      <c r="T47" s="9">
        <v>0.707630521</v>
      </c>
      <c r="U47" s="9">
        <v>0.767068</v>
      </c>
      <c r="V47" s="9" t="s">
        <v>85</v>
      </c>
      <c r="W47" s="9">
        <v>0.630522</v>
      </c>
      <c r="X47" s="9">
        <v>0.751004</v>
      </c>
      <c r="Y47" s="9" t="s">
        <v>85</v>
      </c>
      <c r="Z47" s="9">
        <v>0.711647</v>
      </c>
      <c r="AA47" s="9">
        <v>0.767068</v>
      </c>
      <c r="AB47" s="9" t="s">
        <v>85</v>
      </c>
      <c r="AC47" s="30">
        <v>0.70441767</v>
      </c>
      <c r="AD47" s="30">
        <v>0.759036</v>
      </c>
      <c r="AE47" s="9" t="s">
        <v>85</v>
      </c>
      <c r="AF47" s="30">
        <v>0.716465861</v>
      </c>
      <c r="AG47" s="30">
        <v>0.767068</v>
      </c>
      <c r="AH47" s="9" t="s">
        <v>85</v>
      </c>
      <c r="AI47" s="9">
        <v>0.71004</v>
      </c>
      <c r="AJ47" s="9">
        <v>0.75502</v>
      </c>
      <c r="AK47" s="9" t="s">
        <v>85</v>
      </c>
      <c r="AL47" s="9">
        <v>0.731727</v>
      </c>
      <c r="AM47" s="9">
        <v>0.742972</v>
      </c>
      <c r="AN47" s="9" t="s">
        <v>85</v>
      </c>
      <c r="AO47" s="9">
        <v>0.735743</v>
      </c>
      <c r="AP47" s="9">
        <v>0.7751</v>
      </c>
      <c r="AQ47" s="9" t="s">
        <v>85</v>
      </c>
      <c r="AR47" s="30">
        <v>0.657028115</v>
      </c>
      <c r="AS47" s="30">
        <v>0.759036</v>
      </c>
      <c r="AT47" s="9" t="s">
        <v>85</v>
      </c>
      <c r="AU47" s="9">
        <v>0.743775</v>
      </c>
      <c r="AV47" s="9">
        <v>0.73494</v>
      </c>
      <c r="AW47" s="9" t="s">
        <v>85</v>
      </c>
      <c r="AX47" s="9">
        <v>0.698795</v>
      </c>
      <c r="AY47" s="9">
        <v>0.73494</v>
      </c>
      <c r="AZ47" s="9" t="s">
        <v>85</v>
      </c>
      <c r="BA47" s="9">
        <v>0.553414</v>
      </c>
      <c r="BB47" s="9">
        <v>0.481928</v>
      </c>
      <c r="BC47" s="9" t="s">
        <v>85</v>
      </c>
      <c r="BD47" s="30">
        <v>0.707631</v>
      </c>
      <c r="BE47" s="30">
        <v>0.759036</v>
      </c>
      <c r="BF47" s="9" t="s">
        <v>85</v>
      </c>
      <c r="BG47" s="10" t="s">
        <v>85</v>
      </c>
      <c r="BH47" s="10" t="s">
        <v>85</v>
      </c>
      <c r="BI47" s="9" t="s">
        <v>85</v>
      </c>
      <c r="BJ47" s="6"/>
      <c r="BK47" s="6" t="str">
        <f t="shared" si="2"/>
        <v>12Bo_Fold_Median</v>
      </c>
      <c r="BL47" s="6" t="str">
        <f t="shared" si="3"/>
        <v>8BoN_Fold_Median</v>
      </c>
      <c r="BM47" s="6" t="str">
        <f t="shared" si="4"/>
        <v>8BoN_Fold_Median</v>
      </c>
      <c r="BN47" s="6"/>
      <c r="BO47" s="6">
        <f t="shared" ref="BO47:BQ47" si="58">IF(ISNUMBER(SEARCH("5",BK47)),5,IF(ISNUMBER(SEARCH("*8*",BK47)),8,IF(ISNUMBER(SEARCH("*10*",BK47)),10,IF(ISNUMBER(SEARCH("*12*",BK47)),12,IF(ISNUMBER(SEARCH("*20*",BK47)),20)))))</f>
        <v>12</v>
      </c>
      <c r="BP47" s="6">
        <f t="shared" si="58"/>
        <v>8</v>
      </c>
      <c r="BQ47" s="6">
        <f t="shared" si="58"/>
        <v>8</v>
      </c>
      <c r="BR47" s="6"/>
      <c r="BS47" s="6">
        <f t="shared" si="6"/>
        <v>27.5</v>
      </c>
      <c r="BT47" s="6">
        <f t="shared" si="7"/>
        <v>27</v>
      </c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</row>
    <row r="48" ht="15.75" customHeight="1">
      <c r="A48" s="1" t="s">
        <v>142</v>
      </c>
      <c r="B48" s="17">
        <v>24.0</v>
      </c>
      <c r="C48" s="17">
        <v>2.0</v>
      </c>
      <c r="D48" s="17" t="s">
        <v>305</v>
      </c>
      <c r="E48" s="9">
        <v>0.922449</v>
      </c>
      <c r="F48" s="9">
        <v>0.921283</v>
      </c>
      <c r="G48" s="9" t="s">
        <v>85</v>
      </c>
      <c r="H48" s="30">
        <v>0.917006791</v>
      </c>
      <c r="I48" s="30">
        <v>0.922254622</v>
      </c>
      <c r="J48" s="9" t="s">
        <v>85</v>
      </c>
      <c r="K48" s="9">
        <v>0.844898</v>
      </c>
      <c r="L48" s="9">
        <v>0.83965</v>
      </c>
      <c r="M48" s="9" t="s">
        <v>85</v>
      </c>
      <c r="N48" s="9">
        <v>0.83712343</v>
      </c>
      <c r="O48" s="9">
        <v>0.836735</v>
      </c>
      <c r="P48" s="9" t="s">
        <v>85</v>
      </c>
      <c r="Q48" s="9">
        <v>0.911953</v>
      </c>
      <c r="R48" s="9">
        <v>0.909621</v>
      </c>
      <c r="S48" s="9" t="s">
        <v>85</v>
      </c>
      <c r="T48" s="9">
        <v>0.91292516</v>
      </c>
      <c r="U48" s="9">
        <v>0.912536</v>
      </c>
      <c r="V48" s="9" t="s">
        <v>85</v>
      </c>
      <c r="W48" s="9">
        <v>0.93275</v>
      </c>
      <c r="X48" s="9">
        <v>0.93586</v>
      </c>
      <c r="Y48" s="9" t="s">
        <v>85</v>
      </c>
      <c r="Z48" s="9">
        <v>0.933916</v>
      </c>
      <c r="AA48" s="9">
        <v>0.936832</v>
      </c>
      <c r="AB48" s="9" t="s">
        <v>85</v>
      </c>
      <c r="AC48" s="30">
        <v>0.922060251</v>
      </c>
      <c r="AD48" s="30">
        <v>0.922255</v>
      </c>
      <c r="AE48" s="9" t="s">
        <v>85</v>
      </c>
      <c r="AF48" s="30">
        <v>0.920894086</v>
      </c>
      <c r="AG48" s="30">
        <v>0.924198</v>
      </c>
      <c r="AH48" s="9" t="s">
        <v>85</v>
      </c>
      <c r="AI48" s="9">
        <v>0.886103</v>
      </c>
      <c r="AJ48" s="9">
        <v>0.886297</v>
      </c>
      <c r="AK48" s="9" t="s">
        <v>85</v>
      </c>
      <c r="AL48" s="9">
        <v>0.899903</v>
      </c>
      <c r="AM48" s="9">
        <v>0.901846</v>
      </c>
      <c r="AN48" s="9" t="s">
        <v>85</v>
      </c>
      <c r="AO48" s="9">
        <v>0.921672</v>
      </c>
      <c r="AP48" s="9">
        <v>0.921283</v>
      </c>
      <c r="AQ48" s="9" t="s">
        <v>85</v>
      </c>
      <c r="AR48" s="30">
        <v>0.923615158</v>
      </c>
      <c r="AS48" s="30">
        <v>0.922255</v>
      </c>
      <c r="AT48" s="9" t="s">
        <v>85</v>
      </c>
      <c r="AU48" s="9">
        <v>0.888241</v>
      </c>
      <c r="AV48" s="9">
        <v>0.8931</v>
      </c>
      <c r="AW48" s="9" t="s">
        <v>85</v>
      </c>
      <c r="AX48" s="9">
        <v>0.898542</v>
      </c>
      <c r="AY48" s="9">
        <v>0.896987</v>
      </c>
      <c r="AZ48" s="9" t="s">
        <v>85</v>
      </c>
      <c r="BA48" s="9">
        <v>0.879689</v>
      </c>
      <c r="BB48" s="9">
        <v>0.880466</v>
      </c>
      <c r="BC48" s="9" t="s">
        <v>85</v>
      </c>
      <c r="BD48" s="30">
        <v>0.903401</v>
      </c>
      <c r="BE48" s="30">
        <v>0.90379</v>
      </c>
      <c r="BF48" s="9" t="s">
        <v>85</v>
      </c>
      <c r="BG48" s="10" t="s">
        <v>85</v>
      </c>
      <c r="BH48" s="10" t="s">
        <v>85</v>
      </c>
      <c r="BI48" s="9" t="s">
        <v>85</v>
      </c>
      <c r="BJ48" s="6"/>
      <c r="BK48" s="6" t="str">
        <f t="shared" si="2"/>
        <v>8VB_Fold_Median</v>
      </c>
      <c r="BL48" s="6" t="str">
        <f t="shared" si="3"/>
        <v>8V_Fold_Median</v>
      </c>
      <c r="BM48" s="6" t="str">
        <f t="shared" si="4"/>
        <v>8VB_Fold_Mean</v>
      </c>
      <c r="BN48" s="6"/>
      <c r="BO48" s="6">
        <f t="shared" ref="BO48:BQ48" si="59">IF(ISNUMBER(SEARCH("5",BK48)),5,IF(ISNUMBER(SEARCH("*8*",BK48)),8,IF(ISNUMBER(SEARCH("*10*",BK48)),10,IF(ISNUMBER(SEARCH("*12*",BK48)),12,IF(ISNUMBER(SEARCH("*20*",BK48)),20)))))</f>
        <v>8</v>
      </c>
      <c r="BP48" s="6">
        <f t="shared" si="59"/>
        <v>8</v>
      </c>
      <c r="BQ48" s="6">
        <f t="shared" si="59"/>
        <v>8</v>
      </c>
      <c r="BR48" s="6"/>
      <c r="BS48" s="6">
        <f t="shared" si="6"/>
        <v>96.5</v>
      </c>
      <c r="BT48" s="6">
        <f t="shared" si="7"/>
        <v>65</v>
      </c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</row>
    <row r="49" ht="15.75" customHeight="1">
      <c r="A49" s="1" t="s">
        <v>143</v>
      </c>
      <c r="B49" s="17">
        <v>720.0</v>
      </c>
      <c r="C49" s="17">
        <v>3.0</v>
      </c>
      <c r="D49" s="17" t="s">
        <v>299</v>
      </c>
      <c r="E49" s="9">
        <v>0.645333</v>
      </c>
      <c r="F49" s="9">
        <v>0.674667</v>
      </c>
      <c r="G49" s="9" t="s">
        <v>85</v>
      </c>
      <c r="H49" s="30">
        <v>0.47146666</v>
      </c>
      <c r="I49" s="30">
        <v>0.472000003</v>
      </c>
      <c r="J49" s="9" t="s">
        <v>85</v>
      </c>
      <c r="K49" s="9">
        <v>0.5952</v>
      </c>
      <c r="L49" s="9">
        <v>0.6</v>
      </c>
      <c r="M49" s="9" t="s">
        <v>85</v>
      </c>
      <c r="N49" s="9">
        <v>0.593600011</v>
      </c>
      <c r="O49" s="9">
        <v>0.6</v>
      </c>
      <c r="P49" s="9" t="s">
        <v>85</v>
      </c>
      <c r="Q49" s="9">
        <v>0.6704</v>
      </c>
      <c r="R49" s="9">
        <v>0.672</v>
      </c>
      <c r="S49" s="9" t="s">
        <v>85</v>
      </c>
      <c r="T49" s="9">
        <v>0.658133328</v>
      </c>
      <c r="U49" s="9">
        <v>0.664</v>
      </c>
      <c r="V49" s="9" t="s">
        <v>85</v>
      </c>
      <c r="W49" s="9">
        <v>0.576533</v>
      </c>
      <c r="X49" s="9">
        <v>0.578667</v>
      </c>
      <c r="Y49" s="9" t="s">
        <v>85</v>
      </c>
      <c r="Z49" s="9">
        <v>0.5696</v>
      </c>
      <c r="AA49" s="9">
        <v>0.568</v>
      </c>
      <c r="AB49" s="9" t="s">
        <v>85</v>
      </c>
      <c r="AC49" s="30">
        <v>0.648000002</v>
      </c>
      <c r="AD49" s="30">
        <v>0.642667</v>
      </c>
      <c r="AE49" s="9" t="s">
        <v>85</v>
      </c>
      <c r="AF49" s="30">
        <v>0.645866656</v>
      </c>
      <c r="AG49" s="30">
        <v>0.653333</v>
      </c>
      <c r="AH49" s="9" t="s">
        <v>85</v>
      </c>
      <c r="AI49" s="9">
        <v>0.576533</v>
      </c>
      <c r="AJ49" s="9">
        <v>0.576</v>
      </c>
      <c r="AK49" s="9" t="s">
        <v>85</v>
      </c>
      <c r="AL49" s="9">
        <v>0.580267</v>
      </c>
      <c r="AM49" s="9">
        <v>0.573333</v>
      </c>
      <c r="AN49" s="9" t="s">
        <v>85</v>
      </c>
      <c r="AO49" s="9">
        <v>0.656533</v>
      </c>
      <c r="AP49" s="9">
        <v>0.648</v>
      </c>
      <c r="AQ49" s="9" t="s">
        <v>85</v>
      </c>
      <c r="AR49" s="30">
        <v>0.669866669</v>
      </c>
      <c r="AS49" s="30">
        <v>0.677333</v>
      </c>
      <c r="AT49" s="9" t="s">
        <v>85</v>
      </c>
      <c r="AU49" s="9">
        <v>0.577067</v>
      </c>
      <c r="AV49" s="9">
        <v>0.578667</v>
      </c>
      <c r="AW49" s="9" t="s">
        <v>85</v>
      </c>
      <c r="AX49" s="9">
        <v>0.5984</v>
      </c>
      <c r="AY49" s="9">
        <v>0.594667</v>
      </c>
      <c r="AZ49" s="9" t="s">
        <v>85</v>
      </c>
      <c r="BA49" s="9">
        <v>0.6368</v>
      </c>
      <c r="BB49" s="9">
        <v>0.634667</v>
      </c>
      <c r="BC49" s="9" t="s">
        <v>85</v>
      </c>
      <c r="BD49" s="30">
        <v>0.602133</v>
      </c>
      <c r="BE49" s="30">
        <v>0.597333</v>
      </c>
      <c r="BF49" s="9" t="s">
        <v>85</v>
      </c>
      <c r="BG49" s="10" t="s">
        <v>85</v>
      </c>
      <c r="BH49" s="10" t="s">
        <v>85</v>
      </c>
      <c r="BI49" s="9" t="s">
        <v>85</v>
      </c>
      <c r="BJ49" s="6"/>
      <c r="BK49" s="6" t="str">
        <f t="shared" si="2"/>
        <v>12BoN_Fold_Median</v>
      </c>
      <c r="BL49" s="6" t="str">
        <f t="shared" si="3"/>
        <v>5Bo_Fold_Median</v>
      </c>
      <c r="BM49" s="6" t="str">
        <f t="shared" si="4"/>
        <v>8Bo_Fold_Median</v>
      </c>
      <c r="BN49" s="6"/>
      <c r="BO49" s="6">
        <f t="shared" ref="BO49:BQ49" si="60">IF(ISNUMBER(SEARCH("5",BK49)),5,IF(ISNUMBER(SEARCH("*8*",BK49)),8,IF(ISNUMBER(SEARCH("*10*",BK49)),10,IF(ISNUMBER(SEARCH("*12*",BK49)),12,IF(ISNUMBER(SEARCH("*20*",BK49)),20)))))</f>
        <v>12</v>
      </c>
      <c r="BP49" s="6">
        <f t="shared" si="60"/>
        <v>5</v>
      </c>
      <c r="BQ49" s="6">
        <f t="shared" si="60"/>
        <v>8</v>
      </c>
      <c r="BR49" s="6"/>
      <c r="BS49" s="6">
        <f t="shared" si="6"/>
        <v>23.5</v>
      </c>
      <c r="BT49" s="6">
        <f t="shared" si="7"/>
        <v>27</v>
      </c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</row>
    <row r="50" ht="15.75" customHeight="1">
      <c r="A50" s="1" t="s">
        <v>144</v>
      </c>
      <c r="B50" s="17">
        <v>637.0</v>
      </c>
      <c r="C50" s="17">
        <v>2.0</v>
      </c>
      <c r="D50" s="17" t="s">
        <v>305</v>
      </c>
      <c r="E50" s="9">
        <v>0.540984</v>
      </c>
      <c r="F50" s="9">
        <v>0.540984</v>
      </c>
      <c r="G50" s="9" t="s">
        <v>85</v>
      </c>
      <c r="H50" s="30">
        <v>0.540983617</v>
      </c>
      <c r="I50" s="30">
        <v>0.540983617</v>
      </c>
      <c r="J50" s="9" t="s">
        <v>85</v>
      </c>
      <c r="K50" s="9">
        <v>0.540984</v>
      </c>
      <c r="L50" s="9">
        <v>0.540984</v>
      </c>
      <c r="M50" s="9" t="s">
        <v>85</v>
      </c>
      <c r="N50" s="9">
        <v>0.540983617</v>
      </c>
      <c r="O50" s="9">
        <v>0.540984</v>
      </c>
      <c r="P50" s="9" t="s">
        <v>85</v>
      </c>
      <c r="Q50" s="9">
        <v>0.540984</v>
      </c>
      <c r="R50" s="9">
        <v>0.540984</v>
      </c>
      <c r="S50" s="9" t="s">
        <v>85</v>
      </c>
      <c r="T50" s="9">
        <v>0.540983617</v>
      </c>
      <c r="U50" s="9">
        <v>0.540984</v>
      </c>
      <c r="V50" s="9" t="s">
        <v>85</v>
      </c>
      <c r="W50" s="9">
        <v>0.540984</v>
      </c>
      <c r="X50" s="9">
        <v>0.540984</v>
      </c>
      <c r="Y50" s="9" t="s">
        <v>85</v>
      </c>
      <c r="Z50" s="9">
        <v>0.540984</v>
      </c>
      <c r="AA50" s="9">
        <v>0.540984</v>
      </c>
      <c r="AB50" s="9" t="s">
        <v>85</v>
      </c>
      <c r="AC50" s="30">
        <v>0.540983617</v>
      </c>
      <c r="AD50" s="30">
        <v>0.540984</v>
      </c>
      <c r="AE50" s="9" t="s">
        <v>85</v>
      </c>
      <c r="AF50" s="30">
        <v>0.540983617</v>
      </c>
      <c r="AG50" s="30">
        <v>0.540984</v>
      </c>
      <c r="AH50" s="9" t="s">
        <v>85</v>
      </c>
      <c r="AI50" s="9">
        <v>0.540984</v>
      </c>
      <c r="AJ50" s="9">
        <v>0.540984</v>
      </c>
      <c r="AK50" s="9" t="s">
        <v>85</v>
      </c>
      <c r="AL50" s="9">
        <v>0.540984</v>
      </c>
      <c r="AM50" s="9">
        <v>0.540984</v>
      </c>
      <c r="AN50" s="9" t="s">
        <v>85</v>
      </c>
      <c r="AO50" s="9">
        <v>0.540984</v>
      </c>
      <c r="AP50" s="9">
        <v>0.540984</v>
      </c>
      <c r="AQ50" s="9" t="s">
        <v>85</v>
      </c>
      <c r="AR50" s="30">
        <v>0.540983617</v>
      </c>
      <c r="AS50" s="30">
        <v>0.540984</v>
      </c>
      <c r="AT50" s="9" t="s">
        <v>85</v>
      </c>
      <c r="AU50" s="9">
        <v>0.540984</v>
      </c>
      <c r="AV50" s="9">
        <v>0.540984</v>
      </c>
      <c r="AW50" s="9" t="s">
        <v>85</v>
      </c>
      <c r="AX50" s="9">
        <v>0.540984</v>
      </c>
      <c r="AY50" s="9">
        <v>0.540984</v>
      </c>
      <c r="AZ50" s="9" t="s">
        <v>85</v>
      </c>
      <c r="BA50" s="9">
        <v>0.540984</v>
      </c>
      <c r="BB50" s="9">
        <v>0.540984</v>
      </c>
      <c r="BC50" s="9" t="s">
        <v>85</v>
      </c>
      <c r="BD50" s="30">
        <v>0.540984</v>
      </c>
      <c r="BE50" s="30">
        <v>0.540984</v>
      </c>
      <c r="BF50" s="9" t="s">
        <v>85</v>
      </c>
      <c r="BG50" s="10" t="s">
        <v>85</v>
      </c>
      <c r="BH50" s="10" t="s">
        <v>85</v>
      </c>
      <c r="BI50" s="9" t="s">
        <v>85</v>
      </c>
      <c r="BJ50" s="6"/>
      <c r="BK50" s="6" t="str">
        <f t="shared" si="2"/>
        <v>5Bo_Fold_Mean</v>
      </c>
      <c r="BL50" s="6" t="str">
        <f t="shared" si="3"/>
        <v>5Bo_Fold_Mean</v>
      </c>
      <c r="BM50" s="6" t="str">
        <f t="shared" si="4"/>
        <v>5Bo_Fold_Mean</v>
      </c>
      <c r="BN50" s="6"/>
      <c r="BO50" s="6">
        <f t="shared" ref="BO50:BQ50" si="61">IF(ISNUMBER(SEARCH("5",BK50)),5,IF(ISNUMBER(SEARCH("*8*",BK50)),8,IF(ISNUMBER(SEARCH("*10*",BK50)),10,IF(ISNUMBER(SEARCH("*12*",BK50)),12,IF(ISNUMBER(SEARCH("*20*",BK50)),20)))))</f>
        <v>5</v>
      </c>
      <c r="BP50" s="6">
        <f t="shared" si="61"/>
        <v>5</v>
      </c>
      <c r="BQ50" s="6">
        <f t="shared" si="61"/>
        <v>5</v>
      </c>
      <c r="BR50" s="6"/>
      <c r="BS50" s="6">
        <f t="shared" si="6"/>
        <v>26</v>
      </c>
      <c r="BT50" s="6">
        <f t="shared" si="7"/>
        <v>86.5</v>
      </c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</row>
    <row r="51" ht="15.75" customHeight="1">
      <c r="A51" s="1" t="s">
        <v>145</v>
      </c>
      <c r="B51" s="17">
        <v>319.0</v>
      </c>
      <c r="C51" s="17">
        <v>7.0</v>
      </c>
      <c r="D51" s="17" t="s">
        <v>305</v>
      </c>
      <c r="E51" s="9">
        <v>0.578082</v>
      </c>
      <c r="F51" s="9">
        <v>0.575342</v>
      </c>
      <c r="G51" s="9" t="s">
        <v>85</v>
      </c>
      <c r="H51" s="30">
        <v>0.542465734</v>
      </c>
      <c r="I51" s="30">
        <v>0.520547926</v>
      </c>
      <c r="J51" s="9" t="s">
        <v>85</v>
      </c>
      <c r="K51" s="9">
        <v>0.589041</v>
      </c>
      <c r="L51" s="9">
        <v>0.60274</v>
      </c>
      <c r="M51" s="9" t="s">
        <v>85</v>
      </c>
      <c r="N51" s="9">
        <v>0.580821931</v>
      </c>
      <c r="O51" s="9">
        <v>0.589041</v>
      </c>
      <c r="P51" s="9" t="s">
        <v>85</v>
      </c>
      <c r="Q51" s="9">
        <v>0.578082</v>
      </c>
      <c r="R51" s="9">
        <v>0.575342</v>
      </c>
      <c r="S51" s="9" t="s">
        <v>85</v>
      </c>
      <c r="T51" s="9">
        <v>0.578082192</v>
      </c>
      <c r="U51" s="9">
        <v>0.575342</v>
      </c>
      <c r="V51" s="9" t="s">
        <v>85</v>
      </c>
      <c r="W51" s="9">
        <v>0.641096</v>
      </c>
      <c r="X51" s="9">
        <v>0.657534</v>
      </c>
      <c r="Y51" s="9" t="s">
        <v>85</v>
      </c>
      <c r="Z51" s="9">
        <v>0.616438</v>
      </c>
      <c r="AA51" s="9">
        <v>0.643836</v>
      </c>
      <c r="AB51" s="9" t="s">
        <v>85</v>
      </c>
      <c r="AC51" s="30">
        <v>0.586301374</v>
      </c>
      <c r="AD51" s="30">
        <v>0.575342</v>
      </c>
      <c r="AE51" s="9" t="s">
        <v>85</v>
      </c>
      <c r="AF51" s="30">
        <v>0.556164378</v>
      </c>
      <c r="AG51" s="30">
        <v>0.561644</v>
      </c>
      <c r="AH51" s="9" t="s">
        <v>85</v>
      </c>
      <c r="AI51" s="9">
        <v>0.575342</v>
      </c>
      <c r="AJ51" s="9">
        <v>0.589041</v>
      </c>
      <c r="AK51" s="9" t="s">
        <v>85</v>
      </c>
      <c r="AL51" s="9">
        <v>0.586301</v>
      </c>
      <c r="AM51" s="9">
        <v>0.575342</v>
      </c>
      <c r="AN51" s="9" t="s">
        <v>85</v>
      </c>
      <c r="AO51" s="9">
        <v>0.591781</v>
      </c>
      <c r="AP51" s="9">
        <v>0.589041</v>
      </c>
      <c r="AQ51" s="9" t="s">
        <v>85</v>
      </c>
      <c r="AR51" s="30">
        <v>0.580821919</v>
      </c>
      <c r="AS51" s="30">
        <v>0.60274</v>
      </c>
      <c r="AT51" s="9" t="s">
        <v>85</v>
      </c>
      <c r="AU51" s="9">
        <v>0.572603</v>
      </c>
      <c r="AV51" s="9">
        <v>0.561644</v>
      </c>
      <c r="AW51" s="9" t="s">
        <v>85</v>
      </c>
      <c r="AX51" s="9">
        <v>0.632877</v>
      </c>
      <c r="AY51" s="9">
        <v>0.630137</v>
      </c>
      <c r="AZ51" s="9" t="s">
        <v>85</v>
      </c>
      <c r="BA51" s="9">
        <v>0.589041</v>
      </c>
      <c r="BB51" s="9">
        <v>0.589041</v>
      </c>
      <c r="BC51" s="9" t="s">
        <v>85</v>
      </c>
      <c r="BD51" s="30">
        <v>0.59726</v>
      </c>
      <c r="BE51" s="30">
        <v>0.60274</v>
      </c>
      <c r="BF51" s="9" t="s">
        <v>85</v>
      </c>
      <c r="BG51" s="10" t="s">
        <v>85</v>
      </c>
      <c r="BH51" s="10" t="s">
        <v>85</v>
      </c>
      <c r="BI51" s="9" t="s">
        <v>85</v>
      </c>
      <c r="BJ51" s="6"/>
      <c r="BK51" s="6" t="str">
        <f t="shared" si="2"/>
        <v>8V_Fold_Median</v>
      </c>
      <c r="BL51" s="6" t="str">
        <f t="shared" si="3"/>
        <v>8VB_Fold_Median</v>
      </c>
      <c r="BM51" s="6" t="str">
        <f t="shared" si="4"/>
        <v>8V_Fold_Mean</v>
      </c>
      <c r="BN51" s="6"/>
      <c r="BO51" s="6">
        <f t="shared" ref="BO51:BQ51" si="62">IF(ISNUMBER(SEARCH("5",BK51)),5,IF(ISNUMBER(SEARCH("*8*",BK51)),8,IF(ISNUMBER(SEARCH("*10*",BK51)),10,IF(ISNUMBER(SEARCH("*12*",BK51)),12,IF(ISNUMBER(SEARCH("*20*",BK51)),20)))))</f>
        <v>8</v>
      </c>
      <c r="BP51" s="6">
        <f t="shared" si="62"/>
        <v>8</v>
      </c>
      <c r="BQ51" s="6">
        <f t="shared" si="62"/>
        <v>8</v>
      </c>
      <c r="BR51" s="6"/>
      <c r="BS51" s="6">
        <f t="shared" si="6"/>
        <v>49</v>
      </c>
      <c r="BT51" s="6">
        <f t="shared" si="7"/>
        <v>65</v>
      </c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</row>
    <row r="52" ht="15.75" customHeight="1">
      <c r="A52" s="1" t="s">
        <v>146</v>
      </c>
      <c r="B52" s="17">
        <v>1024.0</v>
      </c>
      <c r="C52" s="17">
        <v>8.0</v>
      </c>
      <c r="D52" s="17" t="s">
        <v>303</v>
      </c>
      <c r="E52" s="9">
        <v>0.591642</v>
      </c>
      <c r="F52" s="9">
        <v>0.591471</v>
      </c>
      <c r="G52" s="9" t="s">
        <v>85</v>
      </c>
      <c r="H52" s="30">
        <v>0.585756922</v>
      </c>
      <c r="I52" s="30">
        <v>0.573134303</v>
      </c>
      <c r="J52" s="9" t="s">
        <v>85</v>
      </c>
      <c r="K52" s="9">
        <v>0.675309</v>
      </c>
      <c r="L52" s="9">
        <v>0.686141</v>
      </c>
      <c r="M52" s="9" t="s">
        <v>85</v>
      </c>
      <c r="N52" s="9">
        <v>0.567761207</v>
      </c>
      <c r="O52" s="9">
        <v>0.58209</v>
      </c>
      <c r="P52" s="9" t="s">
        <v>85</v>
      </c>
      <c r="Q52" s="9">
        <v>0.657996</v>
      </c>
      <c r="R52" s="9">
        <v>0.663966</v>
      </c>
      <c r="S52" s="9" t="s">
        <v>85</v>
      </c>
      <c r="T52" s="9">
        <v>0.689040506</v>
      </c>
      <c r="U52" s="9">
        <v>0.672495</v>
      </c>
      <c r="V52" s="9" t="s">
        <v>85</v>
      </c>
      <c r="W52" s="9">
        <v>0.483923</v>
      </c>
      <c r="X52" s="9">
        <v>0.4742</v>
      </c>
      <c r="Y52" s="9" t="s">
        <v>85</v>
      </c>
      <c r="Z52" s="9">
        <v>0.504819</v>
      </c>
      <c r="AA52" s="9">
        <v>0.564606</v>
      </c>
      <c r="AB52" s="9" t="s">
        <v>85</v>
      </c>
      <c r="AC52" s="30">
        <v>0.681279325</v>
      </c>
      <c r="AD52" s="30">
        <v>0.697655</v>
      </c>
      <c r="AE52" s="9" t="s">
        <v>85</v>
      </c>
      <c r="AF52" s="30">
        <v>0.638891268</v>
      </c>
      <c r="AG52" s="30">
        <v>0.634542</v>
      </c>
      <c r="AH52" s="9" t="s">
        <v>85</v>
      </c>
      <c r="AI52" s="9">
        <v>0.607335</v>
      </c>
      <c r="AJ52" s="9">
        <v>0.596588</v>
      </c>
      <c r="AK52" s="9" t="s">
        <v>85</v>
      </c>
      <c r="AL52" s="9">
        <v>0.49629</v>
      </c>
      <c r="AM52" s="9">
        <v>0.4742</v>
      </c>
      <c r="AN52" s="9" t="s">
        <v>85</v>
      </c>
      <c r="AO52" s="9">
        <v>0.676503</v>
      </c>
      <c r="AP52" s="9">
        <v>0.701493</v>
      </c>
      <c r="AQ52" s="9" t="s">
        <v>85</v>
      </c>
      <c r="AR52" s="30">
        <v>0.649978685</v>
      </c>
      <c r="AS52" s="30">
        <v>0.690832</v>
      </c>
      <c r="AT52" s="9" t="s">
        <v>85</v>
      </c>
      <c r="AU52" s="9">
        <v>0.533049</v>
      </c>
      <c r="AV52" s="9">
        <v>0.575267</v>
      </c>
      <c r="AW52" s="9" t="s">
        <v>85</v>
      </c>
      <c r="AX52" s="9">
        <v>0.550362</v>
      </c>
      <c r="AY52" s="9">
        <v>0.553518</v>
      </c>
      <c r="AZ52" s="9" t="s">
        <v>85</v>
      </c>
      <c r="BA52" s="9">
        <v>0.688273</v>
      </c>
      <c r="BB52" s="9">
        <v>0.694669</v>
      </c>
      <c r="BC52" s="9" t="s">
        <v>85</v>
      </c>
      <c r="BD52" s="30">
        <v>0.548316</v>
      </c>
      <c r="BE52" s="30">
        <v>0.551386</v>
      </c>
      <c r="BF52" s="9" t="s">
        <v>85</v>
      </c>
      <c r="BG52" s="10" t="s">
        <v>85</v>
      </c>
      <c r="BH52" s="10" t="s">
        <v>85</v>
      </c>
      <c r="BI52" s="9" t="s">
        <v>85</v>
      </c>
      <c r="BJ52" s="6"/>
      <c r="BK52" s="6" t="str">
        <f t="shared" si="2"/>
        <v>12Bo_Fold_Median</v>
      </c>
      <c r="BL52" s="6" t="str">
        <f t="shared" si="3"/>
        <v>10Bo_Fold_Median</v>
      </c>
      <c r="BM52" s="6" t="str">
        <f t="shared" si="4"/>
        <v>20Bo_Fold_Median</v>
      </c>
      <c r="BN52" s="6"/>
      <c r="BO52" s="6">
        <f t="shared" ref="BO52:BQ52" si="63">IF(ISNUMBER(SEARCH("5",BK52)),5,IF(ISNUMBER(SEARCH("*8*",BK52)),8,IF(ISNUMBER(SEARCH("*10*",BK52)),10,IF(ISNUMBER(SEARCH("*12*",BK52)),12,IF(ISNUMBER(SEARCH("*20*",BK52)),20)))))</f>
        <v>12</v>
      </c>
      <c r="BP52" s="6">
        <f t="shared" si="63"/>
        <v>10</v>
      </c>
      <c r="BQ52" s="6">
        <f t="shared" si="63"/>
        <v>20</v>
      </c>
      <c r="BR52" s="6"/>
      <c r="BS52" s="6">
        <f t="shared" si="6"/>
        <v>16</v>
      </c>
      <c r="BT52" s="6">
        <f t="shared" si="7"/>
        <v>27</v>
      </c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</row>
    <row r="53" ht="15.75" customHeight="1">
      <c r="A53" s="1" t="s">
        <v>147</v>
      </c>
      <c r="B53" s="17">
        <v>448.0</v>
      </c>
      <c r="C53" s="17">
        <v>3.0</v>
      </c>
      <c r="D53" s="17" t="s">
        <v>302</v>
      </c>
      <c r="E53" s="9">
        <v>0.903333</v>
      </c>
      <c r="F53" s="9">
        <v>0.916667</v>
      </c>
      <c r="G53" s="9" t="s">
        <v>85</v>
      </c>
      <c r="H53" s="30">
        <v>0.910000002</v>
      </c>
      <c r="I53" s="30">
        <v>0.916666687</v>
      </c>
      <c r="J53" s="9" t="s">
        <v>85</v>
      </c>
      <c r="K53" s="9">
        <v>0.616667</v>
      </c>
      <c r="L53" s="9">
        <v>0.633333</v>
      </c>
      <c r="M53" s="9" t="s">
        <v>85</v>
      </c>
      <c r="N53" s="9">
        <v>0.473333347</v>
      </c>
      <c r="O53" s="9">
        <v>0.533333</v>
      </c>
      <c r="P53" s="9" t="s">
        <v>85</v>
      </c>
      <c r="Q53" s="9">
        <v>0.91</v>
      </c>
      <c r="R53" s="9">
        <v>0.916667</v>
      </c>
      <c r="S53" s="9" t="s">
        <v>85</v>
      </c>
      <c r="T53" s="9">
        <v>0.879999995</v>
      </c>
      <c r="U53" s="9">
        <v>0.883333</v>
      </c>
      <c r="V53" s="9" t="s">
        <v>85</v>
      </c>
      <c r="W53" s="9">
        <v>0.546667</v>
      </c>
      <c r="X53" s="9">
        <v>0.55</v>
      </c>
      <c r="Y53" s="9" t="s">
        <v>85</v>
      </c>
      <c r="Z53" s="9">
        <v>0.48</v>
      </c>
      <c r="AA53" s="9">
        <v>0.5</v>
      </c>
      <c r="AB53" s="9" t="s">
        <v>85</v>
      </c>
      <c r="AC53" s="30">
        <v>0.89333334</v>
      </c>
      <c r="AD53" s="30">
        <v>0.916667</v>
      </c>
      <c r="AE53" s="9" t="s">
        <v>85</v>
      </c>
      <c r="AF53" s="30">
        <v>0.933333325</v>
      </c>
      <c r="AG53" s="30">
        <v>0.933333</v>
      </c>
      <c r="AH53" s="9" t="s">
        <v>85</v>
      </c>
      <c r="AI53" s="9">
        <v>0.71</v>
      </c>
      <c r="AJ53" s="9">
        <v>0.666667</v>
      </c>
      <c r="AK53" s="9" t="s">
        <v>85</v>
      </c>
      <c r="AL53" s="9">
        <v>0.743333</v>
      </c>
      <c r="AM53" s="9">
        <v>0.733333</v>
      </c>
      <c r="AN53" s="9" t="s">
        <v>85</v>
      </c>
      <c r="AO53" s="9">
        <v>0.856667</v>
      </c>
      <c r="AP53" s="9">
        <v>0.883333</v>
      </c>
      <c r="AQ53" s="9" t="s">
        <v>85</v>
      </c>
      <c r="AR53" s="30">
        <v>0.829999983</v>
      </c>
      <c r="AS53" s="30">
        <v>0.9</v>
      </c>
      <c r="AT53" s="9" t="s">
        <v>85</v>
      </c>
      <c r="AU53" s="9">
        <v>0.666667</v>
      </c>
      <c r="AV53" s="9">
        <v>0.616667</v>
      </c>
      <c r="AW53" s="9" t="s">
        <v>85</v>
      </c>
      <c r="AX53" s="9">
        <v>0.696667</v>
      </c>
      <c r="AY53" s="9">
        <v>0.65</v>
      </c>
      <c r="AZ53" s="9" t="s">
        <v>85</v>
      </c>
      <c r="BA53" s="9">
        <v>0.843333</v>
      </c>
      <c r="BB53" s="9">
        <v>0.883333</v>
      </c>
      <c r="BC53" s="9" t="s">
        <v>85</v>
      </c>
      <c r="BD53" s="30">
        <v>0.54</v>
      </c>
      <c r="BE53" s="30">
        <v>0.616667</v>
      </c>
      <c r="BF53" s="9" t="s">
        <v>85</v>
      </c>
      <c r="BG53" s="10" t="s">
        <v>85</v>
      </c>
      <c r="BH53" s="10" t="s">
        <v>85</v>
      </c>
      <c r="BI53" s="9" t="s">
        <v>85</v>
      </c>
      <c r="BJ53" s="6"/>
      <c r="BK53" s="6" t="str">
        <f t="shared" si="2"/>
        <v>10BoN_Fold_Mean</v>
      </c>
      <c r="BL53" s="6" t="str">
        <f t="shared" si="3"/>
        <v>10BoN_Fold_Median</v>
      </c>
      <c r="BM53" s="6" t="str">
        <f t="shared" si="4"/>
        <v>5Bo_Fold_Median</v>
      </c>
      <c r="BN53" s="6"/>
      <c r="BO53" s="6">
        <f t="shared" ref="BO53:BQ53" si="64">IF(ISNUMBER(SEARCH("5",BK53)),5,IF(ISNUMBER(SEARCH("*8*",BK53)),8,IF(ISNUMBER(SEARCH("*10*",BK53)),10,IF(ISNUMBER(SEARCH("*12*",BK53)),12,IF(ISNUMBER(SEARCH("*20*",BK53)),20)))))</f>
        <v>10</v>
      </c>
      <c r="BP53" s="6">
        <f t="shared" si="64"/>
        <v>10</v>
      </c>
      <c r="BQ53" s="6">
        <f t="shared" si="64"/>
        <v>5</v>
      </c>
      <c r="BR53" s="6"/>
      <c r="BS53" s="6">
        <f t="shared" si="6"/>
        <v>41</v>
      </c>
      <c r="BT53" s="6">
        <f t="shared" si="7"/>
        <v>46.5</v>
      </c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</row>
    <row r="54" ht="15.75" customHeight="1">
      <c r="A54" s="1" t="s">
        <v>148</v>
      </c>
      <c r="B54" s="17">
        <v>99.0</v>
      </c>
      <c r="C54" s="17">
        <v>10.0</v>
      </c>
      <c r="D54" s="17" t="s">
        <v>300</v>
      </c>
      <c r="E54" s="9">
        <v>0.523684</v>
      </c>
      <c r="F54" s="9">
        <v>0.521053</v>
      </c>
      <c r="G54" s="9" t="s">
        <v>85</v>
      </c>
      <c r="H54" s="30">
        <v>0.514999998</v>
      </c>
      <c r="I54" s="30">
        <v>0.514473677</v>
      </c>
      <c r="J54" s="9" t="s">
        <v>85</v>
      </c>
      <c r="K54" s="9">
        <v>0.541579</v>
      </c>
      <c r="L54" s="9">
        <v>0.544737</v>
      </c>
      <c r="M54" s="9" t="s">
        <v>85</v>
      </c>
      <c r="N54" s="9">
        <v>0.542894733</v>
      </c>
      <c r="O54" s="9">
        <v>0.528947</v>
      </c>
      <c r="P54" s="9" t="s">
        <v>85</v>
      </c>
      <c r="Q54" s="9">
        <v>0.537368</v>
      </c>
      <c r="R54" s="9">
        <v>0.527632</v>
      </c>
      <c r="S54" s="9" t="s">
        <v>85</v>
      </c>
      <c r="T54" s="9">
        <v>0.529473686</v>
      </c>
      <c r="U54" s="9">
        <v>0.526316</v>
      </c>
      <c r="V54" s="9" t="s">
        <v>85</v>
      </c>
      <c r="W54" s="9">
        <v>0.559474</v>
      </c>
      <c r="X54" s="9">
        <v>0.551316</v>
      </c>
      <c r="Y54" s="9" t="s">
        <v>85</v>
      </c>
      <c r="Z54" s="9">
        <v>0.581316</v>
      </c>
      <c r="AA54" s="9">
        <v>0.596053</v>
      </c>
      <c r="AB54" s="9" t="s">
        <v>85</v>
      </c>
      <c r="AC54" s="30">
        <v>0.538684213</v>
      </c>
      <c r="AD54" s="30">
        <v>0.542105</v>
      </c>
      <c r="AE54" s="9" t="s">
        <v>85</v>
      </c>
      <c r="AF54" s="30">
        <v>0.546052635</v>
      </c>
      <c r="AG54" s="30">
        <v>0.531579</v>
      </c>
      <c r="AH54" s="9" t="s">
        <v>85</v>
      </c>
      <c r="AI54" s="9">
        <v>0.524737</v>
      </c>
      <c r="AJ54" s="9">
        <v>0.517105</v>
      </c>
      <c r="AK54" s="9" t="s">
        <v>85</v>
      </c>
      <c r="AL54" s="9">
        <v>0.530526</v>
      </c>
      <c r="AM54" s="9">
        <v>0.530263</v>
      </c>
      <c r="AN54" s="9" t="s">
        <v>85</v>
      </c>
      <c r="AO54" s="9">
        <v>0.538421</v>
      </c>
      <c r="AP54" s="9">
        <v>0.536842</v>
      </c>
      <c r="AQ54" s="9" t="s">
        <v>85</v>
      </c>
      <c r="AR54" s="30">
        <v>0.548684204</v>
      </c>
      <c r="AS54" s="30">
        <v>0.553947</v>
      </c>
      <c r="AT54" s="9" t="s">
        <v>85</v>
      </c>
      <c r="AU54" s="9">
        <v>0.541579</v>
      </c>
      <c r="AV54" s="9">
        <v>0.536842</v>
      </c>
      <c r="AW54" s="9" t="s">
        <v>85</v>
      </c>
      <c r="AX54" s="9">
        <v>0.533684</v>
      </c>
      <c r="AY54" s="9">
        <v>0.542105</v>
      </c>
      <c r="AZ54" s="9" t="s">
        <v>85</v>
      </c>
      <c r="BA54" s="9">
        <v>0.543947</v>
      </c>
      <c r="BB54" s="9">
        <v>0.525</v>
      </c>
      <c r="BC54" s="9" t="s">
        <v>85</v>
      </c>
      <c r="BD54" s="30">
        <v>0.548947</v>
      </c>
      <c r="BE54" s="30">
        <v>0.551316</v>
      </c>
      <c r="BF54" s="9" t="s">
        <v>85</v>
      </c>
      <c r="BG54" s="10" t="s">
        <v>85</v>
      </c>
      <c r="BH54" s="10" t="s">
        <v>85</v>
      </c>
      <c r="BI54" s="9" t="s">
        <v>85</v>
      </c>
      <c r="BJ54" s="6"/>
      <c r="BK54" s="6" t="str">
        <f t="shared" si="2"/>
        <v>8VB_Fold_Median</v>
      </c>
      <c r="BL54" s="6" t="str">
        <f t="shared" si="3"/>
        <v>8VB_Fold_Mean</v>
      </c>
      <c r="BM54" s="6" t="str">
        <f t="shared" si="4"/>
        <v>8V_Fold_Mean</v>
      </c>
      <c r="BN54" s="6"/>
      <c r="BO54" s="6">
        <f t="shared" ref="BO54:BQ54" si="65">IF(ISNUMBER(SEARCH("5",BK54)),5,IF(ISNUMBER(SEARCH("*8*",BK54)),8,IF(ISNUMBER(SEARCH("*10*",BK54)),10,IF(ISNUMBER(SEARCH("*12*",BK54)),12,IF(ISNUMBER(SEARCH("*20*",BK54)),20)))))</f>
        <v>8</v>
      </c>
      <c r="BP54" s="6">
        <f t="shared" si="65"/>
        <v>8</v>
      </c>
      <c r="BQ54" s="6">
        <f t="shared" si="65"/>
        <v>8</v>
      </c>
      <c r="BR54" s="6"/>
      <c r="BS54" s="6">
        <f t="shared" si="6"/>
        <v>77</v>
      </c>
      <c r="BT54" s="6">
        <f t="shared" si="7"/>
        <v>65</v>
      </c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</row>
    <row r="55" ht="15.75" customHeight="1">
      <c r="A55" s="1" t="s">
        <v>149</v>
      </c>
      <c r="B55" s="17">
        <v>80.0</v>
      </c>
      <c r="C55" s="17">
        <v>3.0</v>
      </c>
      <c r="D55" s="17" t="s">
        <v>300</v>
      </c>
      <c r="E55" s="9">
        <v>0.557143</v>
      </c>
      <c r="F55" s="9">
        <v>0.564935</v>
      </c>
      <c r="G55" s="9" t="s">
        <v>85</v>
      </c>
      <c r="H55" s="30">
        <v>0.551948047</v>
      </c>
      <c r="I55" s="30">
        <v>0.558441579</v>
      </c>
      <c r="J55" s="9" t="s">
        <v>85</v>
      </c>
      <c r="K55" s="9">
        <v>0.585714</v>
      </c>
      <c r="L55" s="9">
        <v>0.577922</v>
      </c>
      <c r="M55" s="9" t="s">
        <v>85</v>
      </c>
      <c r="N55" s="9">
        <v>0.572727263</v>
      </c>
      <c r="O55" s="9">
        <v>0.584416</v>
      </c>
      <c r="P55" s="9" t="s">
        <v>85</v>
      </c>
      <c r="Q55" s="9">
        <v>0.588312</v>
      </c>
      <c r="R55" s="9">
        <v>0.584416</v>
      </c>
      <c r="S55" s="9" t="s">
        <v>85</v>
      </c>
      <c r="T55" s="9">
        <v>0.585714269</v>
      </c>
      <c r="U55" s="9">
        <v>0.584416</v>
      </c>
      <c r="V55" s="9" t="s">
        <v>85</v>
      </c>
      <c r="W55" s="9">
        <v>0.575325</v>
      </c>
      <c r="X55" s="9">
        <v>0.577922</v>
      </c>
      <c r="Y55" s="9" t="s">
        <v>85</v>
      </c>
      <c r="Z55" s="9">
        <v>0.549351</v>
      </c>
      <c r="AA55" s="9">
        <v>0.571429</v>
      </c>
      <c r="AB55" s="9" t="s">
        <v>85</v>
      </c>
      <c r="AC55" s="30">
        <v>0.567532456</v>
      </c>
      <c r="AD55" s="30">
        <v>0.584416</v>
      </c>
      <c r="AE55" s="9" t="s">
        <v>85</v>
      </c>
      <c r="AF55" s="30">
        <v>0.581818175</v>
      </c>
      <c r="AG55" s="30">
        <v>0.584416</v>
      </c>
      <c r="AH55" s="9" t="s">
        <v>85</v>
      </c>
      <c r="AI55" s="9">
        <v>0.576623</v>
      </c>
      <c r="AJ55" s="9">
        <v>0.571429</v>
      </c>
      <c r="AK55" s="9" t="s">
        <v>85</v>
      </c>
      <c r="AL55" s="9">
        <v>0.55974</v>
      </c>
      <c r="AM55" s="9">
        <v>0.564935</v>
      </c>
      <c r="AN55" s="9" t="s">
        <v>85</v>
      </c>
      <c r="AO55" s="9">
        <v>0.575325</v>
      </c>
      <c r="AP55" s="9">
        <v>0.584416</v>
      </c>
      <c r="AQ55" s="9" t="s">
        <v>85</v>
      </c>
      <c r="AR55" s="30">
        <v>0.584415591</v>
      </c>
      <c r="AS55" s="30">
        <v>0.577922</v>
      </c>
      <c r="AT55" s="9" t="s">
        <v>85</v>
      </c>
      <c r="AU55" s="9">
        <v>0.577922</v>
      </c>
      <c r="AV55" s="9">
        <v>0.577922</v>
      </c>
      <c r="AW55" s="9" t="s">
        <v>85</v>
      </c>
      <c r="AX55" s="9">
        <v>0.579221</v>
      </c>
      <c r="AY55" s="9">
        <v>0.584416</v>
      </c>
      <c r="AZ55" s="9" t="s">
        <v>85</v>
      </c>
      <c r="BA55" s="9">
        <v>0.575325</v>
      </c>
      <c r="BB55" s="9">
        <v>0.571429</v>
      </c>
      <c r="BC55" s="9" t="s">
        <v>85</v>
      </c>
      <c r="BD55" s="30">
        <v>0.57013</v>
      </c>
      <c r="BE55" s="30">
        <v>0.584416</v>
      </c>
      <c r="BF55" s="9" t="s">
        <v>85</v>
      </c>
      <c r="BG55" s="10" t="s">
        <v>85</v>
      </c>
      <c r="BH55" s="10" t="s">
        <v>85</v>
      </c>
      <c r="BI55" s="9" t="s">
        <v>85</v>
      </c>
      <c r="BJ55" s="6"/>
      <c r="BK55" s="6" t="str">
        <f t="shared" si="2"/>
        <v>8Bo_Fold_Mean</v>
      </c>
      <c r="BL55" s="6" t="str">
        <f t="shared" si="3"/>
        <v>8BoN_Fold_Mean</v>
      </c>
      <c r="BM55" s="6" t="str">
        <f t="shared" si="4"/>
        <v>5V_Fold_Mean</v>
      </c>
      <c r="BN55" s="6"/>
      <c r="BO55" s="6">
        <f t="shared" ref="BO55:BQ55" si="66">IF(ISNUMBER(SEARCH("5",BK55)),5,IF(ISNUMBER(SEARCH("*8*",BK55)),8,IF(ISNUMBER(SEARCH("*10*",BK55)),10,IF(ISNUMBER(SEARCH("*12*",BK55)),12,IF(ISNUMBER(SEARCH("*20*",BK55)),20)))))</f>
        <v>8</v>
      </c>
      <c r="BP55" s="6">
        <f t="shared" si="66"/>
        <v>8</v>
      </c>
      <c r="BQ55" s="6">
        <f t="shared" si="66"/>
        <v>5</v>
      </c>
      <c r="BR55" s="6"/>
      <c r="BS55" s="6">
        <f t="shared" si="6"/>
        <v>86.5</v>
      </c>
      <c r="BT55" s="6">
        <f t="shared" si="7"/>
        <v>65</v>
      </c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</row>
    <row r="56" ht="15.75" customHeight="1">
      <c r="A56" s="1" t="s">
        <v>150</v>
      </c>
      <c r="B56" s="17">
        <v>80.0</v>
      </c>
      <c r="C56" s="17">
        <v>2.0</v>
      </c>
      <c r="D56" s="17" t="s">
        <v>300</v>
      </c>
      <c r="E56" s="9">
        <v>0.685911</v>
      </c>
      <c r="F56" s="9">
        <v>0.714777</v>
      </c>
      <c r="G56" s="9" t="s">
        <v>85</v>
      </c>
      <c r="H56" s="30">
        <v>0.66391753</v>
      </c>
      <c r="I56" s="30">
        <v>0.676975965</v>
      </c>
      <c r="J56" s="9" t="s">
        <v>85</v>
      </c>
      <c r="K56" s="9">
        <v>0.778694</v>
      </c>
      <c r="L56" s="9">
        <v>0.790378</v>
      </c>
      <c r="M56" s="9" t="s">
        <v>85</v>
      </c>
      <c r="N56" s="9">
        <v>0.77182132</v>
      </c>
      <c r="O56" s="9">
        <v>0.780069</v>
      </c>
      <c r="P56" s="9" t="s">
        <v>85</v>
      </c>
      <c r="Q56" s="9">
        <v>0.668041</v>
      </c>
      <c r="R56" s="9">
        <v>0.701031</v>
      </c>
      <c r="S56" s="9" t="s">
        <v>85</v>
      </c>
      <c r="T56" s="9">
        <v>0.722336781</v>
      </c>
      <c r="U56" s="9">
        <v>0.752577</v>
      </c>
      <c r="V56" s="9" t="s">
        <v>85</v>
      </c>
      <c r="W56" s="9">
        <v>0.773883</v>
      </c>
      <c r="X56" s="9">
        <v>0.766323</v>
      </c>
      <c r="Y56" s="9" t="s">
        <v>85</v>
      </c>
      <c r="Z56" s="9">
        <v>0.771821</v>
      </c>
      <c r="AA56" s="9">
        <v>0.769759</v>
      </c>
      <c r="AB56" s="9" t="s">
        <v>85</v>
      </c>
      <c r="AC56" s="30">
        <v>0.740893471</v>
      </c>
      <c r="AD56" s="30">
        <v>0.749141</v>
      </c>
      <c r="AE56" s="9" t="s">
        <v>85</v>
      </c>
      <c r="AF56" s="30">
        <v>0.714089346</v>
      </c>
      <c r="AG56" s="30">
        <v>0.742268</v>
      </c>
      <c r="AH56" s="9" t="s">
        <v>85</v>
      </c>
      <c r="AI56" s="9">
        <v>0.730584</v>
      </c>
      <c r="AJ56" s="9">
        <v>0.756014</v>
      </c>
      <c r="AK56" s="9" t="s">
        <v>85</v>
      </c>
      <c r="AL56" s="9">
        <v>0.778007</v>
      </c>
      <c r="AM56" s="9">
        <v>0.776632</v>
      </c>
      <c r="AN56" s="9" t="s">
        <v>85</v>
      </c>
      <c r="AO56" s="9">
        <v>0.7189</v>
      </c>
      <c r="AP56" s="9">
        <v>0.738832</v>
      </c>
      <c r="AQ56" s="9" t="s">
        <v>85</v>
      </c>
      <c r="AR56" s="30">
        <v>0.697594488</v>
      </c>
      <c r="AS56" s="30">
        <v>0.742268</v>
      </c>
      <c r="AT56" s="9" t="s">
        <v>85</v>
      </c>
      <c r="AU56" s="9">
        <v>0.783505</v>
      </c>
      <c r="AV56" s="9">
        <v>0.790378</v>
      </c>
      <c r="AW56" s="9" t="s">
        <v>85</v>
      </c>
      <c r="AX56" s="9">
        <v>0.784192</v>
      </c>
      <c r="AY56" s="9">
        <v>0.783505</v>
      </c>
      <c r="AZ56" s="9" t="s">
        <v>85</v>
      </c>
      <c r="BA56" s="9">
        <v>0.685911</v>
      </c>
      <c r="BB56" s="9">
        <v>0.718213</v>
      </c>
      <c r="BC56" s="9" t="s">
        <v>85</v>
      </c>
      <c r="BD56" s="30">
        <v>0.756014</v>
      </c>
      <c r="BE56" s="30">
        <v>0.804124</v>
      </c>
      <c r="BF56" s="9" t="s">
        <v>85</v>
      </c>
      <c r="BG56" s="10" t="s">
        <v>85</v>
      </c>
      <c r="BH56" s="10" t="s">
        <v>85</v>
      </c>
      <c r="BI56" s="9" t="s">
        <v>85</v>
      </c>
      <c r="BJ56" s="6"/>
      <c r="BK56" s="6" t="str">
        <f t="shared" si="2"/>
        <v>20V_Fold_Median</v>
      </c>
      <c r="BL56" s="6" t="str">
        <f t="shared" si="3"/>
        <v>5V_Fold_Median</v>
      </c>
      <c r="BM56" s="6" t="str">
        <f t="shared" si="4"/>
        <v>5V_Fold_Median</v>
      </c>
      <c r="BN56" s="6"/>
      <c r="BO56" s="6">
        <f t="shared" ref="BO56:BQ56" si="67">IF(ISNUMBER(SEARCH("5",BK56)),5,IF(ISNUMBER(SEARCH("*8*",BK56)),8,IF(ISNUMBER(SEARCH("*10*",BK56)),10,IF(ISNUMBER(SEARCH("*12*",BK56)),12,IF(ISNUMBER(SEARCH("*20*",BK56)),20)))))</f>
        <v>20</v>
      </c>
      <c r="BP56" s="6">
        <f t="shared" si="67"/>
        <v>5</v>
      </c>
      <c r="BQ56" s="6">
        <f t="shared" si="67"/>
        <v>5</v>
      </c>
      <c r="BR56" s="6"/>
      <c r="BS56" s="6">
        <f t="shared" si="6"/>
        <v>86.5</v>
      </c>
      <c r="BT56" s="6">
        <f t="shared" si="7"/>
        <v>8.5</v>
      </c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</row>
    <row r="57" ht="15.75" customHeight="1">
      <c r="A57" s="1" t="s">
        <v>151</v>
      </c>
      <c r="B57" s="17">
        <v>80.0</v>
      </c>
      <c r="C57" s="17">
        <v>6.0</v>
      </c>
      <c r="D57" s="17" t="s">
        <v>300</v>
      </c>
      <c r="E57" s="9">
        <v>0.549351</v>
      </c>
      <c r="F57" s="9">
        <v>0.558442</v>
      </c>
      <c r="G57" s="9" t="s">
        <v>85</v>
      </c>
      <c r="H57" s="30">
        <v>0.554545474</v>
      </c>
      <c r="I57" s="30">
        <v>0.558441579</v>
      </c>
      <c r="J57" s="9" t="s">
        <v>85</v>
      </c>
      <c r="K57" s="9">
        <v>0.572727</v>
      </c>
      <c r="L57" s="9">
        <v>0.577922</v>
      </c>
      <c r="M57" s="9" t="s">
        <v>85</v>
      </c>
      <c r="N57" s="9">
        <v>0.566233766</v>
      </c>
      <c r="O57" s="9">
        <v>0.558442</v>
      </c>
      <c r="P57" s="9" t="s">
        <v>85</v>
      </c>
      <c r="Q57" s="9">
        <v>0.542857</v>
      </c>
      <c r="R57" s="9">
        <v>0.551948</v>
      </c>
      <c r="S57" s="9" t="s">
        <v>85</v>
      </c>
      <c r="T57" s="9">
        <v>0.553246772</v>
      </c>
      <c r="U57" s="9">
        <v>0.558442</v>
      </c>
      <c r="V57" s="9" t="s">
        <v>85</v>
      </c>
      <c r="W57" s="9">
        <v>0.564935</v>
      </c>
      <c r="X57" s="9">
        <v>0.558442</v>
      </c>
      <c r="Y57" s="9" t="s">
        <v>85</v>
      </c>
      <c r="Z57" s="9">
        <v>0.557143</v>
      </c>
      <c r="AA57" s="9">
        <v>0.558442</v>
      </c>
      <c r="AB57" s="9" t="s">
        <v>85</v>
      </c>
      <c r="AC57" s="30">
        <v>0.561038983</v>
      </c>
      <c r="AD57" s="30">
        <v>0.558442</v>
      </c>
      <c r="AE57" s="9" t="s">
        <v>85</v>
      </c>
      <c r="AF57" s="30">
        <v>0.533766252</v>
      </c>
      <c r="AG57" s="30">
        <v>0.558442</v>
      </c>
      <c r="AH57" s="9" t="s">
        <v>85</v>
      </c>
      <c r="AI57" s="9">
        <v>0.566234</v>
      </c>
      <c r="AJ57" s="9">
        <v>0.558442</v>
      </c>
      <c r="AK57" s="9" t="s">
        <v>85</v>
      </c>
      <c r="AL57" s="9">
        <v>0.558442</v>
      </c>
      <c r="AM57" s="9">
        <v>0.558442</v>
      </c>
      <c r="AN57" s="9" t="s">
        <v>85</v>
      </c>
      <c r="AO57" s="9">
        <v>0.563636</v>
      </c>
      <c r="AP57" s="9">
        <v>0.558442</v>
      </c>
      <c r="AQ57" s="9" t="s">
        <v>85</v>
      </c>
      <c r="AR57" s="30">
        <v>0.563636374</v>
      </c>
      <c r="AS57" s="30">
        <v>0.558442</v>
      </c>
      <c r="AT57" s="9" t="s">
        <v>85</v>
      </c>
      <c r="AU57" s="9">
        <v>0.558442</v>
      </c>
      <c r="AV57" s="9">
        <v>0.558442</v>
      </c>
      <c r="AW57" s="9" t="s">
        <v>85</v>
      </c>
      <c r="AX57" s="9">
        <v>0.557143</v>
      </c>
      <c r="AY57" s="9">
        <v>0.558442</v>
      </c>
      <c r="AZ57" s="9" t="s">
        <v>85</v>
      </c>
      <c r="BA57" s="9">
        <v>0.542857</v>
      </c>
      <c r="BB57" s="9">
        <v>0.558442</v>
      </c>
      <c r="BC57" s="9" t="s">
        <v>85</v>
      </c>
      <c r="BD57" s="30">
        <v>0.567532</v>
      </c>
      <c r="BE57" s="30">
        <v>0.558442</v>
      </c>
      <c r="BF57" s="9" t="s">
        <v>85</v>
      </c>
      <c r="BG57" s="10" t="s">
        <v>85</v>
      </c>
      <c r="BH57" s="10" t="s">
        <v>85</v>
      </c>
      <c r="BI57" s="9" t="s">
        <v>85</v>
      </c>
      <c r="BJ57" s="6"/>
      <c r="BK57" s="6" t="str">
        <f t="shared" si="2"/>
        <v>5V_Fold_Median</v>
      </c>
      <c r="BL57" s="6" t="str">
        <f t="shared" si="3"/>
        <v>5V_Fold_Mean</v>
      </c>
      <c r="BM57" s="6" t="str">
        <f t="shared" si="4"/>
        <v>20V_Fold_Mean</v>
      </c>
      <c r="BN57" s="6"/>
      <c r="BO57" s="6">
        <f t="shared" ref="BO57:BQ57" si="68">IF(ISNUMBER(SEARCH("5",BK57)),5,IF(ISNUMBER(SEARCH("*8*",BK57)),8,IF(ISNUMBER(SEARCH("*10*",BK57)),10,IF(ISNUMBER(SEARCH("*12*",BK57)),12,IF(ISNUMBER(SEARCH("*20*",BK57)),20)))))</f>
        <v>5</v>
      </c>
      <c r="BP57" s="6">
        <f t="shared" si="68"/>
        <v>5</v>
      </c>
      <c r="BQ57" s="6">
        <f t="shared" si="68"/>
        <v>20</v>
      </c>
      <c r="BR57" s="6"/>
      <c r="BS57" s="6">
        <f t="shared" si="6"/>
        <v>86.5</v>
      </c>
      <c r="BT57" s="6">
        <f t="shared" si="7"/>
        <v>86.5</v>
      </c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</row>
    <row r="58" ht="15.75" customHeight="1">
      <c r="A58" s="1" t="s">
        <v>152</v>
      </c>
      <c r="B58" s="17">
        <v>1024.0</v>
      </c>
      <c r="C58" s="17">
        <v>5.0</v>
      </c>
      <c r="D58" s="17" t="s">
        <v>300</v>
      </c>
      <c r="E58" s="9">
        <v>0.813361</v>
      </c>
      <c r="F58" s="9">
        <v>0.822268</v>
      </c>
      <c r="G58" s="9" t="s">
        <v>85</v>
      </c>
      <c r="H58" s="30">
        <v>0.81962887</v>
      </c>
      <c r="I58" s="30">
        <v>0.824742258</v>
      </c>
      <c r="J58" s="9" t="s">
        <v>85</v>
      </c>
      <c r="K58" s="9">
        <v>0.850639</v>
      </c>
      <c r="L58" s="9">
        <v>0.851134</v>
      </c>
      <c r="M58" s="9" t="s">
        <v>85</v>
      </c>
      <c r="N58" s="9">
        <v>0.849814427</v>
      </c>
      <c r="O58" s="9">
        <v>0.856082</v>
      </c>
      <c r="P58" s="9" t="s">
        <v>85</v>
      </c>
      <c r="Q58" s="9">
        <v>0.854268</v>
      </c>
      <c r="R58" s="9">
        <v>0.856082</v>
      </c>
      <c r="S58" s="9" t="s">
        <v>85</v>
      </c>
      <c r="T58" s="9">
        <v>0.85839175</v>
      </c>
      <c r="U58" s="9">
        <v>0.859381</v>
      </c>
      <c r="V58" s="9" t="s">
        <v>85</v>
      </c>
      <c r="W58" s="9">
        <v>0.865567</v>
      </c>
      <c r="X58" s="9">
        <v>0.866804</v>
      </c>
      <c r="Y58" s="9" t="s">
        <v>85</v>
      </c>
      <c r="Z58" s="9">
        <v>0.871835</v>
      </c>
      <c r="AA58" s="9">
        <v>0.875052</v>
      </c>
      <c r="AB58" s="9" t="s">
        <v>85</v>
      </c>
      <c r="AC58" s="30">
        <v>0.852206182</v>
      </c>
      <c r="AD58" s="30">
        <v>0.854433</v>
      </c>
      <c r="AE58" s="9" t="s">
        <v>85</v>
      </c>
      <c r="AF58" s="30">
        <v>0.854597938</v>
      </c>
      <c r="AG58" s="30">
        <v>0.852784</v>
      </c>
      <c r="AH58" s="9" t="s">
        <v>85</v>
      </c>
      <c r="AI58" s="9">
        <v>0.864</v>
      </c>
      <c r="AJ58" s="9">
        <v>0.863505</v>
      </c>
      <c r="AK58" s="9" t="s">
        <v>85</v>
      </c>
      <c r="AL58" s="9">
        <v>0.867216</v>
      </c>
      <c r="AM58" s="9">
        <v>0.867629</v>
      </c>
      <c r="AN58" s="9" t="s">
        <v>85</v>
      </c>
      <c r="AO58" s="9">
        <v>0.851464</v>
      </c>
      <c r="AP58" s="9">
        <v>0.852784</v>
      </c>
      <c r="AQ58" s="9" t="s">
        <v>85</v>
      </c>
      <c r="AR58" s="30">
        <v>0.855835044</v>
      </c>
      <c r="AS58" s="30">
        <v>0.856495</v>
      </c>
      <c r="AT58" s="9" t="s">
        <v>85</v>
      </c>
      <c r="AU58" s="9">
        <v>0.851794</v>
      </c>
      <c r="AV58" s="9">
        <v>0.863918</v>
      </c>
      <c r="AW58" s="9" t="s">
        <v>85</v>
      </c>
      <c r="AX58" s="9">
        <v>0.86268</v>
      </c>
      <c r="AY58" s="9">
        <v>0.861443</v>
      </c>
      <c r="AZ58" s="9" t="s">
        <v>85</v>
      </c>
      <c r="BA58" s="9">
        <v>0.858392</v>
      </c>
      <c r="BB58" s="9">
        <v>0.858969</v>
      </c>
      <c r="BC58" s="9" t="s">
        <v>85</v>
      </c>
      <c r="BD58" s="30">
        <v>0.846845</v>
      </c>
      <c r="BE58" s="30">
        <v>0.874227</v>
      </c>
      <c r="BF58" s="9" t="s">
        <v>85</v>
      </c>
      <c r="BG58" s="10" t="s">
        <v>85</v>
      </c>
      <c r="BH58" s="10" t="s">
        <v>85</v>
      </c>
      <c r="BI58" s="9" t="s">
        <v>85</v>
      </c>
      <c r="BJ58" s="6"/>
      <c r="BK58" s="6" t="str">
        <f t="shared" si="2"/>
        <v>8VB_Fold_Median</v>
      </c>
      <c r="BL58" s="6" t="str">
        <f t="shared" si="3"/>
        <v>20V_Fold_Median</v>
      </c>
      <c r="BM58" s="6" t="str">
        <f t="shared" si="4"/>
        <v>8VB_Fold_Mean</v>
      </c>
      <c r="BN58" s="6"/>
      <c r="BO58" s="6">
        <f t="shared" ref="BO58:BQ58" si="69">IF(ISNUMBER(SEARCH("5",BK58)),5,IF(ISNUMBER(SEARCH("*8*",BK58)),8,IF(ISNUMBER(SEARCH("*10*",BK58)),10,IF(ISNUMBER(SEARCH("*12*",BK58)),12,IF(ISNUMBER(SEARCH("*20*",BK58)),20)))))</f>
        <v>8</v>
      </c>
      <c r="BP58" s="6">
        <f t="shared" si="69"/>
        <v>20</v>
      </c>
      <c r="BQ58" s="6">
        <f t="shared" si="69"/>
        <v>8</v>
      </c>
      <c r="BR58" s="6"/>
      <c r="BS58" s="6">
        <f t="shared" si="6"/>
        <v>16</v>
      </c>
      <c r="BT58" s="6">
        <f t="shared" si="7"/>
        <v>65</v>
      </c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</row>
    <row r="59" ht="15.75" customHeight="1">
      <c r="A59" s="1" t="s">
        <v>153</v>
      </c>
      <c r="B59" s="17">
        <v>1024.0</v>
      </c>
      <c r="C59" s="17">
        <v>5.0</v>
      </c>
      <c r="D59" s="17" t="s">
        <v>300</v>
      </c>
      <c r="E59" s="9">
        <v>0.760082</v>
      </c>
      <c r="F59" s="9">
        <v>0.764948</v>
      </c>
      <c r="G59" s="9" t="s">
        <v>85</v>
      </c>
      <c r="H59" s="30">
        <v>0.749443305</v>
      </c>
      <c r="I59" s="30">
        <v>0.748865962</v>
      </c>
      <c r="J59" s="9" t="s">
        <v>85</v>
      </c>
      <c r="K59" s="9">
        <v>0.788948</v>
      </c>
      <c r="L59" s="9">
        <v>0.789278</v>
      </c>
      <c r="M59" s="9" t="s">
        <v>85</v>
      </c>
      <c r="N59" s="9">
        <v>0.79562887</v>
      </c>
      <c r="O59" s="9">
        <v>0.798763</v>
      </c>
      <c r="P59" s="9" t="s">
        <v>85</v>
      </c>
      <c r="Q59" s="9">
        <v>0.777567</v>
      </c>
      <c r="R59" s="9">
        <v>0.783918</v>
      </c>
      <c r="S59" s="9" t="s">
        <v>85</v>
      </c>
      <c r="T59" s="9">
        <v>0.788041246</v>
      </c>
      <c r="U59" s="9">
        <v>0.796289</v>
      </c>
      <c r="V59" s="9" t="s">
        <v>85</v>
      </c>
      <c r="W59" s="9">
        <v>0.795876</v>
      </c>
      <c r="X59" s="9">
        <v>0.793402</v>
      </c>
      <c r="Y59" s="9" t="s">
        <v>85</v>
      </c>
      <c r="Z59" s="9">
        <v>0.809402</v>
      </c>
      <c r="AA59" s="9">
        <v>0.816495</v>
      </c>
      <c r="AB59" s="9" t="s">
        <v>85</v>
      </c>
      <c r="AC59" s="30">
        <v>0.788041246</v>
      </c>
      <c r="AD59" s="30">
        <v>0.794639</v>
      </c>
      <c r="AE59" s="9" t="s">
        <v>85</v>
      </c>
      <c r="AF59" s="30">
        <v>0.799010313</v>
      </c>
      <c r="AG59" s="30">
        <v>0.802887</v>
      </c>
      <c r="AH59" s="9" t="s">
        <v>85</v>
      </c>
      <c r="AI59" s="9">
        <v>0.812041</v>
      </c>
      <c r="AJ59" s="9">
        <v>0.803299</v>
      </c>
      <c r="AK59" s="9" t="s">
        <v>85</v>
      </c>
      <c r="AL59" s="9">
        <v>0.820948</v>
      </c>
      <c r="AM59" s="9">
        <v>0.82268</v>
      </c>
      <c r="AN59" s="9" t="s">
        <v>85</v>
      </c>
      <c r="AO59" s="9">
        <v>0.786887</v>
      </c>
      <c r="AP59" s="9">
        <v>0.782268</v>
      </c>
      <c r="AQ59" s="9" t="s">
        <v>85</v>
      </c>
      <c r="AR59" s="30">
        <v>0.78523711</v>
      </c>
      <c r="AS59" s="30">
        <v>0.782268</v>
      </c>
      <c r="AT59" s="9" t="s">
        <v>85</v>
      </c>
      <c r="AU59" s="9">
        <v>0.806433</v>
      </c>
      <c r="AV59" s="9">
        <v>0.812783</v>
      </c>
      <c r="AW59" s="9" t="s">
        <v>85</v>
      </c>
      <c r="AX59" s="9">
        <v>0.805361</v>
      </c>
      <c r="AY59" s="9">
        <v>0.807835</v>
      </c>
      <c r="AZ59" s="9" t="s">
        <v>85</v>
      </c>
      <c r="BA59" s="9">
        <v>0.810557</v>
      </c>
      <c r="BB59" s="9">
        <v>0.80701</v>
      </c>
      <c r="BC59" s="9" t="s">
        <v>85</v>
      </c>
      <c r="BD59" s="30">
        <v>0.819464</v>
      </c>
      <c r="BE59" s="30">
        <v>0.81732</v>
      </c>
      <c r="BF59" s="9" t="s">
        <v>85</v>
      </c>
      <c r="BG59" s="10" t="s">
        <v>85</v>
      </c>
      <c r="BH59" s="10" t="s">
        <v>85</v>
      </c>
      <c r="BI59" s="9" t="s">
        <v>85</v>
      </c>
      <c r="BJ59" s="6"/>
      <c r="BK59" s="6" t="str">
        <f t="shared" si="2"/>
        <v>10VB_Fold_Median</v>
      </c>
      <c r="BL59" s="6" t="str">
        <f t="shared" si="3"/>
        <v>10VB_Fold_Mean</v>
      </c>
      <c r="BM59" s="6" t="str">
        <f t="shared" si="4"/>
        <v>20V_Fold_Mean</v>
      </c>
      <c r="BN59" s="6"/>
      <c r="BO59" s="6">
        <f t="shared" ref="BO59:BQ59" si="70">IF(ISNUMBER(SEARCH("5",BK59)),5,IF(ISNUMBER(SEARCH("*8*",BK59)),8,IF(ISNUMBER(SEARCH("*10*",BK59)),10,IF(ISNUMBER(SEARCH("*12*",BK59)),12,IF(ISNUMBER(SEARCH("*20*",BK59)),20)))))</f>
        <v>10</v>
      </c>
      <c r="BP59" s="6">
        <f t="shared" si="70"/>
        <v>10</v>
      </c>
      <c r="BQ59" s="6">
        <f t="shared" si="70"/>
        <v>20</v>
      </c>
      <c r="BR59" s="6"/>
      <c r="BS59" s="6">
        <f t="shared" si="6"/>
        <v>16</v>
      </c>
      <c r="BT59" s="6">
        <f t="shared" si="7"/>
        <v>46.5</v>
      </c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</row>
    <row r="60" ht="15.75" customHeight="1">
      <c r="A60" s="1" t="s">
        <v>154</v>
      </c>
      <c r="B60" s="17">
        <v>84.0</v>
      </c>
      <c r="C60" s="17">
        <v>2.0</v>
      </c>
      <c r="D60" s="17" t="s">
        <v>305</v>
      </c>
      <c r="E60" s="9">
        <v>0.673642</v>
      </c>
      <c r="F60" s="9">
        <v>0.722045</v>
      </c>
      <c r="G60" s="9" t="s">
        <v>85</v>
      </c>
      <c r="H60" s="30">
        <v>0.823162937</v>
      </c>
      <c r="I60" s="30">
        <v>0.809105456</v>
      </c>
      <c r="J60" s="9" t="s">
        <v>85</v>
      </c>
      <c r="K60" s="9">
        <v>0.810064</v>
      </c>
      <c r="L60" s="9">
        <v>0.826677</v>
      </c>
      <c r="M60" s="9" t="s">
        <v>85</v>
      </c>
      <c r="N60" s="9">
        <v>0.75303514</v>
      </c>
      <c r="O60" s="9">
        <v>0.8123</v>
      </c>
      <c r="P60" s="9" t="s">
        <v>85</v>
      </c>
      <c r="Q60" s="9">
        <v>0.739776</v>
      </c>
      <c r="R60" s="9">
        <v>0.748403</v>
      </c>
      <c r="S60" s="9" t="s">
        <v>85</v>
      </c>
      <c r="T60" s="9">
        <v>0.772683704</v>
      </c>
      <c r="U60" s="9">
        <v>0.780351</v>
      </c>
      <c r="V60" s="9" t="s">
        <v>85</v>
      </c>
      <c r="W60" s="9">
        <v>0.755112</v>
      </c>
      <c r="X60" s="9">
        <v>0.82508</v>
      </c>
      <c r="Y60" s="9" t="s">
        <v>85</v>
      </c>
      <c r="Z60" s="9">
        <v>0.74984</v>
      </c>
      <c r="AA60" s="9">
        <v>0.802716</v>
      </c>
      <c r="AB60" s="9" t="s">
        <v>85</v>
      </c>
      <c r="AC60" s="30">
        <v>0.710862625</v>
      </c>
      <c r="AD60" s="30">
        <v>0.735623</v>
      </c>
      <c r="AE60" s="9" t="s">
        <v>85</v>
      </c>
      <c r="AF60" s="30">
        <v>0.754952073</v>
      </c>
      <c r="AG60" s="30">
        <v>0.783546</v>
      </c>
      <c r="AH60" s="9" t="s">
        <v>85</v>
      </c>
      <c r="AI60" s="9">
        <v>0.816933</v>
      </c>
      <c r="AJ60" s="9">
        <v>0.820288</v>
      </c>
      <c r="AK60" s="9" t="s">
        <v>85</v>
      </c>
      <c r="AL60" s="9">
        <v>0.82524</v>
      </c>
      <c r="AM60" s="9">
        <v>0.83147</v>
      </c>
      <c r="AN60" s="9" t="s">
        <v>85</v>
      </c>
      <c r="AO60" s="9">
        <v>0.697604</v>
      </c>
      <c r="AP60" s="9">
        <v>0.753195</v>
      </c>
      <c r="AQ60" s="9" t="s">
        <v>85</v>
      </c>
      <c r="AR60" s="30">
        <v>0.710383391</v>
      </c>
      <c r="AS60" s="30">
        <v>0.739617</v>
      </c>
      <c r="AT60" s="9" t="s">
        <v>85</v>
      </c>
      <c r="AU60" s="9">
        <v>0.8123</v>
      </c>
      <c r="AV60" s="9">
        <v>0.82508</v>
      </c>
      <c r="AW60" s="9" t="s">
        <v>85</v>
      </c>
      <c r="AX60" s="9">
        <v>0.813738</v>
      </c>
      <c r="AY60" s="9">
        <v>0.81869</v>
      </c>
      <c r="AZ60" s="9" t="s">
        <v>85</v>
      </c>
      <c r="BA60" s="9">
        <v>0.71278</v>
      </c>
      <c r="BB60" s="9">
        <v>0.759585</v>
      </c>
      <c r="BC60" s="9" t="s">
        <v>85</v>
      </c>
      <c r="BD60" s="30">
        <v>0.789137</v>
      </c>
      <c r="BE60" s="30">
        <v>0.791534</v>
      </c>
      <c r="BF60" s="9" t="s">
        <v>85</v>
      </c>
      <c r="BG60" s="10" t="s">
        <v>85</v>
      </c>
      <c r="BH60" s="10" t="s">
        <v>85</v>
      </c>
      <c r="BI60" s="9" t="s">
        <v>85</v>
      </c>
      <c r="BJ60" s="6"/>
      <c r="BK60" s="6" t="str">
        <f t="shared" si="2"/>
        <v>10VB_Fold_Median</v>
      </c>
      <c r="BL60" s="6" t="str">
        <f t="shared" si="3"/>
        <v>5V_Fold_Median</v>
      </c>
      <c r="BM60" s="6" t="str">
        <f t="shared" si="4"/>
        <v>10VB_Fold_Mean</v>
      </c>
      <c r="BN60" s="6"/>
      <c r="BO60" s="6">
        <f t="shared" ref="BO60:BQ60" si="71">IF(ISNUMBER(SEARCH("5",BK60)),5,IF(ISNUMBER(SEARCH("*8*",BK60)),8,IF(ISNUMBER(SEARCH("*10*",BK60)),10,IF(ISNUMBER(SEARCH("*12*",BK60)),12,IF(ISNUMBER(SEARCH("*20*",BK60)),20)))))</f>
        <v>10</v>
      </c>
      <c r="BP60" s="6">
        <f t="shared" si="71"/>
        <v>5</v>
      </c>
      <c r="BQ60" s="6">
        <f t="shared" si="71"/>
        <v>10</v>
      </c>
      <c r="BR60" s="6"/>
      <c r="BS60" s="6">
        <f t="shared" si="6"/>
        <v>80</v>
      </c>
      <c r="BT60" s="6">
        <f t="shared" si="7"/>
        <v>46.5</v>
      </c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</row>
    <row r="61" ht="15.75" customHeight="1">
      <c r="A61" s="1" t="s">
        <v>155</v>
      </c>
      <c r="B61" s="17">
        <v>570.0</v>
      </c>
      <c r="C61" s="17">
        <v>4.0</v>
      </c>
      <c r="D61" s="17" t="s">
        <v>302</v>
      </c>
      <c r="E61" s="9">
        <v>0.513333</v>
      </c>
      <c r="F61" s="9">
        <v>0.533333</v>
      </c>
      <c r="G61" s="9" t="s">
        <v>85</v>
      </c>
      <c r="H61" s="30">
        <v>0.406666672</v>
      </c>
      <c r="I61" s="30">
        <v>0.400000006</v>
      </c>
      <c r="J61" s="9" t="s">
        <v>85</v>
      </c>
      <c r="K61" s="9">
        <v>0.4</v>
      </c>
      <c r="L61" s="9">
        <v>0.4</v>
      </c>
      <c r="M61" s="9" t="s">
        <v>85</v>
      </c>
      <c r="N61" s="9">
        <v>0.380000007</v>
      </c>
      <c r="O61" s="9">
        <v>0.4</v>
      </c>
      <c r="P61" s="9" t="s">
        <v>85</v>
      </c>
      <c r="Q61" s="9">
        <v>0.486667</v>
      </c>
      <c r="R61" s="9">
        <v>0.466667</v>
      </c>
      <c r="S61" s="9" t="s">
        <v>85</v>
      </c>
      <c r="T61" s="9">
        <v>0.400000006</v>
      </c>
      <c r="U61" s="9">
        <v>0.4</v>
      </c>
      <c r="V61" s="9" t="s">
        <v>85</v>
      </c>
      <c r="W61" s="9">
        <v>0.406667</v>
      </c>
      <c r="X61" s="9">
        <v>0.4</v>
      </c>
      <c r="Y61" s="9" t="s">
        <v>85</v>
      </c>
      <c r="Z61" s="9">
        <v>0.38</v>
      </c>
      <c r="AA61" s="9">
        <v>0.4</v>
      </c>
      <c r="AB61" s="9" t="s">
        <v>85</v>
      </c>
      <c r="AC61" s="30">
        <v>0.400000006</v>
      </c>
      <c r="AD61" s="30">
        <v>0.4</v>
      </c>
      <c r="AE61" s="9" t="s">
        <v>85</v>
      </c>
      <c r="AF61" s="30">
        <v>0.433333337</v>
      </c>
      <c r="AG61" s="30">
        <v>0.4</v>
      </c>
      <c r="AH61" s="9" t="s">
        <v>85</v>
      </c>
      <c r="AI61" s="9">
        <v>0.4</v>
      </c>
      <c r="AJ61" s="9">
        <v>0.4</v>
      </c>
      <c r="AK61" s="9" t="s">
        <v>85</v>
      </c>
      <c r="AL61" s="9">
        <v>0.4</v>
      </c>
      <c r="AM61" s="9">
        <v>0.4</v>
      </c>
      <c r="AN61" s="9" t="s">
        <v>85</v>
      </c>
      <c r="AO61" s="9">
        <v>0.4</v>
      </c>
      <c r="AP61" s="9">
        <v>0.4</v>
      </c>
      <c r="AQ61" s="9" t="s">
        <v>85</v>
      </c>
      <c r="AR61" s="30">
        <v>0.400000006</v>
      </c>
      <c r="AS61" s="30">
        <v>0.4</v>
      </c>
      <c r="AT61" s="9" t="s">
        <v>85</v>
      </c>
      <c r="AU61" s="9">
        <v>0.4</v>
      </c>
      <c r="AV61" s="9">
        <v>0.4</v>
      </c>
      <c r="AW61" s="9" t="s">
        <v>85</v>
      </c>
      <c r="AX61" s="9">
        <v>0.366667</v>
      </c>
      <c r="AY61" s="9">
        <v>0.4</v>
      </c>
      <c r="AZ61" s="9" t="s">
        <v>85</v>
      </c>
      <c r="BA61" s="9">
        <v>0.44</v>
      </c>
      <c r="BB61" s="9">
        <v>0.4</v>
      </c>
      <c r="BC61" s="9" t="s">
        <v>85</v>
      </c>
      <c r="BD61" s="30">
        <v>0.4</v>
      </c>
      <c r="BE61" s="30">
        <v>0.4</v>
      </c>
      <c r="BF61" s="9" t="s">
        <v>85</v>
      </c>
      <c r="BG61" s="10" t="s">
        <v>85</v>
      </c>
      <c r="BH61" s="10" t="s">
        <v>85</v>
      </c>
      <c r="BI61" s="9" t="s">
        <v>85</v>
      </c>
      <c r="BJ61" s="6"/>
      <c r="BK61" s="6" t="str">
        <f t="shared" si="2"/>
        <v>5Bo_Fold_Median</v>
      </c>
      <c r="BL61" s="6" t="str">
        <f t="shared" si="3"/>
        <v>5Bo_Fold_Mean</v>
      </c>
      <c r="BM61" s="6" t="str">
        <f t="shared" si="4"/>
        <v>8Bo_Fold_Mean</v>
      </c>
      <c r="BN61" s="6"/>
      <c r="BO61" s="6">
        <f t="shared" ref="BO61:BQ61" si="72">IF(ISNUMBER(SEARCH("5",BK61)),5,IF(ISNUMBER(SEARCH("*8*",BK61)),8,IF(ISNUMBER(SEARCH("*10*",BK61)),10,IF(ISNUMBER(SEARCH("*12*",BK61)),12,IF(ISNUMBER(SEARCH("*20*",BK61)),20)))))</f>
        <v>5</v>
      </c>
      <c r="BP61" s="6">
        <f t="shared" si="72"/>
        <v>5</v>
      </c>
      <c r="BQ61" s="6">
        <f t="shared" si="72"/>
        <v>8</v>
      </c>
      <c r="BR61" s="6"/>
      <c r="BS61" s="6">
        <f t="shared" si="6"/>
        <v>30</v>
      </c>
      <c r="BT61" s="6">
        <f t="shared" si="7"/>
        <v>86.5</v>
      </c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</row>
    <row r="62" ht="15.75" customHeight="1">
      <c r="A62" s="1" t="s">
        <v>156</v>
      </c>
      <c r="B62" s="17">
        <v>427.0</v>
      </c>
      <c r="C62" s="17">
        <v>6.0</v>
      </c>
      <c r="D62" s="17" t="s">
        <v>300</v>
      </c>
      <c r="E62" s="9">
        <v>0.41157</v>
      </c>
      <c r="F62" s="9">
        <v>0.413223</v>
      </c>
      <c r="G62" s="9" t="s">
        <v>85</v>
      </c>
      <c r="H62" s="30">
        <v>0.444628102</v>
      </c>
      <c r="I62" s="30">
        <v>0.446280986</v>
      </c>
      <c r="J62" s="9" t="s">
        <v>85</v>
      </c>
      <c r="K62" s="9">
        <v>0.455372</v>
      </c>
      <c r="L62" s="9">
        <v>0.450413</v>
      </c>
      <c r="M62" s="9" t="s">
        <v>85</v>
      </c>
      <c r="N62" s="9">
        <v>0.41404959</v>
      </c>
      <c r="O62" s="9">
        <v>0.400826</v>
      </c>
      <c r="P62" s="9" t="s">
        <v>85</v>
      </c>
      <c r="Q62" s="9">
        <v>0.384298</v>
      </c>
      <c r="R62" s="9">
        <v>0.38843</v>
      </c>
      <c r="S62" s="9" t="s">
        <v>85</v>
      </c>
      <c r="T62" s="9">
        <v>0.416528928</v>
      </c>
      <c r="U62" s="9">
        <v>0.413223</v>
      </c>
      <c r="V62" s="9" t="s">
        <v>85</v>
      </c>
      <c r="W62" s="9">
        <v>0.435537</v>
      </c>
      <c r="X62" s="9">
        <v>0.446281</v>
      </c>
      <c r="Y62" s="9" t="s">
        <v>85</v>
      </c>
      <c r="Z62" s="9">
        <v>0.430579</v>
      </c>
      <c r="AA62" s="9">
        <v>0.429752</v>
      </c>
      <c r="AB62" s="9" t="s">
        <v>85</v>
      </c>
      <c r="AC62" s="30">
        <v>0.459504133</v>
      </c>
      <c r="AD62" s="30">
        <v>0.46281</v>
      </c>
      <c r="AE62" s="9" t="s">
        <v>85</v>
      </c>
      <c r="AF62" s="30">
        <v>0.457024795</v>
      </c>
      <c r="AG62" s="30">
        <v>0.458678</v>
      </c>
      <c r="AH62" s="9" t="s">
        <v>85</v>
      </c>
      <c r="AI62" s="9">
        <v>0.431405</v>
      </c>
      <c r="AJ62" s="9">
        <v>0.417355</v>
      </c>
      <c r="AK62" s="9" t="s">
        <v>85</v>
      </c>
      <c r="AL62" s="9">
        <v>0.433884</v>
      </c>
      <c r="AM62" s="9">
        <v>0.429752</v>
      </c>
      <c r="AN62" s="9" t="s">
        <v>85</v>
      </c>
      <c r="AO62" s="9">
        <v>0.461983</v>
      </c>
      <c r="AP62" s="9">
        <v>0.454545</v>
      </c>
      <c r="AQ62" s="9" t="s">
        <v>85</v>
      </c>
      <c r="AR62" s="30">
        <v>0.466115707</v>
      </c>
      <c r="AS62" s="30">
        <v>0.466942</v>
      </c>
      <c r="AT62" s="9" t="s">
        <v>85</v>
      </c>
      <c r="AU62" s="9">
        <v>0.506612</v>
      </c>
      <c r="AV62" s="9">
        <v>0.487603</v>
      </c>
      <c r="AW62" s="9" t="s">
        <v>85</v>
      </c>
      <c r="AX62" s="9">
        <v>0.480992</v>
      </c>
      <c r="AY62" s="9">
        <v>0.495868</v>
      </c>
      <c r="AZ62" s="9" t="s">
        <v>85</v>
      </c>
      <c r="BA62" s="9">
        <v>0.458678</v>
      </c>
      <c r="BB62" s="9">
        <v>0.458678</v>
      </c>
      <c r="BC62" s="9" t="s">
        <v>85</v>
      </c>
      <c r="BD62" s="30">
        <v>0.449587</v>
      </c>
      <c r="BE62" s="30">
        <v>0.471074</v>
      </c>
      <c r="BF62" s="9" t="s">
        <v>85</v>
      </c>
      <c r="BG62" s="10" t="s">
        <v>85</v>
      </c>
      <c r="BH62" s="10" t="s">
        <v>85</v>
      </c>
      <c r="BI62" s="9" t="s">
        <v>85</v>
      </c>
      <c r="BJ62" s="6"/>
      <c r="BK62" s="6" t="str">
        <f t="shared" si="2"/>
        <v>12V_Fold_Mean</v>
      </c>
      <c r="BL62" s="6" t="str">
        <f t="shared" si="3"/>
        <v>12VB_Fold_Median</v>
      </c>
      <c r="BM62" s="6" t="str">
        <f t="shared" si="4"/>
        <v>12V_Fold_Median</v>
      </c>
      <c r="BN62" s="6"/>
      <c r="BO62" s="6">
        <f t="shared" ref="BO62:BQ62" si="73">IF(ISNUMBER(SEARCH("5",BK62)),5,IF(ISNUMBER(SEARCH("*8*",BK62)),8,IF(ISNUMBER(SEARCH("*10*",BK62)),10,IF(ISNUMBER(SEARCH("*12*",BK62)),12,IF(ISNUMBER(SEARCH("*20*",BK62)),20)))))</f>
        <v>12</v>
      </c>
      <c r="BP62" s="6">
        <f t="shared" si="73"/>
        <v>12</v>
      </c>
      <c r="BQ62" s="6">
        <f t="shared" si="73"/>
        <v>12</v>
      </c>
      <c r="BR62" s="6"/>
      <c r="BS62" s="6">
        <f t="shared" si="6"/>
        <v>43</v>
      </c>
      <c r="BT62" s="6">
        <f t="shared" si="7"/>
        <v>27</v>
      </c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</row>
    <row r="63" ht="15.75" customHeight="1">
      <c r="A63" s="1" t="s">
        <v>157</v>
      </c>
      <c r="B63" s="17">
        <v>80.0</v>
      </c>
      <c r="C63" s="17">
        <v>2.0</v>
      </c>
      <c r="D63" s="17" t="s">
        <v>300</v>
      </c>
      <c r="E63" s="9">
        <v>0.660606</v>
      </c>
      <c r="F63" s="9">
        <v>0.613054</v>
      </c>
      <c r="G63" s="9" t="s">
        <v>85</v>
      </c>
      <c r="H63" s="30">
        <v>0.677855492</v>
      </c>
      <c r="I63" s="30">
        <v>0.692307711</v>
      </c>
      <c r="J63" s="9" t="s">
        <v>85</v>
      </c>
      <c r="K63" s="9">
        <v>0.731702</v>
      </c>
      <c r="L63" s="9">
        <v>0.731935</v>
      </c>
      <c r="M63" s="9" t="s">
        <v>85</v>
      </c>
      <c r="N63" s="9">
        <v>0.721445227</v>
      </c>
      <c r="O63" s="9">
        <v>0.748252</v>
      </c>
      <c r="P63" s="9" t="s">
        <v>85</v>
      </c>
      <c r="Q63" s="9">
        <v>0.697902</v>
      </c>
      <c r="R63" s="9">
        <v>0.715618</v>
      </c>
      <c r="S63" s="9" t="s">
        <v>85</v>
      </c>
      <c r="T63" s="9">
        <v>0.697202802</v>
      </c>
      <c r="U63" s="9">
        <v>0.713287</v>
      </c>
      <c r="V63" s="9" t="s">
        <v>85</v>
      </c>
      <c r="W63" s="9">
        <v>0.773193</v>
      </c>
      <c r="X63" s="9">
        <v>0.772727</v>
      </c>
      <c r="Y63" s="9" t="s">
        <v>85</v>
      </c>
      <c r="Z63" s="9">
        <v>0.758974</v>
      </c>
      <c r="AA63" s="9">
        <v>0.758741</v>
      </c>
      <c r="AB63" s="9" t="s">
        <v>85</v>
      </c>
      <c r="AC63" s="30">
        <v>0.703962719</v>
      </c>
      <c r="AD63" s="30">
        <v>0.722611</v>
      </c>
      <c r="AE63" s="9" t="s">
        <v>85</v>
      </c>
      <c r="AF63" s="30">
        <v>0.693473184</v>
      </c>
      <c r="AG63" s="30">
        <v>0.740093</v>
      </c>
      <c r="AH63" s="9" t="s">
        <v>85</v>
      </c>
      <c r="AI63" s="9">
        <v>0.762471</v>
      </c>
      <c r="AJ63" s="9">
        <v>0.762238</v>
      </c>
      <c r="AK63" s="9" t="s">
        <v>85</v>
      </c>
      <c r="AL63" s="9">
        <v>0.734732</v>
      </c>
      <c r="AM63" s="9">
        <v>0.764569</v>
      </c>
      <c r="AN63" s="9" t="s">
        <v>85</v>
      </c>
      <c r="AO63" s="9">
        <v>0.72634</v>
      </c>
      <c r="AP63" s="9">
        <v>0.75641</v>
      </c>
      <c r="AQ63" s="9" t="s">
        <v>85</v>
      </c>
      <c r="AR63" s="30">
        <v>0.756643355</v>
      </c>
      <c r="AS63" s="30">
        <v>0.757576</v>
      </c>
      <c r="AT63" s="9" t="s">
        <v>85</v>
      </c>
      <c r="AU63" s="9">
        <v>0.782284</v>
      </c>
      <c r="AV63" s="9">
        <v>0.784382</v>
      </c>
      <c r="AW63" s="9" t="s">
        <v>85</v>
      </c>
      <c r="AX63" s="9">
        <v>0.784615</v>
      </c>
      <c r="AY63" s="9">
        <v>0.780886</v>
      </c>
      <c r="AZ63" s="9" t="s">
        <v>85</v>
      </c>
      <c r="BA63" s="9">
        <v>0.741492</v>
      </c>
      <c r="BB63" s="9">
        <v>0.745921</v>
      </c>
      <c r="BC63" s="9" t="s">
        <v>85</v>
      </c>
      <c r="BD63" s="30">
        <v>0.662704</v>
      </c>
      <c r="BE63" s="30">
        <v>0.613054</v>
      </c>
      <c r="BF63" s="9" t="s">
        <v>85</v>
      </c>
      <c r="BG63" s="10" t="s">
        <v>85</v>
      </c>
      <c r="BH63" s="10" t="s">
        <v>85</v>
      </c>
      <c r="BI63" s="9" t="s">
        <v>85</v>
      </c>
      <c r="BJ63" s="6"/>
      <c r="BK63" s="6" t="str">
        <f t="shared" si="2"/>
        <v>12VB_Fold_Mean</v>
      </c>
      <c r="BL63" s="6" t="str">
        <f t="shared" si="3"/>
        <v>12V_Fold_Median</v>
      </c>
      <c r="BM63" s="6" t="str">
        <f t="shared" si="4"/>
        <v>12V_Fold_Mean</v>
      </c>
      <c r="BN63" s="6"/>
      <c r="BO63" s="6">
        <f t="shared" ref="BO63:BQ63" si="74">IF(ISNUMBER(SEARCH("5",BK63)),5,IF(ISNUMBER(SEARCH("*8*",BK63)),8,IF(ISNUMBER(SEARCH("*10*",BK63)),10,IF(ISNUMBER(SEARCH("*12*",BK63)),12,IF(ISNUMBER(SEARCH("*20*",BK63)),20)))))</f>
        <v>12</v>
      </c>
      <c r="BP63" s="6">
        <f t="shared" si="74"/>
        <v>12</v>
      </c>
      <c r="BQ63" s="6">
        <f t="shared" si="74"/>
        <v>12</v>
      </c>
      <c r="BR63" s="6"/>
      <c r="BS63" s="6">
        <f t="shared" si="6"/>
        <v>86.5</v>
      </c>
      <c r="BT63" s="6">
        <f t="shared" si="7"/>
        <v>27</v>
      </c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</row>
    <row r="64" ht="15.75" customHeight="1">
      <c r="A64" s="1" t="s">
        <v>158</v>
      </c>
      <c r="B64" s="17">
        <v>1024.0</v>
      </c>
      <c r="C64" s="17">
        <v>39.0</v>
      </c>
      <c r="D64" s="17" t="s">
        <v>312</v>
      </c>
      <c r="E64" s="9">
        <v>0.145042</v>
      </c>
      <c r="F64" s="9">
        <v>0.141878</v>
      </c>
      <c r="G64" s="9" t="s">
        <v>85</v>
      </c>
      <c r="H64" s="30">
        <v>0.143565401</v>
      </c>
      <c r="I64" s="30">
        <v>0.145569623</v>
      </c>
      <c r="J64" s="9" t="s">
        <v>85</v>
      </c>
      <c r="K64" s="9">
        <v>0.154958</v>
      </c>
      <c r="L64" s="9">
        <v>0.1577</v>
      </c>
      <c r="M64" s="9" t="s">
        <v>85</v>
      </c>
      <c r="N64" s="9">
        <v>0.153797466</v>
      </c>
      <c r="O64" s="9">
        <v>0.156118</v>
      </c>
      <c r="P64" s="9" t="s">
        <v>85</v>
      </c>
      <c r="Q64" s="9">
        <v>0.152426</v>
      </c>
      <c r="R64" s="9">
        <v>0.151899</v>
      </c>
      <c r="S64" s="9" t="s">
        <v>85</v>
      </c>
      <c r="T64" s="9">
        <v>0.15179325</v>
      </c>
      <c r="U64" s="9">
        <v>0.149789</v>
      </c>
      <c r="V64" s="9" t="s">
        <v>85</v>
      </c>
      <c r="W64" s="9">
        <v>0.143038</v>
      </c>
      <c r="X64" s="9">
        <v>0.152426</v>
      </c>
      <c r="Y64" s="9" t="s">
        <v>85</v>
      </c>
      <c r="Z64" s="9">
        <v>0.151899</v>
      </c>
      <c r="AA64" s="9">
        <v>0.153481</v>
      </c>
      <c r="AB64" s="9" t="s">
        <v>85</v>
      </c>
      <c r="AC64" s="30">
        <v>0.147257385</v>
      </c>
      <c r="AD64" s="30">
        <v>0.149789</v>
      </c>
      <c r="AE64" s="9" t="s">
        <v>85</v>
      </c>
      <c r="AF64" s="30">
        <v>0.153375527</v>
      </c>
      <c r="AG64" s="30">
        <v>0.152426</v>
      </c>
      <c r="AH64" s="9" t="s">
        <v>85</v>
      </c>
      <c r="AI64" s="9">
        <v>0.151582</v>
      </c>
      <c r="AJ64" s="9">
        <v>0.149262</v>
      </c>
      <c r="AK64" s="9" t="s">
        <v>85</v>
      </c>
      <c r="AL64" s="9">
        <v>0.150527</v>
      </c>
      <c r="AM64" s="9">
        <v>0.150844</v>
      </c>
      <c r="AN64" s="9" t="s">
        <v>85</v>
      </c>
      <c r="AO64" s="9">
        <v>0.165823</v>
      </c>
      <c r="AP64" s="9">
        <v>0.167194</v>
      </c>
      <c r="AQ64" s="9" t="s">
        <v>85</v>
      </c>
      <c r="AR64" s="30">
        <v>0.155801687</v>
      </c>
      <c r="AS64" s="30">
        <v>0.156646</v>
      </c>
      <c r="AT64" s="9" t="s">
        <v>85</v>
      </c>
      <c r="AU64" s="9">
        <v>0.144198</v>
      </c>
      <c r="AV64" s="9">
        <v>0.149262</v>
      </c>
      <c r="AW64" s="9" t="s">
        <v>85</v>
      </c>
      <c r="AX64" s="9">
        <v>0.145464</v>
      </c>
      <c r="AY64" s="9">
        <v>0.149262</v>
      </c>
      <c r="AZ64" s="9" t="s">
        <v>85</v>
      </c>
      <c r="BA64" s="9">
        <v>0.148207</v>
      </c>
      <c r="BB64" s="9">
        <v>0.150844</v>
      </c>
      <c r="BC64" s="9" t="s">
        <v>85</v>
      </c>
      <c r="BD64" s="30">
        <v>0.127426</v>
      </c>
      <c r="BE64" s="30">
        <v>0.120781</v>
      </c>
      <c r="BF64" s="9" t="s">
        <v>85</v>
      </c>
      <c r="BG64" s="10" t="s">
        <v>85</v>
      </c>
      <c r="BH64" s="10" t="s">
        <v>85</v>
      </c>
      <c r="BI64" s="9" t="s">
        <v>85</v>
      </c>
      <c r="BJ64" s="6"/>
      <c r="BK64" s="6" t="str">
        <f t="shared" si="2"/>
        <v>12Bo_Fold_Median</v>
      </c>
      <c r="BL64" s="6" t="str">
        <f t="shared" si="3"/>
        <v>12Bo_Fold_Mean</v>
      </c>
      <c r="BM64" s="6" t="str">
        <f t="shared" si="4"/>
        <v>5V_Fold_Median</v>
      </c>
      <c r="BN64" s="6"/>
      <c r="BO64" s="6">
        <f t="shared" ref="BO64:BQ64" si="75">IF(ISNUMBER(SEARCH("5",BK64)),5,IF(ISNUMBER(SEARCH("*8*",BK64)),8,IF(ISNUMBER(SEARCH("*10*",BK64)),10,IF(ISNUMBER(SEARCH("*12*",BK64)),12,IF(ISNUMBER(SEARCH("*20*",BK64)),20)))))</f>
        <v>12</v>
      </c>
      <c r="BP64" s="6">
        <f t="shared" si="75"/>
        <v>12</v>
      </c>
      <c r="BQ64" s="6">
        <f t="shared" si="75"/>
        <v>5</v>
      </c>
      <c r="BR64" s="6"/>
      <c r="BS64" s="6">
        <f t="shared" si="6"/>
        <v>16</v>
      </c>
      <c r="BT64" s="6">
        <f t="shared" si="7"/>
        <v>27</v>
      </c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</row>
    <row r="65" ht="15.75" customHeight="1">
      <c r="A65" s="1" t="s">
        <v>159</v>
      </c>
      <c r="B65" s="17">
        <v>2000.0</v>
      </c>
      <c r="C65" s="17">
        <v>52.0</v>
      </c>
      <c r="D65" s="17" t="s">
        <v>310</v>
      </c>
      <c r="E65" s="9">
        <v>0.032692</v>
      </c>
      <c r="F65" s="9">
        <v>0.028846</v>
      </c>
      <c r="G65" s="9" t="s">
        <v>85</v>
      </c>
      <c r="H65" s="30">
        <v>0.039423078</v>
      </c>
      <c r="I65" s="30">
        <v>0.033653848</v>
      </c>
      <c r="J65" s="9" t="s">
        <v>85</v>
      </c>
      <c r="K65" s="9">
        <v>0.047115</v>
      </c>
      <c r="L65" s="9">
        <v>0.052885</v>
      </c>
      <c r="M65" s="9" t="s">
        <v>85</v>
      </c>
      <c r="N65" s="9">
        <v>0.025</v>
      </c>
      <c r="O65" s="9">
        <v>0.024038</v>
      </c>
      <c r="P65" s="9" t="s">
        <v>85</v>
      </c>
      <c r="Q65" s="9">
        <v>0.032692</v>
      </c>
      <c r="R65" s="9">
        <v>0.019231</v>
      </c>
      <c r="S65" s="9" t="s">
        <v>85</v>
      </c>
      <c r="T65" s="9">
        <v>0.032692308</v>
      </c>
      <c r="U65" s="9">
        <v>0.024038</v>
      </c>
      <c r="V65" s="9" t="s">
        <v>85</v>
      </c>
      <c r="W65" s="9">
        <v>0.033654</v>
      </c>
      <c r="X65" s="9">
        <v>0.028846</v>
      </c>
      <c r="Y65" s="9" t="s">
        <v>85</v>
      </c>
      <c r="Z65" s="9">
        <v>0.023077</v>
      </c>
      <c r="AA65" s="9">
        <v>0.019231</v>
      </c>
      <c r="AB65" s="9" t="s">
        <v>85</v>
      </c>
      <c r="AC65" s="30">
        <v>0.035576924</v>
      </c>
      <c r="AD65" s="30">
        <v>0.033654</v>
      </c>
      <c r="AE65" s="9" t="s">
        <v>85</v>
      </c>
      <c r="AF65" s="30">
        <v>0.032692308</v>
      </c>
      <c r="AG65" s="30">
        <v>0.028846</v>
      </c>
      <c r="AH65" s="9" t="s">
        <v>85</v>
      </c>
      <c r="AI65" s="9">
        <v>0.035577</v>
      </c>
      <c r="AJ65" s="9">
        <v>0.038462</v>
      </c>
      <c r="AK65" s="9" t="s">
        <v>85</v>
      </c>
      <c r="AL65" s="9">
        <v>0.019231</v>
      </c>
      <c r="AM65" s="9">
        <v>0.014423</v>
      </c>
      <c r="AN65" s="9" t="s">
        <v>85</v>
      </c>
      <c r="AO65" s="9">
        <v>0.025</v>
      </c>
      <c r="AP65" s="9">
        <v>0.024038</v>
      </c>
      <c r="AQ65" s="9" t="s">
        <v>85</v>
      </c>
      <c r="AR65" s="30">
        <v>0.026923077</v>
      </c>
      <c r="AS65" s="30">
        <v>0.024038</v>
      </c>
      <c r="AT65" s="9" t="s">
        <v>85</v>
      </c>
      <c r="AU65" s="9">
        <v>0.028846</v>
      </c>
      <c r="AV65" s="9">
        <v>0.033654</v>
      </c>
      <c r="AW65" s="9" t="s">
        <v>85</v>
      </c>
      <c r="AX65" s="9">
        <v>0.033654</v>
      </c>
      <c r="AY65" s="9">
        <v>0.033654</v>
      </c>
      <c r="AZ65" s="9" t="s">
        <v>85</v>
      </c>
      <c r="BA65" s="9">
        <v>0.024038</v>
      </c>
      <c r="BB65" s="9">
        <v>0.019231</v>
      </c>
      <c r="BC65" s="9" t="s">
        <v>85</v>
      </c>
      <c r="BD65" s="30">
        <v>0.036538</v>
      </c>
      <c r="BE65" s="30">
        <v>0.038462</v>
      </c>
      <c r="BF65" s="9" t="s">
        <v>85</v>
      </c>
      <c r="BG65" s="10" t="s">
        <v>85</v>
      </c>
      <c r="BH65" s="10" t="s">
        <v>85</v>
      </c>
      <c r="BI65" s="9" t="s">
        <v>85</v>
      </c>
      <c r="BJ65" s="6"/>
      <c r="BK65" s="6" t="str">
        <f t="shared" si="2"/>
        <v>5V_Fold_Median</v>
      </c>
      <c r="BL65" s="6" t="str">
        <f t="shared" si="3"/>
        <v>5V_Fold_Mean</v>
      </c>
      <c r="BM65" s="6" t="str">
        <f t="shared" si="4"/>
        <v>5BoN_Fold_Mean</v>
      </c>
      <c r="BN65" s="6"/>
      <c r="BO65" s="6">
        <f t="shared" ref="BO65:BQ65" si="76">IF(ISNUMBER(SEARCH("5",BK65)),5,IF(ISNUMBER(SEARCH("*8*",BK65)),8,IF(ISNUMBER(SEARCH("*10*",BK65)),10,IF(ISNUMBER(SEARCH("*12*",BK65)),12,IF(ISNUMBER(SEARCH("*20*",BK65)),20)))))</f>
        <v>5</v>
      </c>
      <c r="BP65" s="6">
        <f t="shared" si="76"/>
        <v>5</v>
      </c>
      <c r="BQ65" s="6">
        <f t="shared" si="76"/>
        <v>5</v>
      </c>
      <c r="BR65" s="6"/>
      <c r="BS65" s="6">
        <f t="shared" si="6"/>
        <v>4</v>
      </c>
      <c r="BT65" s="6">
        <f t="shared" si="7"/>
        <v>86.5</v>
      </c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</row>
    <row r="66" ht="15.75" customHeight="1">
      <c r="A66" s="1" t="s">
        <v>160</v>
      </c>
      <c r="B66" s="17">
        <v>2000.0</v>
      </c>
      <c r="C66" s="17">
        <v>52.0</v>
      </c>
      <c r="D66" s="17" t="s">
        <v>310</v>
      </c>
      <c r="E66" s="9">
        <v>0.031731</v>
      </c>
      <c r="F66" s="9">
        <v>0.019231</v>
      </c>
      <c r="G66" s="9" t="s">
        <v>85</v>
      </c>
      <c r="H66" s="30">
        <v>0.027884616</v>
      </c>
      <c r="I66" s="30">
        <v>0.024038462</v>
      </c>
      <c r="J66" s="9" t="s">
        <v>85</v>
      </c>
      <c r="K66" s="9">
        <v>0.035577</v>
      </c>
      <c r="L66" s="9">
        <v>0.033654</v>
      </c>
      <c r="M66" s="9" t="s">
        <v>85</v>
      </c>
      <c r="N66" s="9">
        <v>0.039423077</v>
      </c>
      <c r="O66" s="9">
        <v>0.028846</v>
      </c>
      <c r="P66" s="9" t="s">
        <v>85</v>
      </c>
      <c r="Q66" s="9">
        <v>0.019231</v>
      </c>
      <c r="R66" s="9">
        <v>0.019231</v>
      </c>
      <c r="S66" s="9" t="s">
        <v>85</v>
      </c>
      <c r="T66" s="9">
        <v>0.022115385</v>
      </c>
      <c r="U66" s="9">
        <v>0.019231</v>
      </c>
      <c r="V66" s="9" t="s">
        <v>85</v>
      </c>
      <c r="W66" s="9">
        <v>0.025</v>
      </c>
      <c r="X66" s="9">
        <v>0.019231</v>
      </c>
      <c r="Y66" s="9" t="s">
        <v>85</v>
      </c>
      <c r="Z66" s="9">
        <v>0.016346</v>
      </c>
      <c r="AA66" s="9">
        <v>0.019231</v>
      </c>
      <c r="AB66" s="9" t="s">
        <v>85</v>
      </c>
      <c r="AC66" s="30">
        <v>0.030769232</v>
      </c>
      <c r="AD66" s="30">
        <v>0.028846</v>
      </c>
      <c r="AE66" s="9" t="s">
        <v>85</v>
      </c>
      <c r="AF66" s="30">
        <v>0.023076924</v>
      </c>
      <c r="AG66" s="30">
        <v>0.019231</v>
      </c>
      <c r="AH66" s="9" t="s">
        <v>85</v>
      </c>
      <c r="AI66" s="9">
        <v>0.027885</v>
      </c>
      <c r="AJ66" s="9">
        <v>0.033654</v>
      </c>
      <c r="AK66" s="9" t="s">
        <v>85</v>
      </c>
      <c r="AL66" s="9">
        <v>0.018269</v>
      </c>
      <c r="AM66" s="9">
        <v>0.019231</v>
      </c>
      <c r="AN66" s="9" t="s">
        <v>85</v>
      </c>
      <c r="AO66" s="9">
        <v>0.025</v>
      </c>
      <c r="AP66" s="9">
        <v>0.019231</v>
      </c>
      <c r="AQ66" s="9" t="s">
        <v>85</v>
      </c>
      <c r="AR66" s="30">
        <v>0.022115385</v>
      </c>
      <c r="AS66" s="30">
        <v>0.024038</v>
      </c>
      <c r="AT66" s="9" t="s">
        <v>85</v>
      </c>
      <c r="AU66" s="9">
        <v>0.017308</v>
      </c>
      <c r="AV66" s="9">
        <v>0.019231</v>
      </c>
      <c r="AW66" s="9" t="s">
        <v>85</v>
      </c>
      <c r="AX66" s="9">
        <v>0.021154</v>
      </c>
      <c r="AY66" s="9">
        <v>0.019231</v>
      </c>
      <c r="AZ66" s="9" t="s">
        <v>85</v>
      </c>
      <c r="BA66" s="9">
        <v>0.021154</v>
      </c>
      <c r="BB66" s="9">
        <v>0.019231</v>
      </c>
      <c r="BC66" s="9" t="s">
        <v>85</v>
      </c>
      <c r="BD66" s="30">
        <v>0.021154</v>
      </c>
      <c r="BE66" s="30">
        <v>0.019231</v>
      </c>
      <c r="BF66" s="9" t="s">
        <v>85</v>
      </c>
      <c r="BG66" s="10" t="s">
        <v>85</v>
      </c>
      <c r="BH66" s="10" t="s">
        <v>85</v>
      </c>
      <c r="BI66" s="9" t="s">
        <v>85</v>
      </c>
      <c r="BJ66" s="6"/>
      <c r="BK66" s="6" t="str">
        <f t="shared" si="2"/>
        <v>5VB_Fold_Mean</v>
      </c>
      <c r="BL66" s="6" t="str">
        <f t="shared" si="3"/>
        <v>5V_Fold_Mean</v>
      </c>
      <c r="BM66" s="6" t="str">
        <f t="shared" si="4"/>
        <v>5V_Fold_Median</v>
      </c>
      <c r="BN66" s="6"/>
      <c r="BO66" s="6">
        <f t="shared" ref="BO66:BQ66" si="77">IF(ISNUMBER(SEARCH("5",BK66)),5,IF(ISNUMBER(SEARCH("*8*",BK66)),8,IF(ISNUMBER(SEARCH("*10*",BK66)),10,IF(ISNUMBER(SEARCH("*12*",BK66)),12,IF(ISNUMBER(SEARCH("*20*",BK66)),20)))))</f>
        <v>5</v>
      </c>
      <c r="BP66" s="6">
        <f t="shared" si="77"/>
        <v>5</v>
      </c>
      <c r="BQ66" s="6">
        <f t="shared" si="77"/>
        <v>5</v>
      </c>
      <c r="BR66" s="6"/>
      <c r="BS66" s="6">
        <f t="shared" si="6"/>
        <v>4</v>
      </c>
      <c r="BT66" s="6">
        <f t="shared" si="7"/>
        <v>86.5</v>
      </c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</row>
    <row r="67" ht="15.75" customHeight="1">
      <c r="A67" s="1" t="s">
        <v>161</v>
      </c>
      <c r="B67" s="17">
        <v>2000.0</v>
      </c>
      <c r="C67" s="17">
        <v>52.0</v>
      </c>
      <c r="D67" s="17" t="s">
        <v>310</v>
      </c>
      <c r="E67" s="9">
        <v>0.021154</v>
      </c>
      <c r="F67" s="9">
        <v>0.019231</v>
      </c>
      <c r="G67" s="9" t="s">
        <v>85</v>
      </c>
      <c r="H67" s="30">
        <v>0.01923077</v>
      </c>
      <c r="I67" s="30">
        <v>0.01923077</v>
      </c>
      <c r="J67" s="9" t="s">
        <v>85</v>
      </c>
      <c r="K67" s="9">
        <v>0.021154</v>
      </c>
      <c r="L67" s="9">
        <v>0.019231</v>
      </c>
      <c r="M67" s="9" t="s">
        <v>85</v>
      </c>
      <c r="N67" s="9">
        <v>0.023076924</v>
      </c>
      <c r="O67" s="9">
        <v>0.019231</v>
      </c>
      <c r="P67" s="9" t="s">
        <v>85</v>
      </c>
      <c r="Q67" s="9">
        <v>0.026923</v>
      </c>
      <c r="R67" s="9">
        <v>0.024038</v>
      </c>
      <c r="S67" s="9" t="s">
        <v>85</v>
      </c>
      <c r="T67" s="9">
        <v>0.027884616</v>
      </c>
      <c r="U67" s="9">
        <v>0.028846</v>
      </c>
      <c r="V67" s="9" t="s">
        <v>85</v>
      </c>
      <c r="W67" s="9">
        <v>0.027885</v>
      </c>
      <c r="X67" s="9">
        <v>0.028846</v>
      </c>
      <c r="Y67" s="9" t="s">
        <v>85</v>
      </c>
      <c r="Z67" s="9">
        <v>0.023077</v>
      </c>
      <c r="AA67" s="9">
        <v>0.024038</v>
      </c>
      <c r="AB67" s="9" t="s">
        <v>85</v>
      </c>
      <c r="AC67" s="30">
        <v>0.018269231</v>
      </c>
      <c r="AD67" s="30">
        <v>0.019231</v>
      </c>
      <c r="AE67" s="9" t="s">
        <v>85</v>
      </c>
      <c r="AF67" s="30">
        <v>0.025961539</v>
      </c>
      <c r="AG67" s="30">
        <v>0.024038</v>
      </c>
      <c r="AH67" s="9" t="s">
        <v>85</v>
      </c>
      <c r="AI67" s="9">
        <v>0.016346</v>
      </c>
      <c r="AJ67" s="9">
        <v>0.019231</v>
      </c>
      <c r="AK67" s="9" t="s">
        <v>85</v>
      </c>
      <c r="AL67" s="9">
        <v>0.027885</v>
      </c>
      <c r="AM67" s="9">
        <v>0.028846</v>
      </c>
      <c r="AN67" s="9" t="s">
        <v>85</v>
      </c>
      <c r="AO67" s="9">
        <v>0.023077</v>
      </c>
      <c r="AP67" s="9">
        <v>0.024038</v>
      </c>
      <c r="AQ67" s="9" t="s">
        <v>85</v>
      </c>
      <c r="AR67" s="30">
        <v>0.025000001</v>
      </c>
      <c r="AS67" s="30">
        <v>0.019231</v>
      </c>
      <c r="AT67" s="9" t="s">
        <v>85</v>
      </c>
      <c r="AU67" s="9">
        <v>0.024038</v>
      </c>
      <c r="AV67" s="9">
        <v>0.024038</v>
      </c>
      <c r="AW67" s="9" t="s">
        <v>85</v>
      </c>
      <c r="AX67" s="9">
        <v>0.015385</v>
      </c>
      <c r="AY67" s="9">
        <v>0.019231</v>
      </c>
      <c r="AZ67" s="9" t="s">
        <v>85</v>
      </c>
      <c r="BA67" s="9">
        <v>0.024038</v>
      </c>
      <c r="BB67" s="9">
        <v>0.019231</v>
      </c>
      <c r="BC67" s="9" t="s">
        <v>85</v>
      </c>
      <c r="BD67" s="30">
        <v>0.019231</v>
      </c>
      <c r="BE67" s="30">
        <v>0.019231</v>
      </c>
      <c r="BF67" s="9" t="s">
        <v>85</v>
      </c>
      <c r="BG67" s="10" t="s">
        <v>85</v>
      </c>
      <c r="BH67" s="10" t="s">
        <v>85</v>
      </c>
      <c r="BI67" s="9" t="s">
        <v>85</v>
      </c>
      <c r="BJ67" s="6"/>
      <c r="BK67" s="6" t="str">
        <f t="shared" si="2"/>
        <v>8BoN_Fold_Median</v>
      </c>
      <c r="BL67" s="6" t="str">
        <f t="shared" si="3"/>
        <v>8BoN_Fold_Median</v>
      </c>
      <c r="BM67" s="6" t="str">
        <f t="shared" si="4"/>
        <v>8BoN_Fold_Median</v>
      </c>
      <c r="BN67" s="6"/>
      <c r="BO67" s="6">
        <f t="shared" ref="BO67:BQ67" si="78">IF(ISNUMBER(SEARCH("5",BK67)),5,IF(ISNUMBER(SEARCH("*8*",BK67)),8,IF(ISNUMBER(SEARCH("*10*",BK67)),10,IF(ISNUMBER(SEARCH("*12*",BK67)),12,IF(ISNUMBER(SEARCH("*20*",BK67)),20)))))</f>
        <v>8</v>
      </c>
      <c r="BP67" s="6">
        <f t="shared" si="78"/>
        <v>8</v>
      </c>
      <c r="BQ67" s="6">
        <f t="shared" si="78"/>
        <v>8</v>
      </c>
      <c r="BR67" s="6"/>
      <c r="BS67" s="6">
        <f t="shared" si="6"/>
        <v>4</v>
      </c>
      <c r="BT67" s="6">
        <f t="shared" si="7"/>
        <v>65</v>
      </c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</row>
    <row r="68" ht="15.75" customHeight="1">
      <c r="A68" s="1" t="s">
        <v>162</v>
      </c>
      <c r="B68" s="17">
        <v>144.0</v>
      </c>
      <c r="C68" s="17">
        <v>7.0</v>
      </c>
      <c r="D68" s="17" t="s">
        <v>305</v>
      </c>
      <c r="E68" s="9">
        <v>0.942857</v>
      </c>
      <c r="F68" s="9">
        <v>0.942857</v>
      </c>
      <c r="G68" s="9" t="s">
        <v>85</v>
      </c>
      <c r="H68" s="30">
        <v>0.939047623</v>
      </c>
      <c r="I68" s="30">
        <v>0.942857146</v>
      </c>
      <c r="J68" s="9" t="s">
        <v>85</v>
      </c>
      <c r="K68" s="9">
        <v>0.990476</v>
      </c>
      <c r="L68" s="9">
        <v>0.990476</v>
      </c>
      <c r="M68" s="9" t="s">
        <v>85</v>
      </c>
      <c r="N68" s="9">
        <v>0.940952384</v>
      </c>
      <c r="O68" s="9">
        <v>0.990476</v>
      </c>
      <c r="P68" s="9" t="s">
        <v>85</v>
      </c>
      <c r="Q68" s="9">
        <v>0.994286</v>
      </c>
      <c r="R68" s="9">
        <v>0.990476</v>
      </c>
      <c r="S68" s="9" t="s">
        <v>85</v>
      </c>
      <c r="T68" s="9">
        <v>0.994285715</v>
      </c>
      <c r="U68" s="9">
        <v>1.0</v>
      </c>
      <c r="V68" s="9" t="s">
        <v>85</v>
      </c>
      <c r="W68" s="9">
        <v>0.971429</v>
      </c>
      <c r="X68" s="9">
        <v>0.971429</v>
      </c>
      <c r="Y68" s="9" t="s">
        <v>85</v>
      </c>
      <c r="Z68" s="9">
        <v>0.986667</v>
      </c>
      <c r="AA68" s="9">
        <v>0.980952</v>
      </c>
      <c r="AB68" s="9" t="s">
        <v>85</v>
      </c>
      <c r="AC68" s="30">
        <v>0.960000002</v>
      </c>
      <c r="AD68" s="30">
        <v>0.990476</v>
      </c>
      <c r="AE68" s="9" t="s">
        <v>85</v>
      </c>
      <c r="AF68" s="30">
        <v>0.990476191</v>
      </c>
      <c r="AG68" s="30">
        <v>0.990476</v>
      </c>
      <c r="AH68" s="9" t="s">
        <v>85</v>
      </c>
      <c r="AI68" s="9">
        <v>0.986667</v>
      </c>
      <c r="AJ68" s="9">
        <v>0.990476</v>
      </c>
      <c r="AK68" s="9" t="s">
        <v>85</v>
      </c>
      <c r="AL68" s="9">
        <v>0.948571</v>
      </c>
      <c r="AM68" s="9">
        <v>0.961905</v>
      </c>
      <c r="AN68" s="9" t="s">
        <v>85</v>
      </c>
      <c r="AO68" s="9">
        <v>0.954286</v>
      </c>
      <c r="AP68" s="9">
        <v>1.0</v>
      </c>
      <c r="AQ68" s="9" t="s">
        <v>85</v>
      </c>
      <c r="AR68" s="30">
        <v>0.994285715</v>
      </c>
      <c r="AS68" s="30">
        <v>1.0</v>
      </c>
      <c r="AT68" s="9" t="s">
        <v>85</v>
      </c>
      <c r="AU68" s="9">
        <v>0.937143</v>
      </c>
      <c r="AV68" s="9">
        <v>0.980952</v>
      </c>
      <c r="AW68" s="9" t="s">
        <v>85</v>
      </c>
      <c r="AX68" s="9">
        <v>0.980952</v>
      </c>
      <c r="AY68" s="9">
        <v>0.980952</v>
      </c>
      <c r="AZ68" s="9" t="s">
        <v>85</v>
      </c>
      <c r="BA68" s="9">
        <v>0.99619</v>
      </c>
      <c r="BB68" s="9">
        <v>1.0</v>
      </c>
      <c r="BC68" s="9" t="s">
        <v>85</v>
      </c>
      <c r="BD68" s="30">
        <v>0.954286</v>
      </c>
      <c r="BE68" s="30">
        <v>0.980952</v>
      </c>
      <c r="BF68" s="9" t="s">
        <v>85</v>
      </c>
      <c r="BG68" s="10" t="s">
        <v>85</v>
      </c>
      <c r="BH68" s="10" t="s">
        <v>85</v>
      </c>
      <c r="BI68" s="9" t="s">
        <v>85</v>
      </c>
      <c r="BJ68" s="6"/>
      <c r="BK68" s="6" t="str">
        <f t="shared" si="2"/>
        <v>8BoN_Fold_Median</v>
      </c>
      <c r="BL68" s="6" t="str">
        <f t="shared" si="3"/>
        <v>8BoN_Fold_Median</v>
      </c>
      <c r="BM68" s="6" t="str">
        <f t="shared" si="4"/>
        <v>8BoN_Fold_Median</v>
      </c>
      <c r="BN68" s="6"/>
      <c r="BO68" s="6">
        <f t="shared" ref="BO68:BQ68" si="79">IF(ISNUMBER(SEARCH("5",BK68)),5,IF(ISNUMBER(SEARCH("*8*",BK68)),8,IF(ISNUMBER(SEARCH("*10*",BK68)),10,IF(ISNUMBER(SEARCH("*12*",BK68)),12,IF(ISNUMBER(SEARCH("*20*",BK68)),20)))))</f>
        <v>8</v>
      </c>
      <c r="BP68" s="6">
        <f t="shared" si="79"/>
        <v>8</v>
      </c>
      <c r="BQ68" s="6">
        <f t="shared" si="79"/>
        <v>8</v>
      </c>
      <c r="BR68" s="6"/>
      <c r="BS68" s="6">
        <f t="shared" si="6"/>
        <v>68</v>
      </c>
      <c r="BT68" s="6">
        <f t="shared" si="7"/>
        <v>65</v>
      </c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</row>
    <row r="69" ht="15.75" customHeight="1">
      <c r="A69" s="1" t="s">
        <v>163</v>
      </c>
      <c r="B69" s="17">
        <v>80.0</v>
      </c>
      <c r="C69" s="17">
        <v>3.0</v>
      </c>
      <c r="D69" s="17" t="s">
        <v>300</v>
      </c>
      <c r="E69" s="9">
        <v>0.846829</v>
      </c>
      <c r="F69" s="9">
        <v>0.848781</v>
      </c>
      <c r="G69" s="9" t="s">
        <v>85</v>
      </c>
      <c r="H69" s="30">
        <v>0.836097562</v>
      </c>
      <c r="I69" s="30">
        <v>0.829268277</v>
      </c>
      <c r="J69" s="9" t="s">
        <v>85</v>
      </c>
      <c r="K69" s="9">
        <v>0.849756</v>
      </c>
      <c r="L69" s="9">
        <v>0.848781</v>
      </c>
      <c r="M69" s="9" t="s">
        <v>85</v>
      </c>
      <c r="N69" s="9">
        <v>0.850731719</v>
      </c>
      <c r="O69" s="9">
        <v>0.848781</v>
      </c>
      <c r="P69" s="9" t="s">
        <v>85</v>
      </c>
      <c r="Q69" s="9">
        <v>0.834146</v>
      </c>
      <c r="R69" s="9">
        <v>0.843902</v>
      </c>
      <c r="S69" s="9" t="s">
        <v>85</v>
      </c>
      <c r="T69" s="9">
        <v>0.846829271</v>
      </c>
      <c r="U69" s="9">
        <v>0.848781</v>
      </c>
      <c r="V69" s="9" t="s">
        <v>85</v>
      </c>
      <c r="W69" s="9">
        <v>0.829268</v>
      </c>
      <c r="X69" s="9">
        <v>0.829268</v>
      </c>
      <c r="Y69" s="9" t="s">
        <v>85</v>
      </c>
      <c r="Z69" s="9">
        <v>0.846829</v>
      </c>
      <c r="AA69" s="9">
        <v>0.848781</v>
      </c>
      <c r="AB69" s="9" t="s">
        <v>85</v>
      </c>
      <c r="AC69" s="30">
        <v>0.845853651</v>
      </c>
      <c r="AD69" s="30">
        <v>0.834146</v>
      </c>
      <c r="AE69" s="9" t="s">
        <v>85</v>
      </c>
      <c r="AF69" s="30">
        <v>0.84000001</v>
      </c>
      <c r="AG69" s="30">
        <v>0.843902</v>
      </c>
      <c r="AH69" s="9" t="s">
        <v>85</v>
      </c>
      <c r="AI69" s="9">
        <v>0.839024</v>
      </c>
      <c r="AJ69" s="9">
        <v>0.839024</v>
      </c>
      <c r="AK69" s="9" t="s">
        <v>85</v>
      </c>
      <c r="AL69" s="9">
        <v>0.845854</v>
      </c>
      <c r="AM69" s="9">
        <v>0.848781</v>
      </c>
      <c r="AN69" s="9" t="s">
        <v>85</v>
      </c>
      <c r="AO69" s="9">
        <v>0.835122</v>
      </c>
      <c r="AP69" s="9">
        <v>0.829268</v>
      </c>
      <c r="AQ69" s="9" t="s">
        <v>85</v>
      </c>
      <c r="AR69" s="30">
        <v>0.846829283</v>
      </c>
      <c r="AS69" s="30">
        <v>0.848781</v>
      </c>
      <c r="AT69" s="9" t="s">
        <v>85</v>
      </c>
      <c r="AU69" s="9">
        <v>0.84878</v>
      </c>
      <c r="AV69" s="9">
        <v>0.863415</v>
      </c>
      <c r="AW69" s="9" t="s">
        <v>85</v>
      </c>
      <c r="AX69" s="9">
        <v>0.837073</v>
      </c>
      <c r="AY69" s="9">
        <v>0.848781</v>
      </c>
      <c r="AZ69" s="9" t="s">
        <v>85</v>
      </c>
      <c r="BA69" s="9">
        <v>0.843902</v>
      </c>
      <c r="BB69" s="9">
        <v>0.843902</v>
      </c>
      <c r="BC69" s="9" t="s">
        <v>85</v>
      </c>
      <c r="BD69" s="30">
        <v>0.850732</v>
      </c>
      <c r="BE69" s="30">
        <v>0.848781</v>
      </c>
      <c r="BF69" s="9" t="s">
        <v>85</v>
      </c>
      <c r="BG69" s="10" t="s">
        <v>85</v>
      </c>
      <c r="BH69" s="10" t="s">
        <v>85</v>
      </c>
      <c r="BI69" s="9" t="s">
        <v>85</v>
      </c>
      <c r="BJ69" s="6"/>
      <c r="BK69" s="6" t="str">
        <f t="shared" si="2"/>
        <v>12V_Fold_Median</v>
      </c>
      <c r="BL69" s="6" t="str">
        <f t="shared" si="3"/>
        <v>20V_Fold_Mean</v>
      </c>
      <c r="BM69" s="6" t="str">
        <f t="shared" si="4"/>
        <v>5VB_Fold_Mean</v>
      </c>
      <c r="BN69" s="6"/>
      <c r="BO69" s="6">
        <f t="shared" ref="BO69:BQ69" si="80">IF(ISNUMBER(SEARCH("5",BK69)),5,IF(ISNUMBER(SEARCH("*8*",BK69)),8,IF(ISNUMBER(SEARCH("*10*",BK69)),10,IF(ISNUMBER(SEARCH("*12*",BK69)),12,IF(ISNUMBER(SEARCH("*20*",BK69)),20)))))</f>
        <v>12</v>
      </c>
      <c r="BP69" s="6">
        <f t="shared" si="80"/>
        <v>20</v>
      </c>
      <c r="BQ69" s="6">
        <f t="shared" si="80"/>
        <v>5</v>
      </c>
      <c r="BR69" s="6"/>
      <c r="BS69" s="6">
        <f t="shared" si="6"/>
        <v>86.5</v>
      </c>
      <c r="BT69" s="6">
        <f t="shared" si="7"/>
        <v>27</v>
      </c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</row>
    <row r="70" ht="15.75" customHeight="1">
      <c r="A70" s="1" t="s">
        <v>164</v>
      </c>
      <c r="B70" s="17">
        <v>80.0</v>
      </c>
      <c r="C70" s="17">
        <v>2.0</v>
      </c>
      <c r="D70" s="17" t="s">
        <v>300</v>
      </c>
      <c r="E70" s="9">
        <v>0.799313</v>
      </c>
      <c r="F70" s="9">
        <v>0.800687</v>
      </c>
      <c r="G70" s="9" t="s">
        <v>85</v>
      </c>
      <c r="H70" s="30">
        <v>0.77594502</v>
      </c>
      <c r="I70" s="30">
        <v>0.786941588</v>
      </c>
      <c r="J70" s="9" t="s">
        <v>85</v>
      </c>
      <c r="K70" s="9">
        <v>0.815808</v>
      </c>
      <c r="L70" s="9">
        <v>0.814433</v>
      </c>
      <c r="M70" s="9" t="s">
        <v>85</v>
      </c>
      <c r="N70" s="9">
        <v>0.82474227</v>
      </c>
      <c r="O70" s="9">
        <v>0.831615</v>
      </c>
      <c r="P70" s="9" t="s">
        <v>85</v>
      </c>
      <c r="Q70" s="9">
        <v>0.778007</v>
      </c>
      <c r="R70" s="9">
        <v>0.800687</v>
      </c>
      <c r="S70" s="9" t="s">
        <v>85</v>
      </c>
      <c r="T70" s="9">
        <v>0.782130587</v>
      </c>
      <c r="U70" s="9">
        <v>0.800687</v>
      </c>
      <c r="V70" s="9" t="s">
        <v>85</v>
      </c>
      <c r="W70" s="9">
        <v>0.828179</v>
      </c>
      <c r="X70" s="9">
        <v>0.828179</v>
      </c>
      <c r="Y70" s="9" t="s">
        <v>85</v>
      </c>
      <c r="Z70" s="9">
        <v>0.821306</v>
      </c>
      <c r="AA70" s="9">
        <v>0.821306</v>
      </c>
      <c r="AB70" s="9" t="s">
        <v>85</v>
      </c>
      <c r="AC70" s="30">
        <v>0.811683857</v>
      </c>
      <c r="AD70" s="30">
        <v>0.817869</v>
      </c>
      <c r="AE70" s="9" t="s">
        <v>85</v>
      </c>
      <c r="AF70" s="30">
        <v>0.812371147</v>
      </c>
      <c r="AG70" s="30">
        <v>0.810997</v>
      </c>
      <c r="AH70" s="9" t="s">
        <v>85</v>
      </c>
      <c r="AI70" s="9">
        <v>0.80756</v>
      </c>
      <c r="AJ70" s="9">
        <v>0.835052</v>
      </c>
      <c r="AK70" s="9" t="s">
        <v>85</v>
      </c>
      <c r="AL70" s="9">
        <v>0.827491</v>
      </c>
      <c r="AM70" s="9">
        <v>0.838488</v>
      </c>
      <c r="AN70" s="9" t="s">
        <v>85</v>
      </c>
      <c r="AO70" s="9">
        <v>0.812371</v>
      </c>
      <c r="AP70" s="9">
        <v>0.817869</v>
      </c>
      <c r="AQ70" s="9" t="s">
        <v>85</v>
      </c>
      <c r="AR70" s="30">
        <v>0.778006876</v>
      </c>
      <c r="AS70" s="30">
        <v>0.797251</v>
      </c>
      <c r="AT70" s="9" t="s">
        <v>85</v>
      </c>
      <c r="AU70" s="9">
        <v>0.852921</v>
      </c>
      <c r="AV70" s="9">
        <v>0.852234</v>
      </c>
      <c r="AW70" s="9" t="s">
        <v>85</v>
      </c>
      <c r="AX70" s="9">
        <v>0.819931</v>
      </c>
      <c r="AY70" s="9">
        <v>0.852234</v>
      </c>
      <c r="AZ70" s="9" t="s">
        <v>85</v>
      </c>
      <c r="BA70" s="9">
        <v>0.776632</v>
      </c>
      <c r="BB70" s="9">
        <v>0.797251</v>
      </c>
      <c r="BC70" s="9" t="s">
        <v>85</v>
      </c>
      <c r="BD70" s="30">
        <v>0.819931</v>
      </c>
      <c r="BE70" s="30">
        <v>0.821306</v>
      </c>
      <c r="BF70" s="9" t="s">
        <v>85</v>
      </c>
      <c r="BG70" s="10" t="s">
        <v>85</v>
      </c>
      <c r="BH70" s="10" t="s">
        <v>85</v>
      </c>
      <c r="BI70" s="9" t="s">
        <v>85</v>
      </c>
      <c r="BJ70" s="6"/>
      <c r="BK70" s="6" t="str">
        <f t="shared" si="2"/>
        <v>12V_Fold_Mean</v>
      </c>
      <c r="BL70" s="6" t="str">
        <f t="shared" si="3"/>
        <v>12V_Fold_Median</v>
      </c>
      <c r="BM70" s="6" t="str">
        <f t="shared" si="4"/>
        <v>12V_Fold_Median</v>
      </c>
      <c r="BN70" s="6"/>
      <c r="BO70" s="6">
        <f t="shared" ref="BO70:BQ70" si="81">IF(ISNUMBER(SEARCH("5",BK70)),5,IF(ISNUMBER(SEARCH("*8*",BK70)),8,IF(ISNUMBER(SEARCH("*10*",BK70)),10,IF(ISNUMBER(SEARCH("*12*",BK70)),12,IF(ISNUMBER(SEARCH("*20*",BK70)),20)))))</f>
        <v>12</v>
      </c>
      <c r="BP70" s="6">
        <f t="shared" si="81"/>
        <v>12</v>
      </c>
      <c r="BQ70" s="6">
        <f t="shared" si="81"/>
        <v>12</v>
      </c>
      <c r="BR70" s="6"/>
      <c r="BS70" s="6">
        <f t="shared" si="6"/>
        <v>86.5</v>
      </c>
      <c r="BT70" s="6">
        <f t="shared" si="7"/>
        <v>27</v>
      </c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</row>
    <row r="71" ht="15.75" customHeight="1">
      <c r="A71" s="1" t="s">
        <v>165</v>
      </c>
      <c r="B71" s="17">
        <v>80.0</v>
      </c>
      <c r="C71" s="17">
        <v>6.0</v>
      </c>
      <c r="D71" s="17" t="s">
        <v>300</v>
      </c>
      <c r="E71" s="9">
        <v>0.766829</v>
      </c>
      <c r="F71" s="9">
        <v>0.765854</v>
      </c>
      <c r="G71" s="9" t="s">
        <v>85</v>
      </c>
      <c r="H71" s="30">
        <v>0.716097558</v>
      </c>
      <c r="I71" s="30">
        <v>0.67804879</v>
      </c>
      <c r="J71" s="9" t="s">
        <v>85</v>
      </c>
      <c r="K71" s="9">
        <v>0.746341</v>
      </c>
      <c r="L71" s="9">
        <v>0.77561</v>
      </c>
      <c r="M71" s="9" t="s">
        <v>85</v>
      </c>
      <c r="N71" s="9">
        <v>0.779512203</v>
      </c>
      <c r="O71" s="9">
        <v>0.795122</v>
      </c>
      <c r="P71" s="9" t="s">
        <v>85</v>
      </c>
      <c r="Q71" s="9">
        <v>0.760976</v>
      </c>
      <c r="R71" s="9">
        <v>0.756098</v>
      </c>
      <c r="S71" s="9" t="s">
        <v>85</v>
      </c>
      <c r="T71" s="9">
        <v>0.776585352</v>
      </c>
      <c r="U71" s="9">
        <v>0.77561</v>
      </c>
      <c r="V71" s="9" t="s">
        <v>85</v>
      </c>
      <c r="W71" s="9">
        <v>0.806829</v>
      </c>
      <c r="X71" s="9">
        <v>0.804878</v>
      </c>
      <c r="Y71" s="9" t="s">
        <v>85</v>
      </c>
      <c r="Z71" s="9">
        <v>0.724878</v>
      </c>
      <c r="AA71" s="9">
        <v>0.678049</v>
      </c>
      <c r="AB71" s="9" t="s">
        <v>85</v>
      </c>
      <c r="AC71" s="30">
        <v>0.743414629</v>
      </c>
      <c r="AD71" s="30">
        <v>0.770732</v>
      </c>
      <c r="AE71" s="9" t="s">
        <v>85</v>
      </c>
      <c r="AF71" s="30">
        <v>0.698536587</v>
      </c>
      <c r="AG71" s="30">
        <v>0.678049</v>
      </c>
      <c r="AH71" s="9" t="s">
        <v>85</v>
      </c>
      <c r="AI71" s="9">
        <v>0.741463</v>
      </c>
      <c r="AJ71" s="9">
        <v>0.765854</v>
      </c>
      <c r="AK71" s="9" t="s">
        <v>85</v>
      </c>
      <c r="AL71" s="9">
        <v>0.764878</v>
      </c>
      <c r="AM71" s="9">
        <v>0.780488</v>
      </c>
      <c r="AN71" s="9" t="s">
        <v>85</v>
      </c>
      <c r="AO71" s="9">
        <v>0.742439</v>
      </c>
      <c r="AP71" s="9">
        <v>0.765854</v>
      </c>
      <c r="AQ71" s="9" t="s">
        <v>85</v>
      </c>
      <c r="AR71" s="30">
        <v>0.758048785</v>
      </c>
      <c r="AS71" s="30">
        <v>0.780488</v>
      </c>
      <c r="AT71" s="9" t="s">
        <v>85</v>
      </c>
      <c r="AU71" s="9">
        <v>0.770732</v>
      </c>
      <c r="AV71" s="9">
        <v>0.760976</v>
      </c>
      <c r="AW71" s="9" t="s">
        <v>85</v>
      </c>
      <c r="AX71" s="9">
        <v>0.789268</v>
      </c>
      <c r="AY71" s="9">
        <v>0.785366</v>
      </c>
      <c r="AZ71" s="9" t="s">
        <v>85</v>
      </c>
      <c r="BA71" s="9">
        <v>0.747317</v>
      </c>
      <c r="BB71" s="9">
        <v>0.756098</v>
      </c>
      <c r="BC71" s="9" t="s">
        <v>85</v>
      </c>
      <c r="BD71" s="30">
        <v>0.760976</v>
      </c>
      <c r="BE71" s="30">
        <v>0.790244</v>
      </c>
      <c r="BF71" s="9" t="s">
        <v>85</v>
      </c>
      <c r="BG71" s="10" t="s">
        <v>85</v>
      </c>
      <c r="BH71" s="10" t="s">
        <v>85</v>
      </c>
      <c r="BI71" s="9" t="s">
        <v>85</v>
      </c>
      <c r="BJ71" s="6"/>
      <c r="BK71" s="6" t="str">
        <f t="shared" si="2"/>
        <v>8V_Fold_Mean</v>
      </c>
      <c r="BL71" s="6" t="str">
        <f t="shared" si="3"/>
        <v>8V_Fold_Median</v>
      </c>
      <c r="BM71" s="6" t="str">
        <f t="shared" si="4"/>
        <v>5VB_Fold_Median</v>
      </c>
      <c r="BN71" s="6"/>
      <c r="BO71" s="6">
        <f t="shared" ref="BO71:BQ71" si="82">IF(ISNUMBER(SEARCH("5",BK71)),5,IF(ISNUMBER(SEARCH("*8*",BK71)),8,IF(ISNUMBER(SEARCH("*10*",BK71)),10,IF(ISNUMBER(SEARCH("*12*",BK71)),12,IF(ISNUMBER(SEARCH("*20*",BK71)),20)))))</f>
        <v>8</v>
      </c>
      <c r="BP71" s="6">
        <f t="shared" si="82"/>
        <v>8</v>
      </c>
      <c r="BQ71" s="6">
        <f t="shared" si="82"/>
        <v>5</v>
      </c>
      <c r="BR71" s="6"/>
      <c r="BS71" s="6">
        <f t="shared" si="6"/>
        <v>86.5</v>
      </c>
      <c r="BT71" s="6">
        <f t="shared" si="7"/>
        <v>65</v>
      </c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</row>
    <row r="72" ht="15.75" customHeight="1">
      <c r="A72" s="1" t="s">
        <v>166</v>
      </c>
      <c r="B72" s="17">
        <v>2844.0</v>
      </c>
      <c r="C72" s="17">
        <v>4.0</v>
      </c>
      <c r="D72" s="17" t="s">
        <v>302</v>
      </c>
      <c r="E72" s="9">
        <v>0.512</v>
      </c>
      <c r="F72" s="9">
        <v>0.48</v>
      </c>
      <c r="G72" s="9" t="s">
        <v>85</v>
      </c>
      <c r="H72" s="30">
        <v>0.444</v>
      </c>
      <c r="I72" s="30">
        <v>0.519999981</v>
      </c>
      <c r="J72" s="9" t="s">
        <v>85</v>
      </c>
      <c r="K72" s="9">
        <v>0.364</v>
      </c>
      <c r="L72" s="9">
        <v>0.5</v>
      </c>
      <c r="M72" s="9" t="s">
        <v>85</v>
      </c>
      <c r="N72" s="9">
        <v>0.555999994</v>
      </c>
      <c r="O72" s="9">
        <v>0.58</v>
      </c>
      <c r="P72" s="9" t="s">
        <v>85</v>
      </c>
      <c r="Q72" s="9">
        <v>0.388</v>
      </c>
      <c r="R72" s="9">
        <v>0.48</v>
      </c>
      <c r="S72" s="9" t="s">
        <v>85</v>
      </c>
      <c r="T72" s="9">
        <v>0.516000009</v>
      </c>
      <c r="U72" s="9">
        <v>0.54</v>
      </c>
      <c r="V72" s="9" t="s">
        <v>85</v>
      </c>
      <c r="W72" s="9">
        <v>0.528</v>
      </c>
      <c r="X72" s="9">
        <v>0.54</v>
      </c>
      <c r="Y72" s="9" t="s">
        <v>85</v>
      </c>
      <c r="Z72" s="9">
        <v>0.46</v>
      </c>
      <c r="AA72" s="9">
        <v>0.58</v>
      </c>
      <c r="AB72" s="9" t="s">
        <v>85</v>
      </c>
      <c r="AC72" s="30">
        <v>0.572000009</v>
      </c>
      <c r="AD72" s="30">
        <v>0.62</v>
      </c>
      <c r="AE72" s="9" t="s">
        <v>85</v>
      </c>
      <c r="AF72" s="30">
        <v>0.548000002</v>
      </c>
      <c r="AG72" s="30">
        <v>0.54</v>
      </c>
      <c r="AH72" s="9" t="s">
        <v>85</v>
      </c>
      <c r="AI72" s="9">
        <v>0.596</v>
      </c>
      <c r="AJ72" s="9">
        <v>0.6</v>
      </c>
      <c r="AK72" s="9" t="s">
        <v>85</v>
      </c>
      <c r="AL72" s="9">
        <v>0.684</v>
      </c>
      <c r="AM72" s="9">
        <v>0.7</v>
      </c>
      <c r="AN72" s="9" t="s">
        <v>85</v>
      </c>
      <c r="AO72" s="9">
        <v>0.496</v>
      </c>
      <c r="AP72" s="9">
        <v>0.54</v>
      </c>
      <c r="AQ72" s="9" t="s">
        <v>85</v>
      </c>
      <c r="AR72" s="30">
        <v>0.504000008</v>
      </c>
      <c r="AS72" s="30">
        <v>0.54</v>
      </c>
      <c r="AT72" s="9" t="s">
        <v>85</v>
      </c>
      <c r="AU72" s="9">
        <v>0.584</v>
      </c>
      <c r="AV72" s="9">
        <v>0.6</v>
      </c>
      <c r="AW72" s="9" t="s">
        <v>85</v>
      </c>
      <c r="AX72" s="9">
        <v>0.42</v>
      </c>
      <c r="AY72" s="9">
        <v>0.52</v>
      </c>
      <c r="AZ72" s="9" t="s">
        <v>85</v>
      </c>
      <c r="BA72" s="9">
        <v>0.556</v>
      </c>
      <c r="BB72" s="9">
        <v>0.6</v>
      </c>
      <c r="BC72" s="9" t="s">
        <v>85</v>
      </c>
      <c r="BD72" s="30">
        <v>0.564</v>
      </c>
      <c r="BE72" s="30">
        <v>0.64</v>
      </c>
      <c r="BF72" s="9" t="s">
        <v>85</v>
      </c>
      <c r="BG72" s="10" t="s">
        <v>85</v>
      </c>
      <c r="BH72" s="10" t="s">
        <v>85</v>
      </c>
      <c r="BI72" s="9" t="s">
        <v>85</v>
      </c>
      <c r="BJ72" s="6"/>
      <c r="BK72" s="6" t="str">
        <f t="shared" si="2"/>
        <v>10VB_Fold_Median</v>
      </c>
      <c r="BL72" s="6" t="str">
        <f t="shared" si="3"/>
        <v>10VB_Fold_Mean</v>
      </c>
      <c r="BM72" s="6" t="str">
        <f t="shared" si="4"/>
        <v>20V_Fold_Median</v>
      </c>
      <c r="BN72" s="6"/>
      <c r="BO72" s="6">
        <f t="shared" ref="BO72:BQ72" si="83">IF(ISNUMBER(SEARCH("5",BK72)),5,IF(ISNUMBER(SEARCH("*8*",BK72)),8,IF(ISNUMBER(SEARCH("*10*",BK72)),10,IF(ISNUMBER(SEARCH("*12*",BK72)),12,IF(ISNUMBER(SEARCH("*20*",BK72)),20)))))</f>
        <v>10</v>
      </c>
      <c r="BP72" s="6">
        <f t="shared" si="83"/>
        <v>10</v>
      </c>
      <c r="BQ72" s="6">
        <f t="shared" si="83"/>
        <v>20</v>
      </c>
      <c r="BR72" s="6"/>
      <c r="BS72" s="6">
        <f t="shared" si="6"/>
        <v>2</v>
      </c>
      <c r="BT72" s="6">
        <f t="shared" si="7"/>
        <v>46.5</v>
      </c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</row>
    <row r="73" ht="15.75" customHeight="1">
      <c r="A73" s="1" t="s">
        <v>167</v>
      </c>
      <c r="B73" s="17">
        <v>720.0</v>
      </c>
      <c r="C73" s="17">
        <v>3.0</v>
      </c>
      <c r="D73" s="17" t="s">
        <v>299</v>
      </c>
      <c r="E73" s="9">
        <v>0.556267</v>
      </c>
      <c r="F73" s="9">
        <v>0.554667</v>
      </c>
      <c r="G73" s="9" t="s">
        <v>85</v>
      </c>
      <c r="H73" s="30">
        <v>0.522133327</v>
      </c>
      <c r="I73" s="30">
        <v>0.527999997</v>
      </c>
      <c r="J73" s="9" t="s">
        <v>85</v>
      </c>
      <c r="K73" s="9">
        <v>0.4528</v>
      </c>
      <c r="L73" s="9">
        <v>0.450667</v>
      </c>
      <c r="M73" s="9" t="s">
        <v>85</v>
      </c>
      <c r="N73" s="9">
        <v>0.433066666</v>
      </c>
      <c r="O73" s="9">
        <v>0.434667</v>
      </c>
      <c r="P73" s="9" t="s">
        <v>85</v>
      </c>
      <c r="Q73" s="9">
        <v>0.570133</v>
      </c>
      <c r="R73" s="9">
        <v>0.570667</v>
      </c>
      <c r="S73" s="9" t="s">
        <v>85</v>
      </c>
      <c r="T73" s="1" t="s">
        <v>85</v>
      </c>
      <c r="U73" s="1" t="s">
        <v>85</v>
      </c>
      <c r="V73" s="9" t="s">
        <v>85</v>
      </c>
      <c r="W73" s="9">
        <v>0.400533</v>
      </c>
      <c r="X73" s="9">
        <v>0.416</v>
      </c>
      <c r="Y73" s="9" t="s">
        <v>85</v>
      </c>
      <c r="Z73" s="9">
        <v>0.436267</v>
      </c>
      <c r="AA73" s="9">
        <v>0.426667</v>
      </c>
      <c r="AB73" s="9" t="s">
        <v>85</v>
      </c>
      <c r="AC73" s="30">
        <v>0.577600002</v>
      </c>
      <c r="AD73" s="30">
        <v>0.573333</v>
      </c>
      <c r="AE73" s="9" t="s">
        <v>85</v>
      </c>
      <c r="AF73" s="30">
        <v>0.589333332</v>
      </c>
      <c r="AG73" s="30">
        <v>0.589333</v>
      </c>
      <c r="AH73" s="9" t="s">
        <v>85</v>
      </c>
      <c r="AI73" s="9">
        <v>0.429333</v>
      </c>
      <c r="AJ73" s="9">
        <v>0.421333</v>
      </c>
      <c r="AK73" s="9" t="s">
        <v>85</v>
      </c>
      <c r="AL73" s="9">
        <v>0.463467</v>
      </c>
      <c r="AM73" s="9">
        <v>0.461333</v>
      </c>
      <c r="AN73" s="9" t="s">
        <v>85</v>
      </c>
      <c r="AO73" s="9">
        <v>0.5616</v>
      </c>
      <c r="AP73" s="9">
        <v>0.56</v>
      </c>
      <c r="AQ73" s="9" t="s">
        <v>85</v>
      </c>
      <c r="AR73" s="30">
        <v>0.545066679</v>
      </c>
      <c r="AS73" s="30">
        <v>0.538667</v>
      </c>
      <c r="AT73" s="9" t="s">
        <v>85</v>
      </c>
      <c r="AU73" s="9">
        <v>0.444267</v>
      </c>
      <c r="AV73" s="9">
        <v>0.445333</v>
      </c>
      <c r="AW73" s="9" t="s">
        <v>85</v>
      </c>
      <c r="AX73" s="9">
        <v>0.476267</v>
      </c>
      <c r="AY73" s="9">
        <v>0.48</v>
      </c>
      <c r="AZ73" s="9" t="s">
        <v>85</v>
      </c>
      <c r="BA73" s="9">
        <v>0.520533</v>
      </c>
      <c r="BB73" s="9">
        <v>0.525333</v>
      </c>
      <c r="BC73" s="9" t="s">
        <v>85</v>
      </c>
      <c r="BD73" s="30">
        <v>0.464</v>
      </c>
      <c r="BE73" s="30">
        <v>0.469333</v>
      </c>
      <c r="BF73" s="9" t="s">
        <v>85</v>
      </c>
      <c r="BG73" s="10" t="s">
        <v>85</v>
      </c>
      <c r="BH73" s="10" t="s">
        <v>85</v>
      </c>
      <c r="BI73" s="9" t="s">
        <v>85</v>
      </c>
      <c r="BJ73" s="6"/>
      <c r="BK73" s="6" t="str">
        <f t="shared" si="2"/>
        <v>10BoN_Fold_Mean</v>
      </c>
      <c r="BL73" s="6" t="str">
        <f t="shared" si="3"/>
        <v>10BoN_Fold_Median</v>
      </c>
      <c r="BM73" s="6" t="str">
        <f t="shared" si="4"/>
        <v>10Bo_Fold_Mean</v>
      </c>
      <c r="BN73" s="6"/>
      <c r="BO73" s="6">
        <f t="shared" ref="BO73:BQ73" si="84">IF(ISNUMBER(SEARCH("5",BK73)),5,IF(ISNUMBER(SEARCH("*8*",BK73)),8,IF(ISNUMBER(SEARCH("*10*",BK73)),10,IF(ISNUMBER(SEARCH("*12*",BK73)),12,IF(ISNUMBER(SEARCH("*20*",BK73)),20)))))</f>
        <v>10</v>
      </c>
      <c r="BP73" s="6">
        <f t="shared" si="84"/>
        <v>10</v>
      </c>
      <c r="BQ73" s="6">
        <f t="shared" si="84"/>
        <v>10</v>
      </c>
      <c r="BR73" s="6"/>
      <c r="BS73" s="6">
        <f t="shared" si="6"/>
        <v>23.5</v>
      </c>
      <c r="BT73" s="6">
        <f t="shared" si="7"/>
        <v>46.5</v>
      </c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</row>
    <row r="74" ht="15.75" customHeight="1">
      <c r="A74" s="1" t="s">
        <v>168</v>
      </c>
      <c r="B74" s="17">
        <v>1500.0</v>
      </c>
      <c r="C74" s="17">
        <v>2.0</v>
      </c>
      <c r="D74" s="17" t="s">
        <v>302</v>
      </c>
      <c r="E74" s="9">
        <v>0.811333</v>
      </c>
      <c r="F74" s="9">
        <v>0.8</v>
      </c>
      <c r="G74" s="9" t="s">
        <v>85</v>
      </c>
      <c r="H74" s="30">
        <v>0.715333331</v>
      </c>
      <c r="I74" s="30">
        <v>0.711666644</v>
      </c>
      <c r="J74" s="9" t="s">
        <v>85</v>
      </c>
      <c r="K74" s="9">
        <v>0.875</v>
      </c>
      <c r="L74" s="9">
        <v>0.873333</v>
      </c>
      <c r="M74" s="9" t="s">
        <v>85</v>
      </c>
      <c r="N74" s="9">
        <v>0.876666665</v>
      </c>
      <c r="O74" s="9">
        <v>0.878333</v>
      </c>
      <c r="P74" s="9" t="s">
        <v>85</v>
      </c>
      <c r="Q74" s="9">
        <v>0.852333</v>
      </c>
      <c r="R74" s="9">
        <v>0.85</v>
      </c>
      <c r="S74" s="9" t="s">
        <v>85</v>
      </c>
      <c r="T74" s="9">
        <v>0.849000001</v>
      </c>
      <c r="U74" s="9">
        <v>0.845</v>
      </c>
      <c r="V74" s="9" t="s">
        <v>85</v>
      </c>
      <c r="W74" s="9">
        <v>0.903333</v>
      </c>
      <c r="X74" s="9">
        <v>0.913333</v>
      </c>
      <c r="Y74" s="9" t="s">
        <v>85</v>
      </c>
      <c r="Z74" s="9">
        <v>0.902667</v>
      </c>
      <c r="AA74" s="9">
        <v>0.901667</v>
      </c>
      <c r="AB74" s="9" t="s">
        <v>85</v>
      </c>
      <c r="AC74" s="30">
        <v>0.842999995</v>
      </c>
      <c r="AD74" s="30">
        <v>0.843333</v>
      </c>
      <c r="AE74" s="9" t="s">
        <v>85</v>
      </c>
      <c r="AF74" s="30">
        <v>0.834000003</v>
      </c>
      <c r="AG74" s="30">
        <v>0.84</v>
      </c>
      <c r="AH74" s="9" t="s">
        <v>85</v>
      </c>
      <c r="AI74" s="9">
        <v>0.899</v>
      </c>
      <c r="AJ74" s="9">
        <v>0.896667</v>
      </c>
      <c r="AK74" s="9" t="s">
        <v>85</v>
      </c>
      <c r="AL74" s="9">
        <v>0.905333</v>
      </c>
      <c r="AM74" s="9">
        <v>0.903333</v>
      </c>
      <c r="AN74" s="9" t="s">
        <v>85</v>
      </c>
      <c r="AO74" s="9">
        <v>0.841667</v>
      </c>
      <c r="AP74" s="9">
        <v>0.843333</v>
      </c>
      <c r="AQ74" s="9" t="s">
        <v>85</v>
      </c>
      <c r="AR74" s="30">
        <v>0.843000007</v>
      </c>
      <c r="AS74" s="30">
        <v>0.85</v>
      </c>
      <c r="AT74" s="9" t="s">
        <v>85</v>
      </c>
      <c r="AU74" s="9">
        <v>0.906</v>
      </c>
      <c r="AV74" s="9">
        <v>0.906667</v>
      </c>
      <c r="AW74" s="9" t="s">
        <v>85</v>
      </c>
      <c r="AX74" s="9">
        <v>0.909</v>
      </c>
      <c r="AY74" s="9">
        <v>0.911667</v>
      </c>
      <c r="AZ74" s="9" t="s">
        <v>85</v>
      </c>
      <c r="BA74" s="9">
        <v>0.853333</v>
      </c>
      <c r="BB74" s="9">
        <v>0.85</v>
      </c>
      <c r="BC74" s="9" t="s">
        <v>85</v>
      </c>
      <c r="BD74" s="30">
        <v>0.912333</v>
      </c>
      <c r="BE74" s="30">
        <v>0.916667</v>
      </c>
      <c r="BF74" s="9" t="s">
        <v>85</v>
      </c>
      <c r="BG74" s="10" t="s">
        <v>85</v>
      </c>
      <c r="BH74" s="10" t="s">
        <v>85</v>
      </c>
      <c r="BI74" s="9" t="s">
        <v>85</v>
      </c>
      <c r="BJ74" s="6"/>
      <c r="BK74" s="6" t="str">
        <f t="shared" si="2"/>
        <v>20V_Fold_Median</v>
      </c>
      <c r="BL74" s="6" t="str">
        <f t="shared" si="3"/>
        <v>8V_Fold_Median</v>
      </c>
      <c r="BM74" s="6" t="str">
        <f t="shared" si="4"/>
        <v>20V_Fold_Mean</v>
      </c>
      <c r="BN74" s="6"/>
      <c r="BO74" s="6">
        <f t="shared" ref="BO74:BQ74" si="85">IF(ISNUMBER(SEARCH("5",BK74)),5,IF(ISNUMBER(SEARCH("*8*",BK74)),8,IF(ISNUMBER(SEARCH("*10*",BK74)),10,IF(ISNUMBER(SEARCH("*12*",BK74)),12,IF(ISNUMBER(SEARCH("*20*",BK74)),20)))))</f>
        <v>20</v>
      </c>
      <c r="BP74" s="6">
        <f t="shared" si="85"/>
        <v>8</v>
      </c>
      <c r="BQ74" s="6">
        <f t="shared" si="85"/>
        <v>20</v>
      </c>
      <c r="BR74" s="6"/>
      <c r="BS74" s="6">
        <f t="shared" si="6"/>
        <v>10</v>
      </c>
      <c r="BT74" s="6">
        <f t="shared" si="7"/>
        <v>8.5</v>
      </c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</row>
    <row r="75" ht="15.75" customHeight="1">
      <c r="A75" s="1" t="s">
        <v>169</v>
      </c>
      <c r="B75" s="17">
        <v>1500.0</v>
      </c>
      <c r="C75" s="17">
        <v>6.0</v>
      </c>
      <c r="D75" s="17" t="s">
        <v>302</v>
      </c>
      <c r="E75" s="9">
        <v>0.404444</v>
      </c>
      <c r="F75" s="9">
        <v>0.382222</v>
      </c>
      <c r="G75" s="9" t="s">
        <v>85</v>
      </c>
      <c r="H75" s="30">
        <v>0.382222226</v>
      </c>
      <c r="I75" s="30">
        <v>0.395555556</v>
      </c>
      <c r="J75" s="9" t="s">
        <v>85</v>
      </c>
      <c r="K75" s="9">
        <v>0.527111</v>
      </c>
      <c r="L75" s="9">
        <v>0.602222</v>
      </c>
      <c r="M75" s="9" t="s">
        <v>85</v>
      </c>
      <c r="N75" s="9">
        <v>0.529777777</v>
      </c>
      <c r="O75" s="9">
        <v>0.582222</v>
      </c>
      <c r="P75" s="9" t="s">
        <v>85</v>
      </c>
      <c r="Q75" s="9">
        <v>0.428</v>
      </c>
      <c r="R75" s="9">
        <v>0.431111</v>
      </c>
      <c r="S75" s="9" t="s">
        <v>85</v>
      </c>
      <c r="T75" s="9">
        <v>0.362666667</v>
      </c>
      <c r="U75" s="9">
        <v>0.377778</v>
      </c>
      <c r="V75" s="9" t="s">
        <v>85</v>
      </c>
      <c r="W75" s="9">
        <v>0.478222</v>
      </c>
      <c r="X75" s="9">
        <v>0.46</v>
      </c>
      <c r="Y75" s="9" t="s">
        <v>85</v>
      </c>
      <c r="Z75" s="9">
        <v>0.438667</v>
      </c>
      <c r="AA75" s="9">
        <v>0.455556</v>
      </c>
      <c r="AB75" s="9" t="s">
        <v>85</v>
      </c>
      <c r="AC75" s="30">
        <v>0.421333331</v>
      </c>
      <c r="AD75" s="30">
        <v>0.44</v>
      </c>
      <c r="AE75" s="9" t="s">
        <v>85</v>
      </c>
      <c r="AF75" s="30">
        <v>0.380888891</v>
      </c>
      <c r="AG75" s="30">
        <v>0.44</v>
      </c>
      <c r="AH75" s="9" t="s">
        <v>85</v>
      </c>
      <c r="AI75" s="9">
        <v>0.492444</v>
      </c>
      <c r="AJ75" s="9">
        <v>0.455556</v>
      </c>
      <c r="AK75" s="9" t="s">
        <v>85</v>
      </c>
      <c r="AL75" s="9">
        <v>0.427111</v>
      </c>
      <c r="AM75" s="9">
        <v>0.424444</v>
      </c>
      <c r="AN75" s="9" t="s">
        <v>85</v>
      </c>
      <c r="AO75" s="9">
        <v>0.409333</v>
      </c>
      <c r="AP75" s="9">
        <v>0.4</v>
      </c>
      <c r="AQ75" s="9" t="s">
        <v>85</v>
      </c>
      <c r="AR75" s="30">
        <v>0.387999997</v>
      </c>
      <c r="AS75" s="30">
        <v>0.391111</v>
      </c>
      <c r="AT75" s="9" t="s">
        <v>85</v>
      </c>
      <c r="AU75" s="9">
        <v>0.431556</v>
      </c>
      <c r="AV75" s="9">
        <v>0.357778</v>
      </c>
      <c r="AW75" s="9" t="s">
        <v>85</v>
      </c>
      <c r="AX75" s="9">
        <v>0.473778</v>
      </c>
      <c r="AY75" s="9">
        <v>0.462222</v>
      </c>
      <c r="AZ75" s="9" t="s">
        <v>85</v>
      </c>
      <c r="BA75" s="9">
        <v>0.366667</v>
      </c>
      <c r="BB75" s="9">
        <v>0.388889</v>
      </c>
      <c r="BC75" s="9" t="s">
        <v>85</v>
      </c>
      <c r="BD75" s="30">
        <v>0.341778</v>
      </c>
      <c r="BE75" s="30">
        <v>0.322222</v>
      </c>
      <c r="BF75" s="9" t="s">
        <v>85</v>
      </c>
      <c r="BG75" s="10" t="s">
        <v>85</v>
      </c>
      <c r="BH75" s="10" t="s">
        <v>85</v>
      </c>
      <c r="BI75" s="9" t="s">
        <v>85</v>
      </c>
      <c r="BJ75" s="6"/>
      <c r="BK75" s="6" t="str">
        <f t="shared" si="2"/>
        <v>5V_Fold_Median</v>
      </c>
      <c r="BL75" s="6" t="str">
        <f t="shared" si="3"/>
        <v>5VB_Fold_Median</v>
      </c>
      <c r="BM75" s="6" t="str">
        <f t="shared" si="4"/>
        <v>5VB_Fold_Mean</v>
      </c>
      <c r="BN75" s="6"/>
      <c r="BO75" s="6">
        <f t="shared" ref="BO75:BQ75" si="86">IF(ISNUMBER(SEARCH("5",BK75)),5,IF(ISNUMBER(SEARCH("*8*",BK75)),8,IF(ISNUMBER(SEARCH("*10*",BK75)),10,IF(ISNUMBER(SEARCH("*12*",BK75)),12,IF(ISNUMBER(SEARCH("*20*",BK75)),20)))))</f>
        <v>5</v>
      </c>
      <c r="BP75" s="6">
        <f t="shared" si="86"/>
        <v>5</v>
      </c>
      <c r="BQ75" s="6">
        <f t="shared" si="86"/>
        <v>5</v>
      </c>
      <c r="BR75" s="6"/>
      <c r="BS75" s="6">
        <f t="shared" si="6"/>
        <v>10</v>
      </c>
      <c r="BT75" s="6">
        <f t="shared" si="7"/>
        <v>86.5</v>
      </c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</row>
    <row r="76" ht="15.75" customHeight="1">
      <c r="A76" s="1" t="s">
        <v>170</v>
      </c>
      <c r="B76" s="17">
        <v>1500.0</v>
      </c>
      <c r="C76" s="17">
        <v>5.0</v>
      </c>
      <c r="D76" s="17" t="s">
        <v>302</v>
      </c>
      <c r="E76" s="9">
        <v>0.709333</v>
      </c>
      <c r="F76" s="9">
        <v>0.704444</v>
      </c>
      <c r="G76" s="9" t="s">
        <v>85</v>
      </c>
      <c r="H76" s="30">
        <v>0.676444447</v>
      </c>
      <c r="I76" s="30">
        <v>0.680000007</v>
      </c>
      <c r="J76" s="9" t="s">
        <v>85</v>
      </c>
      <c r="K76" s="9">
        <v>0.828</v>
      </c>
      <c r="L76" s="9">
        <v>0.833333</v>
      </c>
      <c r="M76" s="9" t="s">
        <v>85</v>
      </c>
      <c r="N76" s="9">
        <v>0.794222224</v>
      </c>
      <c r="O76" s="9">
        <v>0.817778</v>
      </c>
      <c r="P76" s="9" t="s">
        <v>85</v>
      </c>
      <c r="Q76" s="9">
        <v>0.748889</v>
      </c>
      <c r="R76" s="9">
        <v>0.753333</v>
      </c>
      <c r="S76" s="9" t="s">
        <v>85</v>
      </c>
      <c r="T76" s="9">
        <v>0.757333314</v>
      </c>
      <c r="U76" s="9">
        <v>0.757778</v>
      </c>
      <c r="V76" s="9" t="s">
        <v>85</v>
      </c>
      <c r="W76" s="9">
        <v>0.816889</v>
      </c>
      <c r="X76" s="9">
        <v>0.82</v>
      </c>
      <c r="Y76" s="9" t="s">
        <v>85</v>
      </c>
      <c r="Z76" s="9">
        <v>0.831556</v>
      </c>
      <c r="AA76" s="9">
        <v>0.831111</v>
      </c>
      <c r="AB76" s="9" t="s">
        <v>85</v>
      </c>
      <c r="AC76" s="30">
        <v>0.740444458</v>
      </c>
      <c r="AD76" s="30">
        <v>0.762222</v>
      </c>
      <c r="AE76" s="9" t="s">
        <v>85</v>
      </c>
      <c r="AF76" s="30">
        <v>0.705333328</v>
      </c>
      <c r="AG76" s="30">
        <v>0.74</v>
      </c>
      <c r="AH76" s="9" t="s">
        <v>85</v>
      </c>
      <c r="AI76" s="9">
        <v>0.826667</v>
      </c>
      <c r="AJ76" s="9">
        <v>0.824444</v>
      </c>
      <c r="AK76" s="9" t="s">
        <v>85</v>
      </c>
      <c r="AL76" s="9">
        <v>0.830222</v>
      </c>
      <c r="AM76" s="9">
        <v>0.824444</v>
      </c>
      <c r="AN76" s="9" t="s">
        <v>85</v>
      </c>
      <c r="AO76" s="9">
        <v>0.661778</v>
      </c>
      <c r="AP76" s="9">
        <v>0.74</v>
      </c>
      <c r="AQ76" s="9" t="s">
        <v>85</v>
      </c>
      <c r="AR76" s="30">
        <v>0.757333338</v>
      </c>
      <c r="AS76" s="30">
        <v>0.76</v>
      </c>
      <c r="AT76" s="9" t="s">
        <v>85</v>
      </c>
      <c r="AU76" s="9">
        <v>0.782222</v>
      </c>
      <c r="AV76" s="9">
        <v>0.813333</v>
      </c>
      <c r="AW76" s="9" t="s">
        <v>85</v>
      </c>
      <c r="AX76" s="9">
        <v>0.816444</v>
      </c>
      <c r="AY76" s="9">
        <v>0.844444</v>
      </c>
      <c r="AZ76" s="9" t="s">
        <v>85</v>
      </c>
      <c r="BA76" s="9">
        <v>0.724444</v>
      </c>
      <c r="BB76" s="9">
        <v>0.724444</v>
      </c>
      <c r="BC76" s="9" t="s">
        <v>85</v>
      </c>
      <c r="BD76" s="30">
        <v>0.804</v>
      </c>
      <c r="BE76" s="30">
        <v>0.831111</v>
      </c>
      <c r="BF76" s="9" t="s">
        <v>85</v>
      </c>
      <c r="BG76" s="10" t="s">
        <v>85</v>
      </c>
      <c r="BH76" s="10" t="s">
        <v>85</v>
      </c>
      <c r="BI76" s="9" t="s">
        <v>85</v>
      </c>
      <c r="BJ76" s="6"/>
      <c r="BK76" s="6" t="str">
        <f t="shared" si="2"/>
        <v>12VB_Fold_Median</v>
      </c>
      <c r="BL76" s="6" t="str">
        <f t="shared" si="3"/>
        <v>5V_Fold_Median</v>
      </c>
      <c r="BM76" s="6" t="str">
        <f t="shared" si="4"/>
        <v>8VB_Fold_Mean</v>
      </c>
      <c r="BN76" s="6"/>
      <c r="BO76" s="6">
        <f t="shared" ref="BO76:BQ76" si="87">IF(ISNUMBER(SEARCH("5",BK76)),5,IF(ISNUMBER(SEARCH("*8*",BK76)),8,IF(ISNUMBER(SEARCH("*10*",BK76)),10,IF(ISNUMBER(SEARCH("*12*",BK76)),12,IF(ISNUMBER(SEARCH("*20*",BK76)),20)))))</f>
        <v>12</v>
      </c>
      <c r="BP76" s="6">
        <f t="shared" si="87"/>
        <v>5</v>
      </c>
      <c r="BQ76" s="6">
        <f t="shared" si="87"/>
        <v>8</v>
      </c>
      <c r="BR76" s="6"/>
      <c r="BS76" s="6">
        <f t="shared" si="6"/>
        <v>10</v>
      </c>
      <c r="BT76" s="6">
        <f t="shared" si="7"/>
        <v>27</v>
      </c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</row>
    <row r="77" ht="15.75" customHeight="1">
      <c r="A77" s="1" t="s">
        <v>171</v>
      </c>
      <c r="B77" s="17">
        <v>500.0</v>
      </c>
      <c r="C77" s="17">
        <v>2.0</v>
      </c>
      <c r="D77" s="17" t="s">
        <v>303</v>
      </c>
      <c r="E77" s="9">
        <v>0.498889</v>
      </c>
      <c r="F77" s="9">
        <v>0.5</v>
      </c>
      <c r="G77" s="9" t="s">
        <v>85</v>
      </c>
      <c r="H77" s="30">
        <v>0.506666672</v>
      </c>
      <c r="I77" s="30">
        <v>0.5</v>
      </c>
      <c r="J77" s="9" t="s">
        <v>85</v>
      </c>
      <c r="K77" s="9">
        <v>0.515556</v>
      </c>
      <c r="L77" s="9">
        <v>0.5</v>
      </c>
      <c r="M77" s="9" t="s">
        <v>85</v>
      </c>
      <c r="N77" s="9">
        <v>0.510000002</v>
      </c>
      <c r="O77" s="9">
        <v>0.5</v>
      </c>
      <c r="P77" s="9" t="s">
        <v>85</v>
      </c>
      <c r="Q77" s="9">
        <v>0.504444</v>
      </c>
      <c r="R77" s="9">
        <v>0.5</v>
      </c>
      <c r="S77" s="9" t="s">
        <v>85</v>
      </c>
      <c r="T77" s="9">
        <v>0.536666667</v>
      </c>
      <c r="U77" s="9">
        <v>0.538889</v>
      </c>
      <c r="V77" s="9" t="s">
        <v>85</v>
      </c>
      <c r="W77" s="9">
        <v>0.511111</v>
      </c>
      <c r="X77" s="9">
        <v>0.505556</v>
      </c>
      <c r="Y77" s="9" t="s">
        <v>85</v>
      </c>
      <c r="Z77" s="9">
        <v>0.51</v>
      </c>
      <c r="AA77" s="9">
        <v>0.5</v>
      </c>
      <c r="AB77" s="9" t="s">
        <v>85</v>
      </c>
      <c r="AC77" s="30">
        <v>0.507777774</v>
      </c>
      <c r="AD77" s="30">
        <v>0.5</v>
      </c>
      <c r="AE77" s="9" t="s">
        <v>85</v>
      </c>
      <c r="AF77" s="30">
        <v>0.510000002</v>
      </c>
      <c r="AG77" s="30">
        <v>0.5</v>
      </c>
      <c r="AH77" s="9" t="s">
        <v>85</v>
      </c>
      <c r="AI77" s="9">
        <v>0.505556</v>
      </c>
      <c r="AJ77" s="9">
        <v>0.5</v>
      </c>
      <c r="AK77" s="9" t="s">
        <v>85</v>
      </c>
      <c r="AL77" s="9">
        <v>0.49</v>
      </c>
      <c r="AM77" s="9">
        <v>0.5</v>
      </c>
      <c r="AN77" s="9" t="s">
        <v>85</v>
      </c>
      <c r="AO77" s="9">
        <v>0.505556</v>
      </c>
      <c r="AP77" s="9">
        <v>0.5</v>
      </c>
      <c r="AQ77" s="9" t="s">
        <v>85</v>
      </c>
      <c r="AR77" s="30">
        <v>0.508888894</v>
      </c>
      <c r="AS77" s="30">
        <v>0.5</v>
      </c>
      <c r="AT77" s="9" t="s">
        <v>85</v>
      </c>
      <c r="AU77" s="9">
        <v>0.485556</v>
      </c>
      <c r="AV77" s="9">
        <v>0.483333</v>
      </c>
      <c r="AW77" s="9" t="s">
        <v>85</v>
      </c>
      <c r="AX77" s="9">
        <v>0.491111</v>
      </c>
      <c r="AY77" s="9">
        <v>0.5</v>
      </c>
      <c r="AZ77" s="9" t="s">
        <v>85</v>
      </c>
      <c r="BA77" s="9">
        <v>0.513333</v>
      </c>
      <c r="BB77" s="9">
        <v>0.5</v>
      </c>
      <c r="BC77" s="9" t="s">
        <v>85</v>
      </c>
      <c r="BD77" s="30">
        <v>0.516667</v>
      </c>
      <c r="BE77" s="30">
        <v>0.516667</v>
      </c>
      <c r="BF77" s="9" t="s">
        <v>85</v>
      </c>
      <c r="BG77" s="10" t="s">
        <v>85</v>
      </c>
      <c r="BH77" s="10" t="s">
        <v>85</v>
      </c>
      <c r="BI77" s="9" t="s">
        <v>85</v>
      </c>
      <c r="BJ77" s="6"/>
      <c r="BK77" s="6" t="str">
        <f t="shared" si="2"/>
        <v>8BoN_Fold_Median</v>
      </c>
      <c r="BL77" s="6" t="str">
        <f t="shared" si="3"/>
        <v>8BoN_Fold_Mean</v>
      </c>
      <c r="BM77" s="6" t="str">
        <f t="shared" si="4"/>
        <v>20V_Fold_Mean</v>
      </c>
      <c r="BN77" s="6"/>
      <c r="BO77" s="6">
        <f t="shared" ref="BO77:BQ77" si="88">IF(ISNUMBER(SEARCH("5",BK77)),5,IF(ISNUMBER(SEARCH("*8*",BK77)),8,IF(ISNUMBER(SEARCH("*10*",BK77)),10,IF(ISNUMBER(SEARCH("*12*",BK77)),12,IF(ISNUMBER(SEARCH("*20*",BK77)),20)))))</f>
        <v>8</v>
      </c>
      <c r="BP77" s="6">
        <f t="shared" si="88"/>
        <v>8</v>
      </c>
      <c r="BQ77" s="6">
        <f t="shared" si="88"/>
        <v>20</v>
      </c>
      <c r="BR77" s="6"/>
      <c r="BS77" s="6">
        <f t="shared" si="6"/>
        <v>37</v>
      </c>
      <c r="BT77" s="6">
        <f t="shared" si="7"/>
        <v>65</v>
      </c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</row>
    <row r="78" ht="15.75" customHeight="1">
      <c r="A78" s="1" t="s">
        <v>172</v>
      </c>
      <c r="B78" s="17">
        <v>512.0</v>
      </c>
      <c r="C78" s="17">
        <v>60.0</v>
      </c>
      <c r="D78" s="17" t="s">
        <v>300</v>
      </c>
      <c r="E78" s="9">
        <v>0.357</v>
      </c>
      <c r="F78" s="9">
        <v>0.37</v>
      </c>
      <c r="G78" s="9" t="s">
        <v>85</v>
      </c>
      <c r="H78" s="30">
        <v>0.268666664</v>
      </c>
      <c r="I78" s="30">
        <v>0.280000001</v>
      </c>
      <c r="J78" s="9" t="s">
        <v>85</v>
      </c>
      <c r="K78" s="9">
        <v>0.457667</v>
      </c>
      <c r="L78" s="9">
        <v>0.468333</v>
      </c>
      <c r="M78" s="9" t="s">
        <v>85</v>
      </c>
      <c r="N78" s="9">
        <v>0.293999997</v>
      </c>
      <c r="O78" s="9">
        <v>0.308333</v>
      </c>
      <c r="P78" s="9" t="s">
        <v>85</v>
      </c>
      <c r="Q78" s="9">
        <v>0.403</v>
      </c>
      <c r="R78" s="9">
        <v>0.455</v>
      </c>
      <c r="S78" s="9" t="s">
        <v>85</v>
      </c>
      <c r="T78" s="9">
        <v>0.451333332</v>
      </c>
      <c r="U78" s="9">
        <v>0.416667</v>
      </c>
      <c r="V78" s="9" t="s">
        <v>85</v>
      </c>
      <c r="W78" s="9">
        <v>0.376667</v>
      </c>
      <c r="X78" s="9">
        <v>0.35</v>
      </c>
      <c r="Y78" s="9" t="s">
        <v>85</v>
      </c>
      <c r="Z78" s="9">
        <v>0.304333</v>
      </c>
      <c r="AA78" s="9">
        <v>0.273333</v>
      </c>
      <c r="AB78" s="9" t="s">
        <v>85</v>
      </c>
      <c r="AC78" s="30">
        <v>0.380666667</v>
      </c>
      <c r="AD78" s="30">
        <v>0.38</v>
      </c>
      <c r="AE78" s="9" t="s">
        <v>85</v>
      </c>
      <c r="AF78" s="30">
        <v>0.390999997</v>
      </c>
      <c r="AG78" s="30">
        <v>0.371667</v>
      </c>
      <c r="AH78" s="9" t="s">
        <v>85</v>
      </c>
      <c r="AI78" s="9">
        <v>0.351667</v>
      </c>
      <c r="AJ78" s="9">
        <v>0.346667</v>
      </c>
      <c r="AK78" s="9" t="s">
        <v>85</v>
      </c>
      <c r="AL78" s="9">
        <v>0.331667</v>
      </c>
      <c r="AM78" s="9">
        <v>0.328333</v>
      </c>
      <c r="AN78" s="9" t="s">
        <v>85</v>
      </c>
      <c r="AO78" s="9">
        <v>0.384333</v>
      </c>
      <c r="AP78" s="9">
        <v>0.336667</v>
      </c>
      <c r="AQ78" s="9" t="s">
        <v>85</v>
      </c>
      <c r="AR78" s="30">
        <v>0.437333333</v>
      </c>
      <c r="AS78" s="30">
        <v>0.456667</v>
      </c>
      <c r="AT78" s="9" t="s">
        <v>85</v>
      </c>
      <c r="AU78" s="9">
        <v>0.312667</v>
      </c>
      <c r="AV78" s="9">
        <v>0.356667</v>
      </c>
      <c r="AW78" s="9" t="s">
        <v>85</v>
      </c>
      <c r="AX78" s="9">
        <v>0.433667</v>
      </c>
      <c r="AY78" s="9">
        <v>0.416667</v>
      </c>
      <c r="AZ78" s="9" t="s">
        <v>85</v>
      </c>
      <c r="BA78" s="9">
        <v>0.478667</v>
      </c>
      <c r="BB78" s="9">
        <v>0.466667</v>
      </c>
      <c r="BC78" s="9" t="s">
        <v>85</v>
      </c>
      <c r="BD78" s="30">
        <v>0.334667</v>
      </c>
      <c r="BE78" s="30">
        <v>0.46</v>
      </c>
      <c r="BF78" s="9" t="s">
        <v>85</v>
      </c>
      <c r="BG78" s="10" t="s">
        <v>85</v>
      </c>
      <c r="BH78" s="10" t="s">
        <v>85</v>
      </c>
      <c r="BI78" s="9" t="s">
        <v>85</v>
      </c>
      <c r="BJ78" s="6"/>
      <c r="BK78" s="6" t="str">
        <f t="shared" si="2"/>
        <v>20Bo_Fold_Mean</v>
      </c>
      <c r="BL78" s="6" t="str">
        <f t="shared" si="3"/>
        <v>5V_Fold_Median</v>
      </c>
      <c r="BM78" s="6" t="str">
        <f t="shared" si="4"/>
        <v>20Bo_Fold_Median</v>
      </c>
      <c r="BN78" s="6"/>
      <c r="BO78" s="6">
        <f t="shared" ref="BO78:BQ78" si="89">IF(ISNUMBER(SEARCH("5",BK78)),5,IF(ISNUMBER(SEARCH("*8*",BK78)),8,IF(ISNUMBER(SEARCH("*10*",BK78)),10,IF(ISNUMBER(SEARCH("*12*",BK78)),12,IF(ISNUMBER(SEARCH("*20*",BK78)),20)))))</f>
        <v>20</v>
      </c>
      <c r="BP78" s="6">
        <f t="shared" si="89"/>
        <v>5</v>
      </c>
      <c r="BQ78" s="6">
        <f t="shared" si="89"/>
        <v>20</v>
      </c>
      <c r="BR78" s="6"/>
      <c r="BS78" s="6">
        <f t="shared" si="6"/>
        <v>33</v>
      </c>
      <c r="BT78" s="6">
        <f t="shared" si="7"/>
        <v>8.5</v>
      </c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</row>
    <row r="79" ht="15.75" customHeight="1">
      <c r="A79" s="1" t="s">
        <v>173</v>
      </c>
      <c r="B79" s="17">
        <v>720.0</v>
      </c>
      <c r="C79" s="17">
        <v>3.0</v>
      </c>
      <c r="D79" s="17" t="s">
        <v>299</v>
      </c>
      <c r="E79" s="9">
        <v>0.569067</v>
      </c>
      <c r="F79" s="9">
        <v>0.602667</v>
      </c>
      <c r="G79" s="9" t="s">
        <v>85</v>
      </c>
      <c r="H79" s="30">
        <v>0.436800003</v>
      </c>
      <c r="I79" s="30">
        <v>0.437333345</v>
      </c>
      <c r="J79" s="9" t="s">
        <v>85</v>
      </c>
      <c r="K79" s="9">
        <v>0.786667</v>
      </c>
      <c r="L79" s="9">
        <v>0.786667</v>
      </c>
      <c r="M79" s="9" t="s">
        <v>85</v>
      </c>
      <c r="N79" s="9">
        <v>0.771733344</v>
      </c>
      <c r="O79" s="9">
        <v>0.773333</v>
      </c>
      <c r="P79" s="9" t="s">
        <v>85</v>
      </c>
      <c r="Q79" s="9">
        <v>0.621333</v>
      </c>
      <c r="R79" s="9">
        <v>0.653333</v>
      </c>
      <c r="S79" s="9" t="s">
        <v>85</v>
      </c>
      <c r="T79" s="9">
        <v>0.565866667</v>
      </c>
      <c r="U79" s="9">
        <v>0.565333</v>
      </c>
      <c r="V79" s="9" t="s">
        <v>85</v>
      </c>
      <c r="W79" s="9">
        <v>0.818667</v>
      </c>
      <c r="X79" s="9">
        <v>0.818667</v>
      </c>
      <c r="Y79" s="9" t="s">
        <v>85</v>
      </c>
      <c r="Z79" s="9">
        <v>0.794133</v>
      </c>
      <c r="AA79" s="9">
        <v>0.792</v>
      </c>
      <c r="AB79" s="9" t="s">
        <v>85</v>
      </c>
      <c r="AC79" s="30">
        <v>0.588266665</v>
      </c>
      <c r="AD79" s="30">
        <v>0.634667</v>
      </c>
      <c r="AE79" s="9" t="s">
        <v>85</v>
      </c>
      <c r="AF79" s="30">
        <v>0.614933336</v>
      </c>
      <c r="AG79" s="30">
        <v>0.645333</v>
      </c>
      <c r="AH79" s="9" t="s">
        <v>85</v>
      </c>
      <c r="AI79" s="9">
        <v>0.798933</v>
      </c>
      <c r="AJ79" s="9">
        <v>0.805333</v>
      </c>
      <c r="AK79" s="9" t="s">
        <v>85</v>
      </c>
      <c r="AL79" s="9">
        <v>0.802667</v>
      </c>
      <c r="AM79" s="9">
        <v>0.802667</v>
      </c>
      <c r="AN79" s="9" t="s">
        <v>85</v>
      </c>
      <c r="AO79" s="9">
        <v>0.589333</v>
      </c>
      <c r="AP79" s="9">
        <v>0.602667</v>
      </c>
      <c r="AQ79" s="9" t="s">
        <v>85</v>
      </c>
      <c r="AR79" s="30">
        <v>0.581333333</v>
      </c>
      <c r="AS79" s="30">
        <v>0.618667</v>
      </c>
      <c r="AT79" s="9" t="s">
        <v>85</v>
      </c>
      <c r="AU79" s="9">
        <v>0.7936</v>
      </c>
      <c r="AV79" s="9">
        <v>0.792</v>
      </c>
      <c r="AW79" s="9" t="s">
        <v>85</v>
      </c>
      <c r="AX79" s="9">
        <v>0.787733</v>
      </c>
      <c r="AY79" s="9">
        <v>0.784</v>
      </c>
      <c r="AZ79" s="9" t="s">
        <v>85</v>
      </c>
      <c r="BA79" s="9">
        <v>0.4336</v>
      </c>
      <c r="BB79" s="9">
        <v>0.413333</v>
      </c>
      <c r="BC79" s="9" t="s">
        <v>85</v>
      </c>
      <c r="BD79" s="30">
        <v>0.772267</v>
      </c>
      <c r="BE79" s="30">
        <v>0.773333</v>
      </c>
      <c r="BF79" s="9" t="s">
        <v>85</v>
      </c>
      <c r="BG79" s="10" t="s">
        <v>85</v>
      </c>
      <c r="BH79" s="10" t="s">
        <v>85</v>
      </c>
      <c r="BI79" s="9" t="s">
        <v>85</v>
      </c>
      <c r="BJ79" s="6"/>
      <c r="BK79" s="6" t="str">
        <f t="shared" si="2"/>
        <v>8V_Fold_Mean</v>
      </c>
      <c r="BL79" s="6" t="str">
        <f t="shared" si="3"/>
        <v>8V_Fold_Mean</v>
      </c>
      <c r="BM79" s="6" t="str">
        <f t="shared" si="4"/>
        <v>10V_Fold_Median</v>
      </c>
      <c r="BN79" s="6"/>
      <c r="BO79" s="6">
        <f t="shared" ref="BO79:BQ79" si="90">IF(ISNUMBER(SEARCH("5",BK79)),5,IF(ISNUMBER(SEARCH("*8*",BK79)),8,IF(ISNUMBER(SEARCH("*10*",BK79)),10,IF(ISNUMBER(SEARCH("*12*",BK79)),12,IF(ISNUMBER(SEARCH("*20*",BK79)),20)))))</f>
        <v>8</v>
      </c>
      <c r="BP79" s="6">
        <f t="shared" si="90"/>
        <v>8</v>
      </c>
      <c r="BQ79" s="6">
        <f t="shared" si="90"/>
        <v>10</v>
      </c>
      <c r="BR79" s="6"/>
      <c r="BS79" s="6">
        <f t="shared" si="6"/>
        <v>23.5</v>
      </c>
      <c r="BT79" s="6">
        <f t="shared" si="7"/>
        <v>65</v>
      </c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</row>
    <row r="80" ht="15.75" customHeight="1">
      <c r="A80" s="1" t="s">
        <v>174</v>
      </c>
      <c r="B80" s="17">
        <v>15.0</v>
      </c>
      <c r="C80" s="17">
        <v>3.0</v>
      </c>
      <c r="D80" s="17" t="s">
        <v>303</v>
      </c>
      <c r="E80" s="9">
        <v>0.953333</v>
      </c>
      <c r="F80" s="9">
        <v>0.953333</v>
      </c>
      <c r="G80" s="9" t="s">
        <v>85</v>
      </c>
      <c r="H80" s="30">
        <v>0.963999999</v>
      </c>
      <c r="I80" s="30">
        <v>0.959999979</v>
      </c>
      <c r="J80" s="9" t="s">
        <v>85</v>
      </c>
      <c r="K80" s="9">
        <v>0.902667</v>
      </c>
      <c r="L80" s="9">
        <v>0.906667</v>
      </c>
      <c r="M80" s="9" t="s">
        <v>85</v>
      </c>
      <c r="N80" s="9">
        <v>0.930666673</v>
      </c>
      <c r="O80" s="9">
        <v>0.933333</v>
      </c>
      <c r="P80" s="9" t="s">
        <v>85</v>
      </c>
      <c r="Q80" s="9">
        <v>0.928</v>
      </c>
      <c r="R80" s="9">
        <v>0.926667</v>
      </c>
      <c r="S80" s="9" t="s">
        <v>85</v>
      </c>
      <c r="T80" s="9">
        <v>0.925333321</v>
      </c>
      <c r="U80" s="9">
        <v>0.94</v>
      </c>
      <c r="V80" s="9" t="s">
        <v>85</v>
      </c>
      <c r="W80" s="9">
        <v>0.338667</v>
      </c>
      <c r="X80" s="9">
        <v>0.333333</v>
      </c>
      <c r="Y80" s="9" t="s">
        <v>85</v>
      </c>
      <c r="Z80" s="9">
        <v>0.930667</v>
      </c>
      <c r="AA80" s="9">
        <v>0.92</v>
      </c>
      <c r="AB80" s="9" t="s">
        <v>85</v>
      </c>
      <c r="AC80" s="30">
        <v>0.918666673</v>
      </c>
      <c r="AD80" s="30">
        <v>0.92</v>
      </c>
      <c r="AE80" s="9" t="s">
        <v>85</v>
      </c>
      <c r="AF80" s="30">
        <v>0.917333353</v>
      </c>
      <c r="AG80" s="30">
        <v>0.913333</v>
      </c>
      <c r="AH80" s="9" t="s">
        <v>85</v>
      </c>
      <c r="AI80" s="9">
        <v>0.344</v>
      </c>
      <c r="AJ80" s="9">
        <v>0.333333</v>
      </c>
      <c r="AK80" s="9" t="s">
        <v>85</v>
      </c>
      <c r="AL80" s="9">
        <v>0.92</v>
      </c>
      <c r="AM80" s="9">
        <v>0.92</v>
      </c>
      <c r="AN80" s="9" t="s">
        <v>85</v>
      </c>
      <c r="AO80" s="9">
        <v>0.872</v>
      </c>
      <c r="AP80" s="9">
        <v>0.926667</v>
      </c>
      <c r="AQ80" s="9" t="s">
        <v>85</v>
      </c>
      <c r="AR80" s="30">
        <v>0.920000017</v>
      </c>
      <c r="AS80" s="30">
        <v>0.92</v>
      </c>
      <c r="AT80" s="9" t="s">
        <v>85</v>
      </c>
      <c r="AU80" s="9">
        <v>0.358667</v>
      </c>
      <c r="AV80" s="9">
        <v>0.333333</v>
      </c>
      <c r="AW80" s="9" t="s">
        <v>85</v>
      </c>
      <c r="AX80" s="9">
        <v>0.933333</v>
      </c>
      <c r="AY80" s="9">
        <v>0.94</v>
      </c>
      <c r="AZ80" s="9" t="s">
        <v>85</v>
      </c>
      <c r="BA80" s="9">
        <v>0.712</v>
      </c>
      <c r="BB80" s="9">
        <v>0.726667</v>
      </c>
      <c r="BC80" s="9" t="s">
        <v>85</v>
      </c>
      <c r="BD80" s="30">
        <v>0.808</v>
      </c>
      <c r="BE80" s="30">
        <v>0.813333</v>
      </c>
      <c r="BF80" s="9" t="s">
        <v>85</v>
      </c>
      <c r="BG80" s="10" t="s">
        <v>85</v>
      </c>
      <c r="BH80" s="10" t="s">
        <v>85</v>
      </c>
      <c r="BI80" s="9" t="s">
        <v>85</v>
      </c>
      <c r="BJ80" s="6"/>
      <c r="BK80" s="6" t="str">
        <f t="shared" si="2"/>
        <v>5BoN_Fold_Mean</v>
      </c>
      <c r="BL80" s="6" t="str">
        <f t="shared" si="3"/>
        <v>5BoN_Fold_Median</v>
      </c>
      <c r="BM80" s="6" t="str">
        <f t="shared" si="4"/>
        <v>5Bo_Fold_Mean</v>
      </c>
      <c r="BN80" s="6"/>
      <c r="BO80" s="6">
        <f t="shared" ref="BO80:BQ80" si="91">IF(ISNUMBER(SEARCH("5",BK80)),5,IF(ISNUMBER(SEARCH("*8*",BK80)),8,IF(ISNUMBER(SEARCH("*10*",BK80)),10,IF(ISNUMBER(SEARCH("*12*",BK80)),12,IF(ISNUMBER(SEARCH("*20*",BK80)),20)))))</f>
        <v>5</v>
      </c>
      <c r="BP80" s="6">
        <f t="shared" si="91"/>
        <v>5</v>
      </c>
      <c r="BQ80" s="6">
        <f t="shared" si="91"/>
        <v>5</v>
      </c>
      <c r="BR80" s="6"/>
      <c r="BS80" s="6">
        <f t="shared" si="6"/>
        <v>98</v>
      </c>
      <c r="BT80" s="6">
        <f t="shared" si="7"/>
        <v>86.5</v>
      </c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</row>
    <row r="81" ht="15.75" customHeight="1">
      <c r="A81" s="1" t="s">
        <v>175</v>
      </c>
      <c r="B81" s="17">
        <v>70.0</v>
      </c>
      <c r="C81" s="17">
        <v>2.0</v>
      </c>
      <c r="D81" s="17" t="s">
        <v>305</v>
      </c>
      <c r="E81" s="9">
        <v>0.499834</v>
      </c>
      <c r="F81" s="9">
        <v>0.494176</v>
      </c>
      <c r="G81" s="9" t="s">
        <v>85</v>
      </c>
      <c r="H81" s="30">
        <v>0.550748742</v>
      </c>
      <c r="I81" s="30">
        <v>0.555740416</v>
      </c>
      <c r="J81" s="9" t="s">
        <v>85</v>
      </c>
      <c r="K81" s="9">
        <v>0.49218</v>
      </c>
      <c r="L81" s="9">
        <v>0.429285</v>
      </c>
      <c r="M81" s="9" t="s">
        <v>85</v>
      </c>
      <c r="N81" s="9">
        <v>0.501497495</v>
      </c>
      <c r="O81" s="9">
        <v>0.429285</v>
      </c>
      <c r="P81" s="9" t="s">
        <v>85</v>
      </c>
      <c r="Q81" s="9">
        <v>0.520799</v>
      </c>
      <c r="R81" s="9">
        <v>0.464226</v>
      </c>
      <c r="S81" s="9" t="s">
        <v>85</v>
      </c>
      <c r="T81" s="9">
        <v>0.555740428</v>
      </c>
      <c r="U81" s="9">
        <v>0.570715</v>
      </c>
      <c r="V81" s="9" t="s">
        <v>85</v>
      </c>
      <c r="W81" s="9">
        <v>0.485524</v>
      </c>
      <c r="X81" s="9">
        <v>0.429285</v>
      </c>
      <c r="Y81" s="9" t="s">
        <v>85</v>
      </c>
      <c r="Z81" s="9">
        <v>0.479867</v>
      </c>
      <c r="AA81" s="9">
        <v>0.487521</v>
      </c>
      <c r="AB81" s="9" t="s">
        <v>85</v>
      </c>
      <c r="AC81" s="30">
        <v>0.490515798</v>
      </c>
      <c r="AD81" s="30">
        <v>0.454243</v>
      </c>
      <c r="AE81" s="9" t="s">
        <v>85</v>
      </c>
      <c r="AF81" s="30">
        <v>0.467886853</v>
      </c>
      <c r="AG81" s="30">
        <v>0.442596</v>
      </c>
      <c r="AH81" s="9" t="s">
        <v>85</v>
      </c>
      <c r="AI81" s="9">
        <v>0.500499</v>
      </c>
      <c r="AJ81" s="9">
        <v>0.429285</v>
      </c>
      <c r="AK81" s="9" t="s">
        <v>85</v>
      </c>
      <c r="AL81" s="9">
        <v>0.479201</v>
      </c>
      <c r="AM81" s="9">
        <v>0.462562</v>
      </c>
      <c r="AN81" s="9" t="s">
        <v>85</v>
      </c>
      <c r="AO81" s="9">
        <v>0.466556</v>
      </c>
      <c r="AP81" s="9">
        <v>0.487521</v>
      </c>
      <c r="AQ81" s="9" t="s">
        <v>85</v>
      </c>
      <c r="AR81" s="30">
        <v>0.508485842</v>
      </c>
      <c r="AS81" s="30">
        <v>0.459235</v>
      </c>
      <c r="AT81" s="9" t="s">
        <v>85</v>
      </c>
      <c r="AU81" s="9">
        <v>0.609983</v>
      </c>
      <c r="AV81" s="9">
        <v>0.638935</v>
      </c>
      <c r="AW81" s="9" t="s">
        <v>85</v>
      </c>
      <c r="AX81" s="9">
        <v>0.531448</v>
      </c>
      <c r="AY81" s="9">
        <v>0.497504</v>
      </c>
      <c r="AZ81" s="9" t="s">
        <v>85</v>
      </c>
      <c r="BA81" s="9">
        <v>0.506822</v>
      </c>
      <c r="BB81" s="9">
        <v>0.459235</v>
      </c>
      <c r="BC81" s="9" t="s">
        <v>85</v>
      </c>
      <c r="BD81" s="30">
        <v>0.5401</v>
      </c>
      <c r="BE81" s="30">
        <v>0.434276</v>
      </c>
      <c r="BF81" s="9" t="s">
        <v>85</v>
      </c>
      <c r="BG81" s="10" t="s">
        <v>85</v>
      </c>
      <c r="BH81" s="10" t="s">
        <v>85</v>
      </c>
      <c r="BI81" s="9" t="s">
        <v>85</v>
      </c>
      <c r="BJ81" s="6"/>
      <c r="BK81" s="6" t="str">
        <f t="shared" si="2"/>
        <v>12V_Fold_Median</v>
      </c>
      <c r="BL81" s="6" t="str">
        <f t="shared" si="3"/>
        <v>12V_Fold_Mean</v>
      </c>
      <c r="BM81" s="6" t="str">
        <f t="shared" si="4"/>
        <v>8BoN_Fold_Median</v>
      </c>
      <c r="BN81" s="6"/>
      <c r="BO81" s="6">
        <f t="shared" ref="BO81:BQ81" si="92">IF(ISNUMBER(SEARCH("5",BK81)),5,IF(ISNUMBER(SEARCH("*8*",BK81)),8,IF(ISNUMBER(SEARCH("*10*",BK81)),10,IF(ISNUMBER(SEARCH("*12*",BK81)),12,IF(ISNUMBER(SEARCH("*20*",BK81)),20)))))</f>
        <v>12</v>
      </c>
      <c r="BP81" s="6">
        <f t="shared" si="92"/>
        <v>12</v>
      </c>
      <c r="BQ81" s="6">
        <f t="shared" si="92"/>
        <v>8</v>
      </c>
      <c r="BR81" s="6"/>
      <c r="BS81" s="6">
        <f t="shared" si="6"/>
        <v>92</v>
      </c>
      <c r="BT81" s="6">
        <f t="shared" si="7"/>
        <v>27</v>
      </c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</row>
    <row r="82" ht="15.75" customHeight="1">
      <c r="A82" s="1" t="s">
        <v>176</v>
      </c>
      <c r="B82" s="17">
        <v>65.0</v>
      </c>
      <c r="C82" s="17">
        <v>2.0</v>
      </c>
      <c r="D82" s="17" t="s">
        <v>305</v>
      </c>
      <c r="E82" s="9">
        <v>0.709969</v>
      </c>
      <c r="F82" s="9">
        <v>0.735572</v>
      </c>
      <c r="G82" s="9" t="s">
        <v>85</v>
      </c>
      <c r="H82" s="30">
        <v>0.724029398</v>
      </c>
      <c r="I82" s="30">
        <v>0.731374621</v>
      </c>
      <c r="J82" s="9" t="s">
        <v>85</v>
      </c>
      <c r="K82" s="9">
        <v>0.745016</v>
      </c>
      <c r="L82" s="9">
        <v>0.758657</v>
      </c>
      <c r="M82" s="9" t="s">
        <v>85</v>
      </c>
      <c r="N82" s="9">
        <v>0.732214069</v>
      </c>
      <c r="O82" s="9">
        <v>0.759706</v>
      </c>
      <c r="P82" s="9" t="s">
        <v>85</v>
      </c>
      <c r="Q82" s="9">
        <v>0.779853</v>
      </c>
      <c r="R82" s="9">
        <v>0.777545</v>
      </c>
      <c r="S82" s="9" t="s">
        <v>85</v>
      </c>
      <c r="T82" s="9">
        <v>0.729485834</v>
      </c>
      <c r="U82" s="9">
        <v>0.774397</v>
      </c>
      <c r="V82" s="9" t="s">
        <v>85</v>
      </c>
      <c r="W82" s="9">
        <v>0.770619</v>
      </c>
      <c r="X82" s="9">
        <v>0.76915</v>
      </c>
      <c r="Y82" s="9" t="s">
        <v>85</v>
      </c>
      <c r="Z82" s="9">
        <v>0.768101</v>
      </c>
      <c r="AA82" s="9">
        <v>0.770199</v>
      </c>
      <c r="AB82" s="9" t="s">
        <v>85</v>
      </c>
      <c r="AC82" s="30">
        <v>0.754249728</v>
      </c>
      <c r="AD82" s="30">
        <v>0.764953</v>
      </c>
      <c r="AE82" s="9" t="s">
        <v>85</v>
      </c>
      <c r="AF82" s="30">
        <v>0.770409226</v>
      </c>
      <c r="AG82" s="30">
        <v>0.767051</v>
      </c>
      <c r="AH82" s="9" t="s">
        <v>85</v>
      </c>
      <c r="AI82" s="9">
        <v>0.729906</v>
      </c>
      <c r="AJ82" s="9">
        <v>0.755509</v>
      </c>
      <c r="AK82" s="9" t="s">
        <v>85</v>
      </c>
      <c r="AL82" s="9">
        <v>0.757398</v>
      </c>
      <c r="AM82" s="9">
        <v>0.758657</v>
      </c>
      <c r="AN82" s="9" t="s">
        <v>85</v>
      </c>
      <c r="AO82" s="9">
        <v>0.763903</v>
      </c>
      <c r="AP82" s="9">
        <v>0.786988</v>
      </c>
      <c r="AQ82" s="9" t="s">
        <v>85</v>
      </c>
      <c r="AR82" s="30">
        <v>0.757397687</v>
      </c>
      <c r="AS82" s="30">
        <v>0.781742</v>
      </c>
      <c r="AT82" s="9" t="s">
        <v>85</v>
      </c>
      <c r="AU82" s="9">
        <v>0.785939</v>
      </c>
      <c r="AV82" s="9">
        <v>0.786988</v>
      </c>
      <c r="AW82" s="9" t="s">
        <v>85</v>
      </c>
      <c r="AX82" s="9">
        <v>0.770829</v>
      </c>
      <c r="AY82" s="9">
        <v>0.792235</v>
      </c>
      <c r="AZ82" s="9" t="s">
        <v>85</v>
      </c>
      <c r="BA82" s="9">
        <v>0.733893</v>
      </c>
      <c r="BB82" s="9">
        <v>0.767051</v>
      </c>
      <c r="BC82" s="9" t="s">
        <v>85</v>
      </c>
      <c r="BD82" s="30">
        <v>0.780693</v>
      </c>
      <c r="BE82" s="30">
        <v>0.780693</v>
      </c>
      <c r="BF82" s="9" t="s">
        <v>85</v>
      </c>
      <c r="BG82" s="10" t="s">
        <v>85</v>
      </c>
      <c r="BH82" s="10" t="s">
        <v>85</v>
      </c>
      <c r="BI82" s="9" t="s">
        <v>85</v>
      </c>
      <c r="BJ82" s="6"/>
      <c r="BK82" s="6" t="str">
        <f t="shared" si="2"/>
        <v>12VB_Fold_Median</v>
      </c>
      <c r="BL82" s="6" t="str">
        <f t="shared" si="3"/>
        <v>12Bo_Fold_Median</v>
      </c>
      <c r="BM82" s="6" t="str">
        <f t="shared" si="4"/>
        <v>12Bo_Fold_Median</v>
      </c>
      <c r="BN82" s="6"/>
      <c r="BO82" s="6">
        <f t="shared" ref="BO82:BQ82" si="93">IF(ISNUMBER(SEARCH("5",BK82)),5,IF(ISNUMBER(SEARCH("*8*",BK82)),8,IF(ISNUMBER(SEARCH("*10*",BK82)),10,IF(ISNUMBER(SEARCH("*12*",BK82)),12,IF(ISNUMBER(SEARCH("*20*",BK82)),20)))))</f>
        <v>12</v>
      </c>
      <c r="BP82" s="6">
        <f t="shared" si="93"/>
        <v>12</v>
      </c>
      <c r="BQ82" s="6">
        <f t="shared" si="93"/>
        <v>12</v>
      </c>
      <c r="BR82" s="6"/>
      <c r="BS82" s="6">
        <f t="shared" si="6"/>
        <v>93</v>
      </c>
      <c r="BT82" s="6">
        <f t="shared" si="7"/>
        <v>27</v>
      </c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</row>
    <row r="83" ht="15.75" customHeight="1">
      <c r="A83" s="1" t="s">
        <v>177</v>
      </c>
      <c r="B83" s="17">
        <v>1024.0</v>
      </c>
      <c r="C83" s="17">
        <v>3.0</v>
      </c>
      <c r="D83" s="17" t="s">
        <v>305</v>
      </c>
      <c r="E83" s="9">
        <v>0.91389</v>
      </c>
      <c r="F83" s="9">
        <v>0.918893</v>
      </c>
      <c r="G83" s="9" t="s">
        <v>85</v>
      </c>
      <c r="H83" s="30">
        <v>0.916610014</v>
      </c>
      <c r="I83" s="30">
        <v>0.919014096</v>
      </c>
      <c r="J83" s="9" t="s">
        <v>85</v>
      </c>
      <c r="K83" s="9">
        <v>0.928849</v>
      </c>
      <c r="L83" s="9">
        <v>0.930063</v>
      </c>
      <c r="M83" s="9" t="s">
        <v>85</v>
      </c>
      <c r="N83" s="9">
        <v>0.922948039</v>
      </c>
      <c r="O83" s="9">
        <v>0.923992</v>
      </c>
      <c r="P83" s="9" t="s">
        <v>85</v>
      </c>
      <c r="Q83" s="9">
        <v>0.930452</v>
      </c>
      <c r="R83" s="9">
        <v>0.929335</v>
      </c>
      <c r="S83" s="9" t="s">
        <v>85</v>
      </c>
      <c r="T83" s="9">
        <v>0.929043221</v>
      </c>
      <c r="U83" s="9">
        <v>0.927635</v>
      </c>
      <c r="V83" s="9" t="s">
        <v>85</v>
      </c>
      <c r="W83" s="9">
        <v>0.927999</v>
      </c>
      <c r="X83" s="9">
        <v>0.927635</v>
      </c>
      <c r="Y83" s="9" t="s">
        <v>85</v>
      </c>
      <c r="Z83" s="9">
        <v>0.925571</v>
      </c>
      <c r="AA83" s="9">
        <v>0.92812</v>
      </c>
      <c r="AB83" s="9" t="s">
        <v>85</v>
      </c>
      <c r="AC83" s="30">
        <v>0.923336565</v>
      </c>
      <c r="AD83" s="30">
        <v>0.922292</v>
      </c>
      <c r="AE83" s="9" t="s">
        <v>85</v>
      </c>
      <c r="AF83" s="30">
        <v>0.923530841</v>
      </c>
      <c r="AG83" s="30">
        <v>0.924964</v>
      </c>
      <c r="AH83" s="9" t="s">
        <v>85</v>
      </c>
      <c r="AI83" s="9">
        <v>0.932661</v>
      </c>
      <c r="AJ83" s="9">
        <v>0.932734</v>
      </c>
      <c r="AK83" s="9" t="s">
        <v>85</v>
      </c>
      <c r="AL83" s="9">
        <v>0.931374</v>
      </c>
      <c r="AM83" s="9">
        <v>0.932491</v>
      </c>
      <c r="AN83" s="9" t="s">
        <v>85</v>
      </c>
      <c r="AO83" s="9">
        <v>0.931909</v>
      </c>
      <c r="AP83" s="9">
        <v>0.931642</v>
      </c>
      <c r="AQ83" s="9" t="s">
        <v>85</v>
      </c>
      <c r="AR83" s="30">
        <v>0.927440512</v>
      </c>
      <c r="AS83" s="30">
        <v>0.926906</v>
      </c>
      <c r="AT83" s="9" t="s">
        <v>85</v>
      </c>
      <c r="AU83" s="9">
        <v>0.935551</v>
      </c>
      <c r="AV83" s="9">
        <v>0.936863</v>
      </c>
      <c r="AW83" s="9" t="s">
        <v>85</v>
      </c>
      <c r="AX83" s="9">
        <v>0.940554</v>
      </c>
      <c r="AY83" s="9">
        <v>0.940748</v>
      </c>
      <c r="AZ83" s="9" t="s">
        <v>85</v>
      </c>
      <c r="BA83" s="9">
        <v>0.933366</v>
      </c>
      <c r="BB83" s="9">
        <v>0.93407</v>
      </c>
      <c r="BC83" s="9" t="s">
        <v>85</v>
      </c>
      <c r="BD83" s="30">
        <v>0.945556</v>
      </c>
      <c r="BE83" s="30">
        <v>0.946576</v>
      </c>
      <c r="BF83" s="9" t="s">
        <v>85</v>
      </c>
      <c r="BG83" s="10" t="s">
        <v>85</v>
      </c>
      <c r="BH83" s="10" t="s">
        <v>85</v>
      </c>
      <c r="BI83" s="9" t="s">
        <v>85</v>
      </c>
      <c r="BJ83" s="6"/>
      <c r="BK83" s="6" t="str">
        <f t="shared" si="2"/>
        <v>20V_Fold_Median</v>
      </c>
      <c r="BL83" s="6" t="str">
        <f t="shared" si="3"/>
        <v>20V_Fold_Mean</v>
      </c>
      <c r="BM83" s="6" t="str">
        <f t="shared" si="4"/>
        <v>12VB_Fold_Median</v>
      </c>
      <c r="BN83" s="6"/>
      <c r="BO83" s="6">
        <f t="shared" ref="BO83:BQ83" si="94">IF(ISNUMBER(SEARCH("5",BK83)),5,IF(ISNUMBER(SEARCH("*8*",BK83)),8,IF(ISNUMBER(SEARCH("*10*",BK83)),10,IF(ISNUMBER(SEARCH("*12*",BK83)),12,IF(ISNUMBER(SEARCH("*20*",BK83)),20)))))</f>
        <v>20</v>
      </c>
      <c r="BP83" s="6">
        <f t="shared" si="94"/>
        <v>20</v>
      </c>
      <c r="BQ83" s="6">
        <f t="shared" si="94"/>
        <v>12</v>
      </c>
      <c r="BR83" s="6"/>
      <c r="BS83" s="6">
        <f t="shared" si="6"/>
        <v>16</v>
      </c>
      <c r="BT83" s="6">
        <f t="shared" si="7"/>
        <v>8.5</v>
      </c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</row>
    <row r="84" ht="15.75" customHeight="1">
      <c r="A84" s="1" t="s">
        <v>178</v>
      </c>
      <c r="B84" s="17">
        <v>235.0</v>
      </c>
      <c r="C84" s="17">
        <v>2.0</v>
      </c>
      <c r="D84" s="17" t="s">
        <v>302</v>
      </c>
      <c r="E84" s="9">
        <v>0.896757</v>
      </c>
      <c r="F84" s="9">
        <v>0.9</v>
      </c>
      <c r="G84" s="9" t="s">
        <v>85</v>
      </c>
      <c r="H84" s="30">
        <v>0.888108099</v>
      </c>
      <c r="I84" s="30">
        <v>0.891891897</v>
      </c>
      <c r="J84" s="9" t="s">
        <v>85</v>
      </c>
      <c r="K84" s="9">
        <v>0.906486</v>
      </c>
      <c r="L84" s="9">
        <v>0.908108</v>
      </c>
      <c r="M84" s="9" t="s">
        <v>85</v>
      </c>
      <c r="N84" s="9">
        <v>0.902162158</v>
      </c>
      <c r="O84" s="9">
        <v>0.905405</v>
      </c>
      <c r="P84" s="9" t="s">
        <v>85</v>
      </c>
      <c r="Q84" s="9">
        <v>0.896757</v>
      </c>
      <c r="R84" s="9">
        <v>0.894595</v>
      </c>
      <c r="S84" s="9" t="s">
        <v>85</v>
      </c>
      <c r="T84" s="9">
        <v>0.900540555</v>
      </c>
      <c r="U84" s="9">
        <v>0.897297</v>
      </c>
      <c r="V84" s="9" t="s">
        <v>85</v>
      </c>
      <c r="W84" s="9">
        <v>0.888649</v>
      </c>
      <c r="X84" s="9">
        <v>0.886486</v>
      </c>
      <c r="Y84" s="9" t="s">
        <v>85</v>
      </c>
      <c r="Z84" s="9">
        <v>0.903243</v>
      </c>
      <c r="AA84" s="9">
        <v>0.905405</v>
      </c>
      <c r="AB84" s="9" t="s">
        <v>85</v>
      </c>
      <c r="AC84" s="30">
        <v>0.906486499</v>
      </c>
      <c r="AD84" s="30">
        <v>0.910811</v>
      </c>
      <c r="AE84" s="9" t="s">
        <v>85</v>
      </c>
      <c r="AF84" s="30">
        <v>0.908108115</v>
      </c>
      <c r="AG84" s="30">
        <v>0.908108</v>
      </c>
      <c r="AH84" s="9" t="s">
        <v>85</v>
      </c>
      <c r="AI84" s="9">
        <v>0.907027</v>
      </c>
      <c r="AJ84" s="9">
        <v>0.910811</v>
      </c>
      <c r="AK84" s="9" t="s">
        <v>85</v>
      </c>
      <c r="AL84" s="9">
        <v>0.911892</v>
      </c>
      <c r="AM84" s="9">
        <v>0.918919</v>
      </c>
      <c r="AN84" s="9" t="s">
        <v>85</v>
      </c>
      <c r="AO84" s="9">
        <v>0.909189</v>
      </c>
      <c r="AP84" s="9">
        <v>0.913514</v>
      </c>
      <c r="AQ84" s="9" t="s">
        <v>85</v>
      </c>
      <c r="AR84" s="30">
        <v>0.910270286</v>
      </c>
      <c r="AS84" s="30">
        <v>0.910811</v>
      </c>
      <c r="AT84" s="9" t="s">
        <v>85</v>
      </c>
      <c r="AU84" s="9">
        <v>0.931351</v>
      </c>
      <c r="AV84" s="9">
        <v>0.92973</v>
      </c>
      <c r="AW84" s="9" t="s">
        <v>85</v>
      </c>
      <c r="AX84" s="9">
        <v>0.933513</v>
      </c>
      <c r="AY84" s="9">
        <v>0.932432</v>
      </c>
      <c r="AZ84" s="9" t="s">
        <v>85</v>
      </c>
      <c r="BA84" s="9">
        <v>0.916757</v>
      </c>
      <c r="BB84" s="9">
        <v>0.921622</v>
      </c>
      <c r="BC84" s="9" t="s">
        <v>85</v>
      </c>
      <c r="BD84" s="30">
        <v>0.924324</v>
      </c>
      <c r="BE84" s="30">
        <v>0.924324</v>
      </c>
      <c r="BF84" s="9" t="s">
        <v>85</v>
      </c>
      <c r="BG84" s="10" t="s">
        <v>85</v>
      </c>
      <c r="BH84" s="10" t="s">
        <v>85</v>
      </c>
      <c r="BI84" s="9" t="s">
        <v>85</v>
      </c>
      <c r="BJ84" s="6"/>
      <c r="BK84" s="6" t="str">
        <f t="shared" si="2"/>
        <v>12VB_Fold_Mean</v>
      </c>
      <c r="BL84" s="6" t="str">
        <f t="shared" si="3"/>
        <v>12VB_Fold_Median</v>
      </c>
      <c r="BM84" s="6" t="str">
        <f t="shared" si="4"/>
        <v>12V_Fold_Mean</v>
      </c>
      <c r="BN84" s="6"/>
      <c r="BO84" s="6">
        <f t="shared" ref="BO84:BQ84" si="95">IF(ISNUMBER(SEARCH("5",BK84)),5,IF(ISNUMBER(SEARCH("*8*",BK84)),8,IF(ISNUMBER(SEARCH("*10*",BK84)),10,IF(ISNUMBER(SEARCH("*12*",BK84)),12,IF(ISNUMBER(SEARCH("*20*",BK84)),20)))))</f>
        <v>12</v>
      </c>
      <c r="BP84" s="6">
        <f t="shared" si="95"/>
        <v>12</v>
      </c>
      <c r="BQ84" s="6">
        <f t="shared" si="95"/>
        <v>12</v>
      </c>
      <c r="BR84" s="6"/>
      <c r="BS84" s="6">
        <f t="shared" si="6"/>
        <v>58</v>
      </c>
      <c r="BT84" s="6">
        <f t="shared" si="7"/>
        <v>27</v>
      </c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</row>
    <row r="85" ht="15.75" customHeight="1">
      <c r="A85" s="1" t="s">
        <v>179</v>
      </c>
      <c r="B85" s="17">
        <v>128.0</v>
      </c>
      <c r="C85" s="17">
        <v>15.0</v>
      </c>
      <c r="D85" s="17" t="s">
        <v>300</v>
      </c>
      <c r="E85" s="9">
        <v>0.68736</v>
      </c>
      <c r="F85" s="9">
        <v>0.6848</v>
      </c>
      <c r="G85" s="9" t="s">
        <v>85</v>
      </c>
      <c r="H85" s="30">
        <v>0.63168</v>
      </c>
      <c r="I85" s="30">
        <v>0.673600018</v>
      </c>
      <c r="J85" s="9" t="s">
        <v>85</v>
      </c>
      <c r="K85" s="9">
        <v>0.70464</v>
      </c>
      <c r="L85" s="9">
        <v>0.696</v>
      </c>
      <c r="M85" s="9" t="s">
        <v>85</v>
      </c>
      <c r="N85" s="9">
        <v>0.646400023</v>
      </c>
      <c r="O85" s="9">
        <v>0.6208</v>
      </c>
      <c r="P85" s="9" t="s">
        <v>85</v>
      </c>
      <c r="Q85" s="9">
        <v>0.74016</v>
      </c>
      <c r="R85" s="9">
        <v>0.7824</v>
      </c>
      <c r="S85" s="9" t="s">
        <v>85</v>
      </c>
      <c r="T85" s="9">
        <v>0.703999984</v>
      </c>
      <c r="U85" s="9">
        <v>0.7488</v>
      </c>
      <c r="V85" s="9" t="s">
        <v>85</v>
      </c>
      <c r="W85" s="9">
        <v>0.77888</v>
      </c>
      <c r="X85" s="9">
        <v>0.768</v>
      </c>
      <c r="Y85" s="9" t="s">
        <v>85</v>
      </c>
      <c r="Z85" s="9">
        <v>0.65472</v>
      </c>
      <c r="AA85" s="9">
        <v>0.6256</v>
      </c>
      <c r="AB85" s="9" t="s">
        <v>85</v>
      </c>
      <c r="AC85" s="30">
        <v>0.760320008</v>
      </c>
      <c r="AD85" s="30">
        <v>0.808</v>
      </c>
      <c r="AE85" s="9" t="s">
        <v>85</v>
      </c>
      <c r="AF85" s="30">
        <v>0.74368</v>
      </c>
      <c r="AG85" s="30">
        <v>0.7728</v>
      </c>
      <c r="AH85" s="9" t="s">
        <v>85</v>
      </c>
      <c r="AI85" s="9">
        <v>0.74816</v>
      </c>
      <c r="AJ85" s="9">
        <v>0.7488</v>
      </c>
      <c r="AK85" s="9" t="s">
        <v>85</v>
      </c>
      <c r="AL85" s="9">
        <v>0.5936</v>
      </c>
      <c r="AM85" s="9">
        <v>0.68</v>
      </c>
      <c r="AN85" s="9" t="s">
        <v>85</v>
      </c>
      <c r="AO85" s="9">
        <v>0.76832</v>
      </c>
      <c r="AP85" s="9">
        <v>0.7648</v>
      </c>
      <c r="AQ85" s="9" t="s">
        <v>85</v>
      </c>
      <c r="AR85" s="30">
        <v>0.79072001</v>
      </c>
      <c r="AS85" s="30">
        <v>0.7904</v>
      </c>
      <c r="AT85" s="9" t="s">
        <v>85</v>
      </c>
      <c r="AU85" s="9">
        <v>0.6928</v>
      </c>
      <c r="AV85" s="9">
        <v>0.704</v>
      </c>
      <c r="AW85" s="9" t="s">
        <v>85</v>
      </c>
      <c r="AX85" s="9">
        <v>0.78048</v>
      </c>
      <c r="AY85" s="9">
        <v>0.7776</v>
      </c>
      <c r="AZ85" s="9" t="s">
        <v>85</v>
      </c>
      <c r="BA85" s="9">
        <v>0.72128</v>
      </c>
      <c r="BB85" s="9">
        <v>0.7536</v>
      </c>
      <c r="BC85" s="9" t="s">
        <v>85</v>
      </c>
      <c r="BD85" s="30">
        <v>0.5568</v>
      </c>
      <c r="BE85" s="30">
        <v>0.6752</v>
      </c>
      <c r="BF85" s="9" t="s">
        <v>85</v>
      </c>
      <c r="BG85" s="10" t="s">
        <v>85</v>
      </c>
      <c r="BH85" s="10" t="s">
        <v>85</v>
      </c>
      <c r="BI85" s="9" t="s">
        <v>85</v>
      </c>
      <c r="BJ85" s="6"/>
      <c r="BK85" s="6" t="str">
        <f t="shared" si="2"/>
        <v>10Bo_Fold_Median</v>
      </c>
      <c r="BL85" s="6" t="str">
        <f t="shared" si="3"/>
        <v>12BoN_Fold_Mean</v>
      </c>
      <c r="BM85" s="6" t="str">
        <f t="shared" si="4"/>
        <v>12BoN_Fold_Median</v>
      </c>
      <c r="BN85" s="6"/>
      <c r="BO85" s="6">
        <f t="shared" ref="BO85:BQ85" si="96">IF(ISNUMBER(SEARCH("5",BK85)),5,IF(ISNUMBER(SEARCH("*8*",BK85)),8,IF(ISNUMBER(SEARCH("*10*",BK85)),10,IF(ISNUMBER(SEARCH("*12*",BK85)),12,IF(ISNUMBER(SEARCH("*20*",BK85)),20)))))</f>
        <v>10</v>
      </c>
      <c r="BP85" s="6">
        <f t="shared" si="96"/>
        <v>12</v>
      </c>
      <c r="BQ85" s="6">
        <f t="shared" si="96"/>
        <v>12</v>
      </c>
      <c r="BR85" s="6"/>
      <c r="BS85" s="6">
        <f t="shared" si="6"/>
        <v>74.5</v>
      </c>
      <c r="BT85" s="6">
        <f t="shared" si="7"/>
        <v>46.5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</row>
    <row r="86" ht="15.75" customHeight="1">
      <c r="A86" s="1" t="s">
        <v>180</v>
      </c>
      <c r="B86" s="17">
        <v>398.0</v>
      </c>
      <c r="C86" s="17">
        <v>6.0</v>
      </c>
      <c r="D86" s="17" t="s">
        <v>300</v>
      </c>
      <c r="E86" s="9">
        <v>0.737688</v>
      </c>
      <c r="F86" s="9">
        <v>0.744724</v>
      </c>
      <c r="G86" s="9" t="s">
        <v>85</v>
      </c>
      <c r="H86" s="30">
        <v>0.668542731</v>
      </c>
      <c r="I86" s="30">
        <v>0.703517616</v>
      </c>
      <c r="J86" s="9" t="s">
        <v>85</v>
      </c>
      <c r="K86" s="9">
        <v>0.74392</v>
      </c>
      <c r="L86" s="9">
        <v>0.767839</v>
      </c>
      <c r="M86" s="9" t="s">
        <v>85</v>
      </c>
      <c r="N86" s="9">
        <v>0.757587945</v>
      </c>
      <c r="O86" s="9">
        <v>0.78794</v>
      </c>
      <c r="P86" s="9" t="s">
        <v>85</v>
      </c>
      <c r="Q86" s="9">
        <v>0.709548</v>
      </c>
      <c r="R86" s="9">
        <v>0.745729</v>
      </c>
      <c r="S86" s="9" t="s">
        <v>85</v>
      </c>
      <c r="T86" s="9">
        <v>0.740100491</v>
      </c>
      <c r="U86" s="9">
        <v>0.742714</v>
      </c>
      <c r="V86" s="9" t="s">
        <v>85</v>
      </c>
      <c r="W86" s="9">
        <v>0.770854</v>
      </c>
      <c r="X86" s="9">
        <v>0.78191</v>
      </c>
      <c r="Y86" s="9" t="s">
        <v>85</v>
      </c>
      <c r="Z86" s="9">
        <v>0.72402</v>
      </c>
      <c r="AA86" s="9">
        <v>0.722613</v>
      </c>
      <c r="AB86" s="9" t="s">
        <v>85</v>
      </c>
      <c r="AC86" s="30">
        <v>0.75296483</v>
      </c>
      <c r="AD86" s="30">
        <v>0.747739</v>
      </c>
      <c r="AE86" s="9" t="s">
        <v>85</v>
      </c>
      <c r="AF86" s="30">
        <v>0.733065331</v>
      </c>
      <c r="AG86" s="30">
        <v>0.728643</v>
      </c>
      <c r="AH86" s="9" t="s">
        <v>85</v>
      </c>
      <c r="AI86" s="9">
        <v>0.75397</v>
      </c>
      <c r="AJ86" s="9">
        <v>0.736683</v>
      </c>
      <c r="AK86" s="9" t="s">
        <v>85</v>
      </c>
      <c r="AL86" s="9">
        <v>0.782714</v>
      </c>
      <c r="AM86" s="9">
        <v>0.777889</v>
      </c>
      <c r="AN86" s="9" t="s">
        <v>85</v>
      </c>
      <c r="AO86" s="9">
        <v>0.647035</v>
      </c>
      <c r="AP86" s="9">
        <v>0.686432</v>
      </c>
      <c r="AQ86" s="9" t="s">
        <v>85</v>
      </c>
      <c r="AR86" s="30">
        <v>0.728442204</v>
      </c>
      <c r="AS86" s="30">
        <v>0.712563</v>
      </c>
      <c r="AT86" s="9" t="s">
        <v>85</v>
      </c>
      <c r="AU86" s="9">
        <v>0.756181</v>
      </c>
      <c r="AV86" s="9">
        <v>0.750754</v>
      </c>
      <c r="AW86" s="9" t="s">
        <v>85</v>
      </c>
      <c r="AX86" s="9">
        <v>0.694271</v>
      </c>
      <c r="AY86" s="9">
        <v>0.722613</v>
      </c>
      <c r="AZ86" s="9" t="s">
        <v>85</v>
      </c>
      <c r="BA86" s="9">
        <v>0.604623</v>
      </c>
      <c r="BB86" s="9">
        <v>0.619096</v>
      </c>
      <c r="BC86" s="9" t="s">
        <v>85</v>
      </c>
      <c r="BD86" s="30">
        <v>0.700704</v>
      </c>
      <c r="BE86" s="30">
        <v>0.695477</v>
      </c>
      <c r="BF86" s="9" t="s">
        <v>85</v>
      </c>
      <c r="BG86" s="10" t="s">
        <v>85</v>
      </c>
      <c r="BH86" s="10" t="s">
        <v>85</v>
      </c>
      <c r="BI86" s="9" t="s">
        <v>85</v>
      </c>
      <c r="BJ86" s="6"/>
      <c r="BK86" s="6" t="str">
        <f t="shared" si="2"/>
        <v>5VB_Fold_Median</v>
      </c>
      <c r="BL86" s="6" t="str">
        <f t="shared" si="3"/>
        <v>10VB_Fold_Mean</v>
      </c>
      <c r="BM86" s="6" t="str">
        <f t="shared" si="4"/>
        <v>8V_Fold_Median</v>
      </c>
      <c r="BN86" s="6"/>
      <c r="BO86" s="6">
        <f t="shared" ref="BO86:BQ86" si="97">IF(ISNUMBER(SEARCH("5",BK86)),5,IF(ISNUMBER(SEARCH("*8*",BK86)),8,IF(ISNUMBER(SEARCH("*10*",BK86)),10,IF(ISNUMBER(SEARCH("*12*",BK86)),12,IF(ISNUMBER(SEARCH("*20*",BK86)),20)))))</f>
        <v>5</v>
      </c>
      <c r="BP86" s="6">
        <f t="shared" si="97"/>
        <v>10</v>
      </c>
      <c r="BQ86" s="6">
        <f t="shared" si="97"/>
        <v>8</v>
      </c>
      <c r="BR86" s="6"/>
      <c r="BS86" s="6">
        <f t="shared" si="6"/>
        <v>45</v>
      </c>
      <c r="BT86" s="6">
        <f t="shared" si="7"/>
        <v>86.5</v>
      </c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</row>
    <row r="87" ht="15.75" customHeight="1">
      <c r="A87" s="1" t="s">
        <v>181</v>
      </c>
      <c r="B87" s="17">
        <v>60.0</v>
      </c>
      <c r="C87" s="17">
        <v>6.0</v>
      </c>
      <c r="D87" s="17" t="s">
        <v>303</v>
      </c>
      <c r="E87" s="9">
        <v>0.962667</v>
      </c>
      <c r="F87" s="9">
        <v>0.963333</v>
      </c>
      <c r="G87" s="9" t="s">
        <v>85</v>
      </c>
      <c r="H87" s="30">
        <v>0.95799998</v>
      </c>
      <c r="I87" s="30">
        <v>0.956666648</v>
      </c>
      <c r="J87" s="9" t="s">
        <v>85</v>
      </c>
      <c r="K87" s="9">
        <v>0.936</v>
      </c>
      <c r="L87" s="9">
        <v>0.94</v>
      </c>
      <c r="M87" s="9" t="s">
        <v>85</v>
      </c>
      <c r="N87" s="9">
        <v>0.934666669</v>
      </c>
      <c r="O87" s="9">
        <v>0.933333</v>
      </c>
      <c r="P87" s="9" t="s">
        <v>85</v>
      </c>
      <c r="Q87" s="9">
        <v>0.956667</v>
      </c>
      <c r="R87" s="9">
        <v>0.956667</v>
      </c>
      <c r="S87" s="9" t="s">
        <v>85</v>
      </c>
      <c r="T87" s="9">
        <v>0.952666652</v>
      </c>
      <c r="U87" s="9">
        <v>0.953333</v>
      </c>
      <c r="V87" s="9" t="s">
        <v>85</v>
      </c>
      <c r="W87" s="9">
        <v>0.926667</v>
      </c>
      <c r="X87" s="9">
        <v>0.923333</v>
      </c>
      <c r="Y87" s="9" t="s">
        <v>85</v>
      </c>
      <c r="Z87" s="9">
        <v>0.926</v>
      </c>
      <c r="AA87" s="9">
        <v>0.923333</v>
      </c>
      <c r="AB87" s="9" t="s">
        <v>85</v>
      </c>
      <c r="AC87" s="30">
        <v>0.95466665</v>
      </c>
      <c r="AD87" s="30">
        <v>0.953333</v>
      </c>
      <c r="AE87" s="9" t="s">
        <v>85</v>
      </c>
      <c r="AF87" s="30">
        <v>0.953333318</v>
      </c>
      <c r="AG87" s="30">
        <v>0.953333</v>
      </c>
      <c r="AH87" s="9" t="s">
        <v>85</v>
      </c>
      <c r="AI87" s="9">
        <v>0.950667</v>
      </c>
      <c r="AJ87" s="9">
        <v>0.95</v>
      </c>
      <c r="AK87" s="9" t="s">
        <v>85</v>
      </c>
      <c r="AL87" s="9">
        <v>0.916667</v>
      </c>
      <c r="AM87" s="9">
        <v>0.95</v>
      </c>
      <c r="AN87" s="9" t="s">
        <v>85</v>
      </c>
      <c r="AO87" s="9">
        <v>0.976667</v>
      </c>
      <c r="AP87" s="9">
        <v>0.976667</v>
      </c>
      <c r="AQ87" s="9" t="s">
        <v>85</v>
      </c>
      <c r="AR87" s="30">
        <v>0.974000013</v>
      </c>
      <c r="AS87" s="30">
        <v>0.976667</v>
      </c>
      <c r="AT87" s="9" t="s">
        <v>85</v>
      </c>
      <c r="AU87" s="9">
        <v>0.950667</v>
      </c>
      <c r="AV87" s="9">
        <v>0.95</v>
      </c>
      <c r="AW87" s="9" t="s">
        <v>85</v>
      </c>
      <c r="AX87" s="9">
        <v>0.912667</v>
      </c>
      <c r="AY87" s="9">
        <v>0.95</v>
      </c>
      <c r="AZ87" s="9" t="s">
        <v>85</v>
      </c>
      <c r="BA87" s="9">
        <v>0.991333</v>
      </c>
      <c r="BB87" s="9">
        <v>0.99</v>
      </c>
      <c r="BC87" s="9" t="s">
        <v>85</v>
      </c>
      <c r="BD87" s="30">
        <v>0.946667</v>
      </c>
      <c r="BE87" s="30">
        <v>0.953333</v>
      </c>
      <c r="BF87" s="9" t="s">
        <v>85</v>
      </c>
      <c r="BG87" s="10" t="s">
        <v>85</v>
      </c>
      <c r="BH87" s="10" t="s">
        <v>85</v>
      </c>
      <c r="BI87" s="9" t="s">
        <v>85</v>
      </c>
      <c r="BJ87" s="6"/>
      <c r="BK87" s="6" t="str">
        <f t="shared" si="2"/>
        <v>20Bo_Fold_Mean</v>
      </c>
      <c r="BL87" s="6" t="str">
        <f t="shared" si="3"/>
        <v>20Bo_Fold_Median</v>
      </c>
      <c r="BM87" s="6" t="str">
        <f t="shared" si="4"/>
        <v>12Bo_Fold_Mean</v>
      </c>
      <c r="BN87" s="6"/>
      <c r="BO87" s="6">
        <f t="shared" ref="BO87:BQ87" si="98">IF(ISNUMBER(SEARCH("5",BK87)),5,IF(ISNUMBER(SEARCH("*8*",BK87)),8,IF(ISNUMBER(SEARCH("*10*",BK87)),10,IF(ISNUMBER(SEARCH("*12*",BK87)),12,IF(ISNUMBER(SEARCH("*20*",BK87)),20)))))</f>
        <v>20</v>
      </c>
      <c r="BP87" s="6">
        <f t="shared" si="98"/>
        <v>20</v>
      </c>
      <c r="BQ87" s="6">
        <f t="shared" si="98"/>
        <v>12</v>
      </c>
      <c r="BR87" s="6"/>
      <c r="BS87" s="6">
        <f t="shared" si="6"/>
        <v>94</v>
      </c>
      <c r="BT87" s="6">
        <f t="shared" si="7"/>
        <v>8.5</v>
      </c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</row>
    <row r="88" ht="15.75" customHeight="1">
      <c r="A88" s="1" t="s">
        <v>182</v>
      </c>
      <c r="B88" s="17">
        <v>277.0</v>
      </c>
      <c r="C88" s="17">
        <v>2.0</v>
      </c>
      <c r="D88" s="17" t="s">
        <v>311</v>
      </c>
      <c r="E88" s="9">
        <v>0.596491</v>
      </c>
      <c r="F88" s="9">
        <v>0.526316</v>
      </c>
      <c r="G88" s="9" t="s">
        <v>85</v>
      </c>
      <c r="H88" s="30">
        <v>0.61842106</v>
      </c>
      <c r="I88" s="30">
        <v>0.649122834</v>
      </c>
      <c r="J88" s="9" t="s">
        <v>85</v>
      </c>
      <c r="K88" s="9">
        <v>0.607018</v>
      </c>
      <c r="L88" s="9">
        <v>0.644737</v>
      </c>
      <c r="M88" s="9" t="s">
        <v>85</v>
      </c>
      <c r="N88" s="9">
        <v>0.65350877</v>
      </c>
      <c r="O88" s="9">
        <v>0.723684</v>
      </c>
      <c r="P88" s="9" t="s">
        <v>85</v>
      </c>
      <c r="Q88" s="9">
        <v>0.611404</v>
      </c>
      <c r="R88" s="9">
        <v>0.596491</v>
      </c>
      <c r="S88" s="9" t="s">
        <v>85</v>
      </c>
      <c r="T88" s="9">
        <v>0.574561405</v>
      </c>
      <c r="U88" s="9">
        <v>0.54386</v>
      </c>
      <c r="V88" s="9" t="s">
        <v>85</v>
      </c>
      <c r="W88" s="9">
        <v>0.707018</v>
      </c>
      <c r="X88" s="9">
        <v>0.732456</v>
      </c>
      <c r="Y88" s="9" t="s">
        <v>85</v>
      </c>
      <c r="Z88" s="9">
        <v>0.664912</v>
      </c>
      <c r="AA88" s="9">
        <v>0.697368</v>
      </c>
      <c r="AB88" s="9" t="s">
        <v>85</v>
      </c>
      <c r="AC88" s="30">
        <v>0.542105263</v>
      </c>
      <c r="AD88" s="30">
        <v>0.526316</v>
      </c>
      <c r="AE88" s="9" t="s">
        <v>85</v>
      </c>
      <c r="AF88" s="30">
        <v>0.585087729</v>
      </c>
      <c r="AG88" s="30">
        <v>0.640351</v>
      </c>
      <c r="AH88" s="9" t="s">
        <v>85</v>
      </c>
      <c r="AI88" s="9">
        <v>0.64386</v>
      </c>
      <c r="AJ88" s="9">
        <v>0.723684</v>
      </c>
      <c r="AK88" s="9" t="s">
        <v>85</v>
      </c>
      <c r="AL88" s="9">
        <v>0.731579</v>
      </c>
      <c r="AM88" s="9">
        <v>0.745614</v>
      </c>
      <c r="AN88" s="9" t="s">
        <v>85</v>
      </c>
      <c r="AO88" s="9">
        <v>0.551754</v>
      </c>
      <c r="AP88" s="9">
        <v>0.548246</v>
      </c>
      <c r="AQ88" s="9" t="s">
        <v>85</v>
      </c>
      <c r="AR88" s="30">
        <v>0.596491235</v>
      </c>
      <c r="AS88" s="30">
        <v>0.618421</v>
      </c>
      <c r="AT88" s="9" t="s">
        <v>85</v>
      </c>
      <c r="AU88" s="9">
        <v>0.729825</v>
      </c>
      <c r="AV88" s="9">
        <v>0.72807</v>
      </c>
      <c r="AW88" s="9" t="s">
        <v>85</v>
      </c>
      <c r="AX88" s="9">
        <v>0.613158</v>
      </c>
      <c r="AY88" s="9">
        <v>0.649123</v>
      </c>
      <c r="AZ88" s="9" t="s">
        <v>85</v>
      </c>
      <c r="BA88" s="9">
        <v>0.582456</v>
      </c>
      <c r="BB88" s="9">
        <v>0.565789</v>
      </c>
      <c r="BC88" s="9" t="s">
        <v>85</v>
      </c>
      <c r="BD88" s="30">
        <v>0.57193</v>
      </c>
      <c r="BE88" s="30">
        <v>0.548246</v>
      </c>
      <c r="BF88" s="9" t="s">
        <v>85</v>
      </c>
      <c r="BG88" s="10" t="s">
        <v>85</v>
      </c>
      <c r="BH88" s="10" t="s">
        <v>85</v>
      </c>
      <c r="BI88" s="9" t="s">
        <v>85</v>
      </c>
      <c r="BJ88" s="6"/>
      <c r="BK88" s="6" t="str">
        <f t="shared" si="2"/>
        <v>10VB_Fold_Median</v>
      </c>
      <c r="BL88" s="6" t="str">
        <f t="shared" si="3"/>
        <v>8V_Fold_Median</v>
      </c>
      <c r="BM88" s="6" t="str">
        <f t="shared" si="4"/>
        <v>10VB_Fold_Mean</v>
      </c>
      <c r="BN88" s="6"/>
      <c r="BO88" s="6">
        <f t="shared" ref="BO88:BQ88" si="99">IF(ISNUMBER(SEARCH("5",BK88)),5,IF(ISNUMBER(SEARCH("*8*",BK88)),8,IF(ISNUMBER(SEARCH("*10*",BK88)),10,IF(ISNUMBER(SEARCH("*12*",BK88)),12,IF(ISNUMBER(SEARCH("*20*",BK88)),20)))))</f>
        <v>10</v>
      </c>
      <c r="BP88" s="6">
        <f t="shared" si="99"/>
        <v>8</v>
      </c>
      <c r="BQ88" s="6">
        <f t="shared" si="99"/>
        <v>10</v>
      </c>
      <c r="BR88" s="6"/>
      <c r="BS88" s="6">
        <f t="shared" si="6"/>
        <v>53</v>
      </c>
      <c r="BT88" s="6">
        <f t="shared" si="7"/>
        <v>46.5</v>
      </c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</row>
    <row r="89" ht="15.75" customHeight="1">
      <c r="A89" s="1" t="s">
        <v>183</v>
      </c>
      <c r="B89" s="17">
        <v>343.0</v>
      </c>
      <c r="C89" s="17">
        <v>2.0</v>
      </c>
      <c r="D89" s="17" t="s">
        <v>311</v>
      </c>
      <c r="E89" s="9">
        <v>0.830769</v>
      </c>
      <c r="F89" s="9">
        <v>0.830769</v>
      </c>
      <c r="G89" s="9" t="s">
        <v>85</v>
      </c>
      <c r="H89" s="30">
        <v>0.796923077</v>
      </c>
      <c r="I89" s="30">
        <v>0.784615397</v>
      </c>
      <c r="J89" s="9" t="s">
        <v>85</v>
      </c>
      <c r="K89" s="9">
        <v>0.675385</v>
      </c>
      <c r="L89" s="9">
        <v>0.730769</v>
      </c>
      <c r="M89" s="9" t="s">
        <v>85</v>
      </c>
      <c r="N89" s="9">
        <v>0.813846147</v>
      </c>
      <c r="O89" s="9">
        <v>0.846154</v>
      </c>
      <c r="P89" s="9" t="s">
        <v>85</v>
      </c>
      <c r="Q89" s="9">
        <v>0.787692</v>
      </c>
      <c r="R89" s="9">
        <v>0.8</v>
      </c>
      <c r="S89" s="9" t="s">
        <v>85</v>
      </c>
      <c r="T89" s="9">
        <v>0.749230766</v>
      </c>
      <c r="U89" s="9">
        <v>0.730769</v>
      </c>
      <c r="V89" s="9" t="s">
        <v>85</v>
      </c>
      <c r="W89" s="9">
        <v>0.789231</v>
      </c>
      <c r="X89" s="9">
        <v>0.8</v>
      </c>
      <c r="Y89" s="9" t="s">
        <v>85</v>
      </c>
      <c r="Z89" s="9">
        <v>0.663077</v>
      </c>
      <c r="AA89" s="9">
        <v>0.723077</v>
      </c>
      <c r="AB89" s="9" t="s">
        <v>85</v>
      </c>
      <c r="AC89" s="30">
        <v>0.660000014</v>
      </c>
      <c r="AD89" s="30">
        <v>0.769231</v>
      </c>
      <c r="AE89" s="9" t="s">
        <v>85</v>
      </c>
      <c r="AF89" s="30">
        <v>0.798461533</v>
      </c>
      <c r="AG89" s="30">
        <v>0.8</v>
      </c>
      <c r="AH89" s="9" t="s">
        <v>85</v>
      </c>
      <c r="AI89" s="9">
        <v>0.787692</v>
      </c>
      <c r="AJ89" s="9">
        <v>0.823077</v>
      </c>
      <c r="AK89" s="9" t="s">
        <v>85</v>
      </c>
      <c r="AL89" s="9">
        <v>0.64</v>
      </c>
      <c r="AM89" s="9">
        <v>0.784615</v>
      </c>
      <c r="AN89" s="9" t="s">
        <v>85</v>
      </c>
      <c r="AO89" s="9">
        <v>0.796923</v>
      </c>
      <c r="AP89" s="9">
        <v>0.815385</v>
      </c>
      <c r="AQ89" s="9" t="s">
        <v>85</v>
      </c>
      <c r="AR89" s="30">
        <v>0.778461528</v>
      </c>
      <c r="AS89" s="30">
        <v>0.776923</v>
      </c>
      <c r="AT89" s="9" t="s">
        <v>85</v>
      </c>
      <c r="AU89" s="9">
        <v>0.624615</v>
      </c>
      <c r="AV89" s="9">
        <v>0.730769</v>
      </c>
      <c r="AW89" s="9" t="s">
        <v>85</v>
      </c>
      <c r="AX89" s="9">
        <v>0.706154</v>
      </c>
      <c r="AY89" s="9">
        <v>0.707692</v>
      </c>
      <c r="AZ89" s="9" t="s">
        <v>85</v>
      </c>
      <c r="BA89" s="9">
        <v>0.750769</v>
      </c>
      <c r="BB89" s="9">
        <v>0.769231</v>
      </c>
      <c r="BC89" s="9" t="s">
        <v>85</v>
      </c>
      <c r="BD89" s="30">
        <v>0.724615</v>
      </c>
      <c r="BE89" s="30">
        <v>0.761538</v>
      </c>
      <c r="BF89" s="9" t="s">
        <v>85</v>
      </c>
      <c r="BG89" s="10" t="s">
        <v>85</v>
      </c>
      <c r="BH89" s="10" t="s">
        <v>85</v>
      </c>
      <c r="BI89" s="9" t="s">
        <v>85</v>
      </c>
      <c r="BJ89" s="6"/>
      <c r="BK89" s="6" t="str">
        <f t="shared" si="2"/>
        <v>5VB_Fold_Median</v>
      </c>
      <c r="BL89" s="6" t="str">
        <f t="shared" si="3"/>
        <v>5Bo_Fold_Mean</v>
      </c>
      <c r="BM89" s="6" t="str">
        <f t="shared" si="4"/>
        <v>5Bo_Fold_Mean</v>
      </c>
      <c r="BN89" s="6"/>
      <c r="BO89" s="6">
        <f t="shared" ref="BO89:BQ89" si="100">IF(ISNUMBER(SEARCH("5",BK89)),5,IF(ISNUMBER(SEARCH("*8*",BK89)),8,IF(ISNUMBER(SEARCH("*10*",BK89)),10,IF(ISNUMBER(SEARCH("*12*",BK89)),12,IF(ISNUMBER(SEARCH("*20*",BK89)),20)))))</f>
        <v>5</v>
      </c>
      <c r="BP89" s="6">
        <f t="shared" si="100"/>
        <v>5</v>
      </c>
      <c r="BQ89" s="6">
        <f t="shared" si="100"/>
        <v>5</v>
      </c>
      <c r="BR89" s="6"/>
      <c r="BS89" s="6">
        <f t="shared" si="6"/>
        <v>48</v>
      </c>
      <c r="BT89" s="6">
        <f t="shared" si="7"/>
        <v>86.5</v>
      </c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</row>
    <row r="90" ht="15.75" customHeight="1">
      <c r="A90" s="1" t="s">
        <v>184</v>
      </c>
      <c r="B90" s="17">
        <v>275.0</v>
      </c>
      <c r="C90" s="17">
        <v>4.0</v>
      </c>
      <c r="D90" s="17" t="s">
        <v>305</v>
      </c>
      <c r="E90" s="9">
        <v>1.0</v>
      </c>
      <c r="F90" s="9">
        <v>1.0</v>
      </c>
      <c r="G90" s="9" t="s">
        <v>85</v>
      </c>
      <c r="H90" s="30">
        <v>0.822000003</v>
      </c>
      <c r="I90" s="30">
        <v>0.819999993</v>
      </c>
      <c r="J90" s="9" t="s">
        <v>85</v>
      </c>
      <c r="K90" s="9">
        <v>0.992</v>
      </c>
      <c r="L90" s="9">
        <v>0.99</v>
      </c>
      <c r="M90" s="9" t="s">
        <v>85</v>
      </c>
      <c r="N90" s="9">
        <v>0.982000005</v>
      </c>
      <c r="O90" s="9">
        <v>0.98</v>
      </c>
      <c r="P90" s="9" t="s">
        <v>85</v>
      </c>
      <c r="Q90" s="9">
        <v>1.0</v>
      </c>
      <c r="R90" s="9">
        <v>1.0</v>
      </c>
      <c r="S90" s="9" t="s">
        <v>85</v>
      </c>
      <c r="T90" s="9">
        <v>1.0</v>
      </c>
      <c r="U90" s="9">
        <v>1.0</v>
      </c>
      <c r="V90" s="9" t="s">
        <v>85</v>
      </c>
      <c r="W90" s="9">
        <v>0.966</v>
      </c>
      <c r="X90" s="9">
        <v>0.97</v>
      </c>
      <c r="Y90" s="9" t="s">
        <v>85</v>
      </c>
      <c r="Z90" s="9">
        <v>0.962</v>
      </c>
      <c r="AA90" s="9">
        <v>0.96</v>
      </c>
      <c r="AB90" s="9" t="s">
        <v>85</v>
      </c>
      <c r="AC90" s="30">
        <v>1.0</v>
      </c>
      <c r="AD90" s="30">
        <v>1.0</v>
      </c>
      <c r="AE90" s="9" t="s">
        <v>85</v>
      </c>
      <c r="AF90" s="30">
        <v>1.0</v>
      </c>
      <c r="AG90" s="30">
        <v>1.0</v>
      </c>
      <c r="AH90" s="9" t="s">
        <v>85</v>
      </c>
      <c r="AI90" s="9">
        <v>0.988</v>
      </c>
      <c r="AJ90" s="9">
        <v>0.99</v>
      </c>
      <c r="AK90" s="9" t="s">
        <v>85</v>
      </c>
      <c r="AL90" s="9">
        <v>0.988</v>
      </c>
      <c r="AM90" s="9">
        <v>0.99</v>
      </c>
      <c r="AN90" s="9" t="s">
        <v>85</v>
      </c>
      <c r="AO90" s="9">
        <v>1.0</v>
      </c>
      <c r="AP90" s="9">
        <v>1.0</v>
      </c>
      <c r="AQ90" s="9" t="s">
        <v>85</v>
      </c>
      <c r="AR90" s="30">
        <v>1.0</v>
      </c>
      <c r="AS90" s="30">
        <v>1.0</v>
      </c>
      <c r="AT90" s="9" t="s">
        <v>85</v>
      </c>
      <c r="AU90" s="9">
        <v>0.99</v>
      </c>
      <c r="AV90" s="9">
        <v>0.99</v>
      </c>
      <c r="AW90" s="9" t="s">
        <v>85</v>
      </c>
      <c r="AX90" s="9">
        <v>0.992</v>
      </c>
      <c r="AY90" s="9">
        <v>0.99</v>
      </c>
      <c r="AZ90" s="9" t="s">
        <v>85</v>
      </c>
      <c r="BA90" s="9">
        <v>1.0</v>
      </c>
      <c r="BB90" s="9">
        <v>1.0</v>
      </c>
      <c r="BC90" s="9" t="s">
        <v>85</v>
      </c>
      <c r="BD90" s="30">
        <v>1.0</v>
      </c>
      <c r="BE90" s="30">
        <v>1.0</v>
      </c>
      <c r="BF90" s="9" t="s">
        <v>85</v>
      </c>
      <c r="BG90" s="10" t="s">
        <v>85</v>
      </c>
      <c r="BH90" s="10" t="s">
        <v>85</v>
      </c>
      <c r="BI90" s="9" t="s">
        <v>85</v>
      </c>
      <c r="BJ90" s="6"/>
      <c r="BK90" s="6" t="str">
        <f t="shared" si="2"/>
        <v>5Bo_Fold_Mean</v>
      </c>
      <c r="BL90" s="6" t="str">
        <f t="shared" si="3"/>
        <v>5Bo_Fold_Mean</v>
      </c>
      <c r="BM90" s="6" t="str">
        <f t="shared" si="4"/>
        <v>5Bo_Fold_Mean</v>
      </c>
      <c r="BN90" s="6"/>
      <c r="BO90" s="6">
        <f t="shared" ref="BO90:BQ90" si="101">IF(ISNUMBER(SEARCH("5",BK90)),5,IF(ISNUMBER(SEARCH("*8*",BK90)),8,IF(ISNUMBER(SEARCH("*10*",BK90)),10,IF(ISNUMBER(SEARCH("*12*",BK90)),12,IF(ISNUMBER(SEARCH("*20*",BK90)),20)))))</f>
        <v>5</v>
      </c>
      <c r="BP90" s="6">
        <f t="shared" si="101"/>
        <v>5</v>
      </c>
      <c r="BQ90" s="6">
        <f t="shared" si="101"/>
        <v>5</v>
      </c>
      <c r="BR90" s="6"/>
      <c r="BS90" s="6">
        <f t="shared" si="6"/>
        <v>54</v>
      </c>
      <c r="BT90" s="6">
        <f t="shared" si="7"/>
        <v>86.5</v>
      </c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</row>
    <row r="91" ht="15.75" customHeight="1">
      <c r="A91" s="1" t="s">
        <v>185</v>
      </c>
      <c r="B91" s="17">
        <v>82.0</v>
      </c>
      <c r="C91" s="17">
        <v>2.0</v>
      </c>
      <c r="D91" s="17" t="s">
        <v>307</v>
      </c>
      <c r="E91" s="9">
        <v>0.683231</v>
      </c>
      <c r="F91" s="9">
        <v>0.693591</v>
      </c>
      <c r="G91" s="9" t="s">
        <v>85</v>
      </c>
      <c r="H91" s="30">
        <v>0.756979799</v>
      </c>
      <c r="I91" s="30">
        <v>0.755926251</v>
      </c>
      <c r="J91" s="9" t="s">
        <v>85</v>
      </c>
      <c r="K91" s="9">
        <v>0.840035</v>
      </c>
      <c r="L91" s="9">
        <v>0.849868</v>
      </c>
      <c r="M91" s="9" t="s">
        <v>85</v>
      </c>
      <c r="N91" s="9">
        <v>0.841088665</v>
      </c>
      <c r="O91" s="9">
        <v>0.838455</v>
      </c>
      <c r="P91" s="9" t="s">
        <v>85</v>
      </c>
      <c r="Q91" s="9">
        <v>0.651449</v>
      </c>
      <c r="R91" s="9">
        <v>0.673398</v>
      </c>
      <c r="S91" s="9" t="s">
        <v>85</v>
      </c>
      <c r="T91" s="9">
        <v>0.662159801</v>
      </c>
      <c r="U91" s="9">
        <v>0.652327</v>
      </c>
      <c r="V91" s="9" t="s">
        <v>85</v>
      </c>
      <c r="W91" s="9">
        <v>0.747673</v>
      </c>
      <c r="X91" s="9">
        <v>0.806848</v>
      </c>
      <c r="Y91" s="9" t="s">
        <v>85</v>
      </c>
      <c r="Z91" s="9">
        <v>0.813521</v>
      </c>
      <c r="AA91" s="9">
        <v>0.824407</v>
      </c>
      <c r="AB91" s="9" t="s">
        <v>85</v>
      </c>
      <c r="AC91" s="30">
        <v>0.685162413</v>
      </c>
      <c r="AD91" s="30">
        <v>0.727831</v>
      </c>
      <c r="AE91" s="9" t="s">
        <v>85</v>
      </c>
      <c r="AF91" s="30">
        <v>0.708165061</v>
      </c>
      <c r="AG91" s="30">
        <v>0.713784</v>
      </c>
      <c r="AH91" s="9" t="s">
        <v>85</v>
      </c>
      <c r="AI91" s="9">
        <v>0.866374</v>
      </c>
      <c r="AJ91" s="9">
        <v>0.877085</v>
      </c>
      <c r="AK91" s="9" t="s">
        <v>85</v>
      </c>
      <c r="AL91" s="9">
        <v>0.850746</v>
      </c>
      <c r="AM91" s="9">
        <v>0.85777</v>
      </c>
      <c r="AN91" s="9" t="s">
        <v>85</v>
      </c>
      <c r="AO91" s="9">
        <v>0.688323</v>
      </c>
      <c r="AP91" s="9">
        <v>0.727831</v>
      </c>
      <c r="AQ91" s="9" t="s">
        <v>85</v>
      </c>
      <c r="AR91" s="30">
        <v>0.680948198</v>
      </c>
      <c r="AS91" s="30">
        <v>0.690957</v>
      </c>
      <c r="AT91" s="9" t="s">
        <v>85</v>
      </c>
      <c r="AU91" s="9">
        <v>0.716769</v>
      </c>
      <c r="AV91" s="9">
        <v>0.777875</v>
      </c>
      <c r="AW91" s="9" t="s">
        <v>85</v>
      </c>
      <c r="AX91" s="9">
        <v>0.750132</v>
      </c>
      <c r="AY91" s="9">
        <v>0.768218</v>
      </c>
      <c r="AZ91" s="9" t="s">
        <v>85</v>
      </c>
      <c r="BA91" s="9">
        <v>0.697981</v>
      </c>
      <c r="BB91" s="9">
        <v>0.732221</v>
      </c>
      <c r="BC91" s="9" t="s">
        <v>85</v>
      </c>
      <c r="BD91" s="30">
        <v>0.739069</v>
      </c>
      <c r="BE91" s="30">
        <v>0.753292</v>
      </c>
      <c r="BF91" s="9" t="s">
        <v>85</v>
      </c>
      <c r="BG91" s="10" t="s">
        <v>85</v>
      </c>
      <c r="BH91" s="10" t="s">
        <v>85</v>
      </c>
      <c r="BI91" s="9" t="s">
        <v>85</v>
      </c>
      <c r="BJ91" s="6"/>
      <c r="BK91" s="6" t="str">
        <f t="shared" si="2"/>
        <v>10V_Fold_Median</v>
      </c>
      <c r="BL91" s="6" t="str">
        <f t="shared" si="3"/>
        <v>10V_Fold_Mean</v>
      </c>
      <c r="BM91" s="6" t="str">
        <f t="shared" si="4"/>
        <v>10VB_Fold_Median</v>
      </c>
      <c r="BN91" s="6"/>
      <c r="BO91" s="6">
        <f t="shared" ref="BO91:BQ91" si="102">IF(ISNUMBER(SEARCH("5",BK91)),5,IF(ISNUMBER(SEARCH("*8*",BK91)),8,IF(ISNUMBER(SEARCH("*10*",BK91)),10,IF(ISNUMBER(SEARCH("*12*",BK91)),12,IF(ISNUMBER(SEARCH("*20*",BK91)),20)))))</f>
        <v>10</v>
      </c>
      <c r="BP91" s="6">
        <f t="shared" si="102"/>
        <v>10</v>
      </c>
      <c r="BQ91" s="6">
        <f t="shared" si="102"/>
        <v>10</v>
      </c>
      <c r="BR91" s="6"/>
      <c r="BS91" s="6">
        <f t="shared" si="6"/>
        <v>81</v>
      </c>
      <c r="BT91" s="6">
        <f t="shared" si="7"/>
        <v>46.5</v>
      </c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</row>
    <row r="92" ht="15.75" customHeight="1">
      <c r="A92" s="1" t="s">
        <v>186</v>
      </c>
      <c r="B92" s="17">
        <v>128.0</v>
      </c>
      <c r="C92" s="17">
        <v>4.0</v>
      </c>
      <c r="D92" s="17" t="s">
        <v>303</v>
      </c>
      <c r="E92" s="9">
        <v>0.51365</v>
      </c>
      <c r="F92" s="9">
        <v>0.5255</v>
      </c>
      <c r="G92" s="9" t="s">
        <v>85</v>
      </c>
      <c r="H92" s="30">
        <v>0.484000003</v>
      </c>
      <c r="I92" s="30">
        <v>0.472250015</v>
      </c>
      <c r="J92" s="9" t="s">
        <v>85</v>
      </c>
      <c r="K92" s="9">
        <v>0.5244</v>
      </c>
      <c r="L92" s="9">
        <v>0.55275</v>
      </c>
      <c r="M92" s="9" t="s">
        <v>85</v>
      </c>
      <c r="N92" s="9">
        <v>0.541199994</v>
      </c>
      <c r="O92" s="9">
        <v>0.528</v>
      </c>
      <c r="P92" s="9" t="s">
        <v>85</v>
      </c>
      <c r="Q92" s="9">
        <v>0.4876</v>
      </c>
      <c r="R92" s="9">
        <v>0.46825</v>
      </c>
      <c r="S92" s="9" t="s">
        <v>85</v>
      </c>
      <c r="T92" s="9">
        <v>0.460349995</v>
      </c>
      <c r="U92" s="9">
        <v>0.46875</v>
      </c>
      <c r="V92" s="9" t="s">
        <v>85</v>
      </c>
      <c r="W92" s="9">
        <v>0.5181</v>
      </c>
      <c r="X92" s="9">
        <v>0.60325</v>
      </c>
      <c r="Y92" s="9" t="s">
        <v>85</v>
      </c>
      <c r="Z92" s="9">
        <v>0.48035</v>
      </c>
      <c r="AA92" s="9">
        <v>0.446</v>
      </c>
      <c r="AB92" s="9" t="s">
        <v>85</v>
      </c>
      <c r="AC92" s="30">
        <v>0.481649995</v>
      </c>
      <c r="AD92" s="30">
        <v>0.4815</v>
      </c>
      <c r="AE92" s="9" t="s">
        <v>85</v>
      </c>
      <c r="AF92" s="30">
        <v>0.496200001</v>
      </c>
      <c r="AG92" s="30">
        <v>0.49775</v>
      </c>
      <c r="AH92" s="9" t="s">
        <v>85</v>
      </c>
      <c r="AI92" s="9">
        <v>0.33525</v>
      </c>
      <c r="AJ92" s="9">
        <v>0.2855</v>
      </c>
      <c r="AK92" s="9" t="s">
        <v>85</v>
      </c>
      <c r="AL92" s="9">
        <v>0.3456</v>
      </c>
      <c r="AM92" s="9">
        <v>0.269</v>
      </c>
      <c r="AN92" s="9" t="s">
        <v>85</v>
      </c>
      <c r="AO92" s="9">
        <v>0.4077</v>
      </c>
      <c r="AP92" s="9">
        <v>0.39425</v>
      </c>
      <c r="AQ92" s="9" t="s">
        <v>85</v>
      </c>
      <c r="AR92" s="30">
        <v>0.489149994</v>
      </c>
      <c r="AS92" s="30">
        <v>0.4975</v>
      </c>
      <c r="AT92" s="9" t="s">
        <v>85</v>
      </c>
      <c r="AU92" s="9">
        <v>0.40525</v>
      </c>
      <c r="AV92" s="9">
        <v>0.4195</v>
      </c>
      <c r="AW92" s="9" t="s">
        <v>85</v>
      </c>
      <c r="AX92" s="9">
        <v>0.3229</v>
      </c>
      <c r="AY92" s="9">
        <v>0.27725</v>
      </c>
      <c r="AZ92" s="9" t="s">
        <v>85</v>
      </c>
      <c r="BA92" s="9">
        <v>0.4355</v>
      </c>
      <c r="BB92" s="9">
        <v>0.4315</v>
      </c>
      <c r="BC92" s="9" t="s">
        <v>85</v>
      </c>
      <c r="BD92" s="30">
        <v>0.31495</v>
      </c>
      <c r="BE92" s="30">
        <v>0.263</v>
      </c>
      <c r="BF92" s="9" t="s">
        <v>85</v>
      </c>
      <c r="BG92" s="10" t="s">
        <v>85</v>
      </c>
      <c r="BH92" s="10" t="s">
        <v>85</v>
      </c>
      <c r="BI92" s="9" t="s">
        <v>85</v>
      </c>
      <c r="BJ92" s="6"/>
      <c r="BK92" s="6" t="str">
        <f t="shared" si="2"/>
        <v>8V_Fold_Median</v>
      </c>
      <c r="BL92" s="6" t="str">
        <f t="shared" si="3"/>
        <v>5V_Fold_Median</v>
      </c>
      <c r="BM92" s="6" t="str">
        <f t="shared" si="4"/>
        <v>5VB_Fold_Mean</v>
      </c>
      <c r="BN92" s="6"/>
      <c r="BO92" s="6">
        <f t="shared" ref="BO92:BQ92" si="103">IF(ISNUMBER(SEARCH("5",BK92)),5,IF(ISNUMBER(SEARCH("*8*",BK92)),8,IF(ISNUMBER(SEARCH("*10*",BK92)),10,IF(ISNUMBER(SEARCH("*12*",BK92)),12,IF(ISNUMBER(SEARCH("*20*",BK92)),20)))))</f>
        <v>8</v>
      </c>
      <c r="BP92" s="6">
        <f t="shared" si="103"/>
        <v>5</v>
      </c>
      <c r="BQ92" s="6">
        <f t="shared" si="103"/>
        <v>5</v>
      </c>
      <c r="BR92" s="6"/>
      <c r="BS92" s="6">
        <f t="shared" si="6"/>
        <v>74.5</v>
      </c>
      <c r="BT92" s="6">
        <f t="shared" si="7"/>
        <v>65</v>
      </c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</row>
    <row r="93" ht="15.75" customHeight="1">
      <c r="A93" s="1" t="s">
        <v>187</v>
      </c>
      <c r="B93" s="17">
        <v>150.0</v>
      </c>
      <c r="C93" s="17">
        <v>3.0</v>
      </c>
      <c r="D93" s="17" t="s">
        <v>303</v>
      </c>
      <c r="E93" s="9">
        <v>0.833333</v>
      </c>
      <c r="F93" s="9">
        <v>0.854167</v>
      </c>
      <c r="G93" s="9" t="s">
        <v>85</v>
      </c>
      <c r="H93" s="30">
        <v>0.820833325</v>
      </c>
      <c r="I93" s="30">
        <v>0.819444418</v>
      </c>
      <c r="J93" s="9" t="s">
        <v>85</v>
      </c>
      <c r="K93" s="9">
        <v>0.781944</v>
      </c>
      <c r="L93" s="9">
        <v>0.777778</v>
      </c>
      <c r="M93" s="9" t="s">
        <v>85</v>
      </c>
      <c r="N93" s="9">
        <v>0.788888896</v>
      </c>
      <c r="O93" s="9">
        <v>0.791667</v>
      </c>
      <c r="P93" s="9" t="s">
        <v>85</v>
      </c>
      <c r="Q93" s="9">
        <v>0.884722</v>
      </c>
      <c r="R93" s="9">
        <v>0.881944</v>
      </c>
      <c r="S93" s="9" t="s">
        <v>85</v>
      </c>
      <c r="T93" s="9">
        <v>0.852777767</v>
      </c>
      <c r="U93" s="9">
        <v>0.861111</v>
      </c>
      <c r="V93" s="9" t="s">
        <v>85</v>
      </c>
      <c r="W93" s="9">
        <v>0.888889</v>
      </c>
      <c r="X93" s="9">
        <v>0.902778</v>
      </c>
      <c r="Y93" s="9" t="s">
        <v>85</v>
      </c>
      <c r="Z93" s="9">
        <v>0.934722</v>
      </c>
      <c r="AA93" s="9">
        <v>0.9375</v>
      </c>
      <c r="AB93" s="9" t="s">
        <v>85</v>
      </c>
      <c r="AC93" s="30">
        <v>0.865277779</v>
      </c>
      <c r="AD93" s="30">
        <v>0.881944</v>
      </c>
      <c r="AE93" s="9" t="s">
        <v>85</v>
      </c>
      <c r="AF93" s="30">
        <v>0.829166675</v>
      </c>
      <c r="AG93" s="30">
        <v>0.854167</v>
      </c>
      <c r="AH93" s="9" t="s">
        <v>85</v>
      </c>
      <c r="AI93" s="9">
        <v>0.8625</v>
      </c>
      <c r="AJ93" s="9">
        <v>0.868056</v>
      </c>
      <c r="AK93" s="9" t="s">
        <v>85</v>
      </c>
      <c r="AL93" s="9">
        <v>0.883333</v>
      </c>
      <c r="AM93" s="9">
        <v>0.881944</v>
      </c>
      <c r="AN93" s="9" t="s">
        <v>85</v>
      </c>
      <c r="AO93" s="9">
        <v>0.848611</v>
      </c>
      <c r="AP93" s="9">
        <v>0.854167</v>
      </c>
      <c r="AQ93" s="9" t="s">
        <v>85</v>
      </c>
      <c r="AR93" s="30">
        <v>0.815277779</v>
      </c>
      <c r="AS93" s="30">
        <v>0.833333</v>
      </c>
      <c r="AT93" s="9" t="s">
        <v>85</v>
      </c>
      <c r="AU93" s="9">
        <v>0.848611</v>
      </c>
      <c r="AV93" s="9">
        <v>0.861111</v>
      </c>
      <c r="AW93" s="9" t="s">
        <v>85</v>
      </c>
      <c r="AX93" s="9">
        <v>0.8625</v>
      </c>
      <c r="AY93" s="9">
        <v>0.861111</v>
      </c>
      <c r="AZ93" s="9" t="s">
        <v>85</v>
      </c>
      <c r="BA93" s="9">
        <v>0.8625</v>
      </c>
      <c r="BB93" s="9">
        <v>0.888889</v>
      </c>
      <c r="BC93" s="9" t="s">
        <v>85</v>
      </c>
      <c r="BD93" s="30">
        <v>0.859722</v>
      </c>
      <c r="BE93" s="30">
        <v>0.868056</v>
      </c>
      <c r="BF93" s="9" t="s">
        <v>85</v>
      </c>
      <c r="BG93" s="10" t="s">
        <v>85</v>
      </c>
      <c r="BH93" s="10" t="s">
        <v>85</v>
      </c>
      <c r="BI93" s="9" t="s">
        <v>85</v>
      </c>
      <c r="BJ93" s="6"/>
      <c r="BK93" s="6" t="str">
        <f t="shared" si="2"/>
        <v>8VB_Fold_Median</v>
      </c>
      <c r="BL93" s="6" t="str">
        <f t="shared" si="3"/>
        <v>8VB_Fold_Mean</v>
      </c>
      <c r="BM93" s="6" t="str">
        <f t="shared" si="4"/>
        <v>8V_Fold_Median</v>
      </c>
      <c r="BN93" s="6"/>
      <c r="BO93" s="6">
        <f t="shared" ref="BO93:BQ93" si="104">IF(ISNUMBER(SEARCH("5",BK93)),5,IF(ISNUMBER(SEARCH("*8*",BK93)),8,IF(ISNUMBER(SEARCH("*10*",BK93)),10,IF(ISNUMBER(SEARCH("*12*",BK93)),12,IF(ISNUMBER(SEARCH("*20*",BK93)),20)))))</f>
        <v>8</v>
      </c>
      <c r="BP93" s="6">
        <f t="shared" si="104"/>
        <v>8</v>
      </c>
      <c r="BQ93" s="6">
        <f t="shared" si="104"/>
        <v>8</v>
      </c>
      <c r="BR93" s="6"/>
      <c r="BS93" s="6">
        <f t="shared" si="6"/>
        <v>65</v>
      </c>
      <c r="BT93" s="6">
        <f t="shared" si="7"/>
        <v>65</v>
      </c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</row>
    <row r="94" ht="15.75" customHeight="1">
      <c r="A94" s="1" t="s">
        <v>188</v>
      </c>
      <c r="B94" s="17">
        <v>945.0</v>
      </c>
      <c r="C94" s="17">
        <v>8.0</v>
      </c>
      <c r="D94" s="17" t="s">
        <v>311</v>
      </c>
      <c r="E94" s="9">
        <v>0.75014</v>
      </c>
      <c r="F94" s="9">
        <v>0.765773</v>
      </c>
      <c r="G94" s="9" t="s">
        <v>85</v>
      </c>
      <c r="H94" s="30">
        <v>0.738525963</v>
      </c>
      <c r="I94" s="30">
        <v>0.746231139</v>
      </c>
      <c r="J94" s="9" t="s">
        <v>85</v>
      </c>
      <c r="K94" s="9">
        <v>0.648353</v>
      </c>
      <c r="L94" s="9">
        <v>0.660804</v>
      </c>
      <c r="M94" s="9" t="s">
        <v>85</v>
      </c>
      <c r="N94" s="9">
        <v>0.624343944</v>
      </c>
      <c r="O94" s="9">
        <v>0.617253</v>
      </c>
      <c r="P94" s="9" t="s">
        <v>85</v>
      </c>
      <c r="Q94" s="9">
        <v>0.854551</v>
      </c>
      <c r="R94" s="9">
        <v>0.855388</v>
      </c>
      <c r="S94" s="9" t="s">
        <v>85</v>
      </c>
      <c r="T94" s="9">
        <v>0.822836411</v>
      </c>
      <c r="U94" s="9">
        <v>0.840592</v>
      </c>
      <c r="V94" s="9" t="s">
        <v>85</v>
      </c>
      <c r="W94" s="9">
        <v>0.743272</v>
      </c>
      <c r="X94" s="9">
        <v>0.824958</v>
      </c>
      <c r="Y94" s="9" t="s">
        <v>85</v>
      </c>
      <c r="Z94" s="9">
        <v>0.61541</v>
      </c>
      <c r="AA94" s="9">
        <v>0.563652</v>
      </c>
      <c r="AB94" s="9" t="s">
        <v>85</v>
      </c>
      <c r="AC94" s="30">
        <v>0.895365727</v>
      </c>
      <c r="AD94" s="30">
        <v>0.896706</v>
      </c>
      <c r="AE94" s="9" t="s">
        <v>85</v>
      </c>
      <c r="AF94" s="30">
        <v>0.886934674</v>
      </c>
      <c r="AG94" s="30">
        <v>0.890564</v>
      </c>
      <c r="AH94" s="9" t="s">
        <v>85</v>
      </c>
      <c r="AI94" s="9">
        <v>0.768565</v>
      </c>
      <c r="AJ94" s="9">
        <v>0.829704</v>
      </c>
      <c r="AK94" s="9" t="s">
        <v>85</v>
      </c>
      <c r="AL94" s="9">
        <v>0.801843</v>
      </c>
      <c r="AM94" s="9">
        <v>0.828587</v>
      </c>
      <c r="AN94" s="9" t="s">
        <v>85</v>
      </c>
      <c r="AO94" s="9">
        <v>0.882412</v>
      </c>
      <c r="AP94" s="9">
        <v>0.887214</v>
      </c>
      <c r="AQ94" s="9" t="s">
        <v>85</v>
      </c>
      <c r="AR94" s="30">
        <v>0.886543834</v>
      </c>
      <c r="AS94" s="30">
        <v>0.886097</v>
      </c>
      <c r="AT94" s="9" t="s">
        <v>85</v>
      </c>
      <c r="AU94" s="9">
        <v>0.720491</v>
      </c>
      <c r="AV94" s="9">
        <v>0.675042</v>
      </c>
      <c r="AW94" s="9" t="s">
        <v>85</v>
      </c>
      <c r="AX94" s="9">
        <v>0.704411</v>
      </c>
      <c r="AY94" s="9">
        <v>0.740089</v>
      </c>
      <c r="AZ94" s="9" t="s">
        <v>85</v>
      </c>
      <c r="BA94" s="9">
        <v>0.886544</v>
      </c>
      <c r="BB94" s="9">
        <v>0.888331</v>
      </c>
      <c r="BC94" s="9" t="s">
        <v>85</v>
      </c>
      <c r="BD94" s="30">
        <v>0.839419</v>
      </c>
      <c r="BE94" s="30">
        <v>0.879955</v>
      </c>
      <c r="BF94" s="9" t="s">
        <v>85</v>
      </c>
      <c r="BG94" s="10" t="s">
        <v>85</v>
      </c>
      <c r="BH94" s="10" t="s">
        <v>85</v>
      </c>
      <c r="BI94" s="9" t="s">
        <v>85</v>
      </c>
      <c r="BJ94" s="6"/>
      <c r="BK94" s="6" t="str">
        <f t="shared" si="2"/>
        <v>10Bo_Fold_Median</v>
      </c>
      <c r="BL94" s="6" t="str">
        <f t="shared" si="3"/>
        <v>10Bo_Fold_Mean</v>
      </c>
      <c r="BM94" s="6" t="str">
        <f t="shared" si="4"/>
        <v>10BoN_Fold_Median</v>
      </c>
      <c r="BN94" s="6"/>
      <c r="BO94" s="6">
        <f t="shared" ref="BO94:BQ94" si="105">IF(ISNUMBER(SEARCH("5",BK94)),5,IF(ISNUMBER(SEARCH("*8*",BK94)),8,IF(ISNUMBER(SEARCH("*10*",BK94)),10,IF(ISNUMBER(SEARCH("*12*",BK94)),12,IF(ISNUMBER(SEARCH("*20*",BK94)),20)))))</f>
        <v>10</v>
      </c>
      <c r="BP94" s="6">
        <f t="shared" si="105"/>
        <v>10</v>
      </c>
      <c r="BQ94" s="6">
        <f t="shared" si="105"/>
        <v>10</v>
      </c>
      <c r="BR94" s="6"/>
      <c r="BS94" s="6">
        <f t="shared" si="6"/>
        <v>19</v>
      </c>
      <c r="BT94" s="6">
        <f t="shared" si="7"/>
        <v>46.5</v>
      </c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</row>
    <row r="95" ht="15.75" customHeight="1">
      <c r="A95" s="1" t="s">
        <v>189</v>
      </c>
      <c r="B95" s="17">
        <v>152.0</v>
      </c>
      <c r="C95" s="17">
        <v>2.0</v>
      </c>
      <c r="D95" s="17" t="s">
        <v>305</v>
      </c>
      <c r="E95" s="9">
        <v>0.892116</v>
      </c>
      <c r="F95" s="9">
        <v>0.892116</v>
      </c>
      <c r="G95" s="9" t="s">
        <v>85</v>
      </c>
      <c r="H95" s="30">
        <v>0.892115533</v>
      </c>
      <c r="I95" s="30">
        <v>0.892115533</v>
      </c>
      <c r="J95" s="9" t="s">
        <v>85</v>
      </c>
      <c r="K95" s="9">
        <v>0.892116</v>
      </c>
      <c r="L95" s="9">
        <v>0.892116</v>
      </c>
      <c r="M95" s="9" t="s">
        <v>85</v>
      </c>
      <c r="N95" s="9">
        <v>0.892115533</v>
      </c>
      <c r="O95" s="9">
        <v>0.892116</v>
      </c>
      <c r="P95" s="9" t="s">
        <v>85</v>
      </c>
      <c r="Q95" s="9">
        <v>0.892116</v>
      </c>
      <c r="R95" s="9">
        <v>0.892116</v>
      </c>
      <c r="S95" s="9" t="s">
        <v>85</v>
      </c>
      <c r="T95" s="9">
        <v>0.892115533</v>
      </c>
      <c r="U95" s="9">
        <v>0.892116</v>
      </c>
      <c r="V95" s="9" t="s">
        <v>85</v>
      </c>
      <c r="W95" s="9">
        <v>0.892116</v>
      </c>
      <c r="X95" s="9">
        <v>0.892116</v>
      </c>
      <c r="Y95" s="9" t="s">
        <v>85</v>
      </c>
      <c r="Z95" s="9">
        <v>0.892116</v>
      </c>
      <c r="AA95" s="9">
        <v>0.892116</v>
      </c>
      <c r="AB95" s="9" t="s">
        <v>85</v>
      </c>
      <c r="AC95" s="30">
        <v>0.892115533</v>
      </c>
      <c r="AD95" s="30">
        <v>0.892116</v>
      </c>
      <c r="AE95" s="9" t="s">
        <v>85</v>
      </c>
      <c r="AF95" s="30">
        <v>0.892115533</v>
      </c>
      <c r="AG95" s="30">
        <v>0.892116</v>
      </c>
      <c r="AH95" s="9" t="s">
        <v>85</v>
      </c>
      <c r="AI95" s="9">
        <v>0.892116</v>
      </c>
      <c r="AJ95" s="9">
        <v>0.892116</v>
      </c>
      <c r="AK95" s="9" t="s">
        <v>85</v>
      </c>
      <c r="AL95" s="9">
        <v>0.892116</v>
      </c>
      <c r="AM95" s="9">
        <v>0.892116</v>
      </c>
      <c r="AN95" s="9" t="s">
        <v>85</v>
      </c>
      <c r="AO95" s="9">
        <v>0.892116</v>
      </c>
      <c r="AP95" s="9">
        <v>0.892116</v>
      </c>
      <c r="AQ95" s="9" t="s">
        <v>85</v>
      </c>
      <c r="AR95" s="30">
        <v>0.892115533</v>
      </c>
      <c r="AS95" s="30">
        <v>0.892116</v>
      </c>
      <c r="AT95" s="9" t="s">
        <v>85</v>
      </c>
      <c r="AU95" s="9">
        <v>0.892116</v>
      </c>
      <c r="AV95" s="9">
        <v>0.892116</v>
      </c>
      <c r="AW95" s="9" t="s">
        <v>85</v>
      </c>
      <c r="AX95" s="9">
        <v>0.892116</v>
      </c>
      <c r="AY95" s="9">
        <v>0.892116</v>
      </c>
      <c r="AZ95" s="9" t="s">
        <v>85</v>
      </c>
      <c r="BA95" s="9">
        <v>0.892116</v>
      </c>
      <c r="BB95" s="9">
        <v>0.892116</v>
      </c>
      <c r="BC95" s="9" t="s">
        <v>85</v>
      </c>
      <c r="BD95" s="30">
        <v>0.892116</v>
      </c>
      <c r="BE95" s="30">
        <v>0.892116</v>
      </c>
      <c r="BF95" s="9" t="s">
        <v>85</v>
      </c>
      <c r="BG95" s="10" t="s">
        <v>85</v>
      </c>
      <c r="BH95" s="10" t="s">
        <v>85</v>
      </c>
      <c r="BI95" s="9" t="s">
        <v>85</v>
      </c>
      <c r="BJ95" s="6"/>
      <c r="BK95" s="6" t="str">
        <f t="shared" si="2"/>
        <v>5Bo_Fold_Mean</v>
      </c>
      <c r="BL95" s="6" t="str">
        <f t="shared" si="3"/>
        <v>5Bo_Fold_Mean</v>
      </c>
      <c r="BM95" s="6" t="str">
        <f t="shared" si="4"/>
        <v>5Bo_Fold_Mean</v>
      </c>
      <c r="BN95" s="6"/>
      <c r="BO95" s="6">
        <f t="shared" ref="BO95:BQ95" si="106">IF(ISNUMBER(SEARCH("5",BK95)),5,IF(ISNUMBER(SEARCH("*8*",BK95)),8,IF(ISNUMBER(SEARCH("*10*",BK95)),10,IF(ISNUMBER(SEARCH("*12*",BK95)),12,IF(ISNUMBER(SEARCH("*20*",BK95)),20)))))</f>
        <v>5</v>
      </c>
      <c r="BP95" s="6">
        <f t="shared" si="106"/>
        <v>5</v>
      </c>
      <c r="BQ95" s="6">
        <f t="shared" si="106"/>
        <v>5</v>
      </c>
      <c r="BR95" s="6"/>
      <c r="BS95" s="6">
        <f t="shared" si="6"/>
        <v>62</v>
      </c>
      <c r="BT95" s="6">
        <f t="shared" si="7"/>
        <v>86.5</v>
      </c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</row>
    <row r="96" ht="15.75" customHeight="1">
      <c r="A96" s="1" t="s">
        <v>190</v>
      </c>
      <c r="B96" s="17">
        <v>234.0</v>
      </c>
      <c r="C96" s="17">
        <v>2.0</v>
      </c>
      <c r="D96" s="17" t="s">
        <v>302</v>
      </c>
      <c r="E96" s="9">
        <v>0.637037</v>
      </c>
      <c r="F96" s="9">
        <v>0.611111</v>
      </c>
      <c r="G96" s="9" t="s">
        <v>85</v>
      </c>
      <c r="H96" s="30">
        <v>0.503703701</v>
      </c>
      <c r="I96" s="30">
        <v>0.5</v>
      </c>
      <c r="J96" s="9" t="s">
        <v>85</v>
      </c>
      <c r="K96" s="9">
        <v>0.5</v>
      </c>
      <c r="L96" s="9">
        <v>0.5</v>
      </c>
      <c r="M96" s="9" t="s">
        <v>85</v>
      </c>
      <c r="N96" s="9">
        <v>0.5</v>
      </c>
      <c r="O96" s="9">
        <v>0.5</v>
      </c>
      <c r="P96" s="9" t="s">
        <v>85</v>
      </c>
      <c r="Q96" s="9">
        <v>0.533333</v>
      </c>
      <c r="R96" s="9">
        <v>0.5</v>
      </c>
      <c r="S96" s="9" t="s">
        <v>85</v>
      </c>
      <c r="T96" s="9">
        <v>0.522222221</v>
      </c>
      <c r="U96" s="9">
        <v>0.5</v>
      </c>
      <c r="V96" s="9" t="s">
        <v>85</v>
      </c>
      <c r="W96" s="9">
        <v>0.5</v>
      </c>
      <c r="X96" s="9">
        <v>0.5</v>
      </c>
      <c r="Y96" s="9" t="s">
        <v>85</v>
      </c>
      <c r="Z96" s="9">
        <v>0.540741</v>
      </c>
      <c r="AA96" s="9">
        <v>0.5</v>
      </c>
      <c r="AB96" s="9" t="s">
        <v>85</v>
      </c>
      <c r="AC96" s="30">
        <v>0.537037039</v>
      </c>
      <c r="AD96" s="30">
        <v>0.5</v>
      </c>
      <c r="AE96" s="9" t="s">
        <v>85</v>
      </c>
      <c r="AF96" s="30">
        <v>0.570370364</v>
      </c>
      <c r="AG96" s="30">
        <v>0.5</v>
      </c>
      <c r="AH96" s="9" t="s">
        <v>85</v>
      </c>
      <c r="AI96" s="9">
        <v>0.507407</v>
      </c>
      <c r="AJ96" s="9">
        <v>0.5</v>
      </c>
      <c r="AK96" s="9" t="s">
        <v>85</v>
      </c>
      <c r="AL96" s="9">
        <v>0.5</v>
      </c>
      <c r="AM96" s="9">
        <v>0.5</v>
      </c>
      <c r="AN96" s="9" t="s">
        <v>85</v>
      </c>
      <c r="AO96" s="9">
        <v>0.496296</v>
      </c>
      <c r="AP96" s="9">
        <v>0.5</v>
      </c>
      <c r="AQ96" s="9" t="s">
        <v>85</v>
      </c>
      <c r="AR96" s="30">
        <v>0.477777779</v>
      </c>
      <c r="AS96" s="30">
        <v>0.5</v>
      </c>
      <c r="AT96" s="9" t="s">
        <v>85</v>
      </c>
      <c r="AU96" s="9">
        <v>0.474074</v>
      </c>
      <c r="AV96" s="9">
        <v>0.5</v>
      </c>
      <c r="AW96" s="9" t="s">
        <v>85</v>
      </c>
      <c r="AX96" s="9">
        <v>0.5</v>
      </c>
      <c r="AY96" s="9">
        <v>0.5</v>
      </c>
      <c r="AZ96" s="9" t="s">
        <v>85</v>
      </c>
      <c r="BA96" s="9">
        <v>0.511111</v>
      </c>
      <c r="BB96" s="9">
        <v>0.5</v>
      </c>
      <c r="BC96" s="9" t="s">
        <v>85</v>
      </c>
      <c r="BD96" s="30">
        <v>0.5</v>
      </c>
      <c r="BE96" s="30">
        <v>0.5</v>
      </c>
      <c r="BF96" s="9" t="s">
        <v>85</v>
      </c>
      <c r="BG96" s="10" t="s">
        <v>85</v>
      </c>
      <c r="BH96" s="10" t="s">
        <v>85</v>
      </c>
      <c r="BI96" s="9" t="s">
        <v>85</v>
      </c>
      <c r="BJ96" s="6"/>
      <c r="BK96" s="6" t="str">
        <f t="shared" si="2"/>
        <v>5Bo_Fold_Mean</v>
      </c>
      <c r="BL96" s="6" t="str">
        <f t="shared" si="3"/>
        <v>5Bo_Fold_Median</v>
      </c>
      <c r="BM96" s="6" t="str">
        <f t="shared" si="4"/>
        <v>10BoN_Fold_Mean</v>
      </c>
      <c r="BN96" s="6"/>
      <c r="BO96" s="6">
        <f t="shared" ref="BO96:BQ96" si="107">IF(ISNUMBER(SEARCH("5",BK96)),5,IF(ISNUMBER(SEARCH("*8*",BK96)),8,IF(ISNUMBER(SEARCH("*10*",BK96)),10,IF(ISNUMBER(SEARCH("*12*",BK96)),12,IF(ISNUMBER(SEARCH("*20*",BK96)),20)))))</f>
        <v>5</v>
      </c>
      <c r="BP96" s="6">
        <f t="shared" si="107"/>
        <v>5</v>
      </c>
      <c r="BQ96" s="6">
        <f t="shared" si="107"/>
        <v>10</v>
      </c>
      <c r="BR96" s="6"/>
      <c r="BS96" s="6">
        <f t="shared" si="6"/>
        <v>59</v>
      </c>
      <c r="BT96" s="6">
        <f t="shared" si="7"/>
        <v>86.5</v>
      </c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</row>
    <row r="97" ht="15.75" customHeight="1">
      <c r="A97" s="1" t="s">
        <v>191</v>
      </c>
      <c r="B97" s="17">
        <v>270.0</v>
      </c>
      <c r="C97" s="17">
        <v>25.0</v>
      </c>
      <c r="D97" s="17" t="s">
        <v>300</v>
      </c>
      <c r="E97" s="9">
        <v>0.400627</v>
      </c>
      <c r="F97" s="9">
        <v>0.399687</v>
      </c>
      <c r="G97" s="9" t="s">
        <v>85</v>
      </c>
      <c r="H97" s="30">
        <v>0.421003127</v>
      </c>
      <c r="I97" s="30">
        <v>0.4106583</v>
      </c>
      <c r="J97" s="9" t="s">
        <v>85</v>
      </c>
      <c r="K97" s="9">
        <v>0.382759</v>
      </c>
      <c r="L97" s="9">
        <v>0.393417</v>
      </c>
      <c r="M97" s="9" t="s">
        <v>85</v>
      </c>
      <c r="N97" s="9">
        <v>0.384952974</v>
      </c>
      <c r="O97" s="9">
        <v>0.382445</v>
      </c>
      <c r="P97" s="9" t="s">
        <v>85</v>
      </c>
      <c r="Q97" s="9">
        <v>0.434796</v>
      </c>
      <c r="R97" s="9">
        <v>0.420063</v>
      </c>
      <c r="S97" s="9" t="s">
        <v>85</v>
      </c>
      <c r="T97" s="9">
        <v>0.433228844</v>
      </c>
      <c r="U97" s="9">
        <v>0.4279</v>
      </c>
      <c r="V97" s="9" t="s">
        <v>85</v>
      </c>
      <c r="W97" s="9">
        <v>0.394671</v>
      </c>
      <c r="X97" s="9">
        <v>0.407524</v>
      </c>
      <c r="Y97" s="9" t="s">
        <v>85</v>
      </c>
      <c r="Z97" s="9">
        <v>0.387774</v>
      </c>
      <c r="AA97" s="9">
        <v>0.394984</v>
      </c>
      <c r="AB97" s="9" t="s">
        <v>85</v>
      </c>
      <c r="AC97" s="30">
        <v>0.43573668</v>
      </c>
      <c r="AD97" s="30">
        <v>0.437304</v>
      </c>
      <c r="AE97" s="9" t="s">
        <v>85</v>
      </c>
      <c r="AF97" s="30">
        <v>0.431661439</v>
      </c>
      <c r="AG97" s="30">
        <v>0.437304</v>
      </c>
      <c r="AH97" s="9" t="s">
        <v>85</v>
      </c>
      <c r="AI97" s="9">
        <v>0.374295</v>
      </c>
      <c r="AJ97" s="9">
        <v>0.358934</v>
      </c>
      <c r="AK97" s="9" t="s">
        <v>85</v>
      </c>
      <c r="AL97" s="9">
        <v>0.387774</v>
      </c>
      <c r="AM97" s="9">
        <v>0.42163</v>
      </c>
      <c r="AN97" s="9" t="s">
        <v>85</v>
      </c>
      <c r="AO97" s="9">
        <v>0.426019</v>
      </c>
      <c r="AP97" s="9">
        <v>0.420063</v>
      </c>
      <c r="AQ97" s="9" t="s">
        <v>85</v>
      </c>
      <c r="AR97" s="30">
        <v>0.441379303</v>
      </c>
      <c r="AS97" s="30">
        <v>0.452978</v>
      </c>
      <c r="AT97" s="9" t="s">
        <v>85</v>
      </c>
      <c r="AU97" s="9">
        <v>0.391223</v>
      </c>
      <c r="AV97" s="9">
        <v>0.380878</v>
      </c>
      <c r="AW97" s="9" t="s">
        <v>85</v>
      </c>
      <c r="AX97" s="9">
        <v>0.401881</v>
      </c>
      <c r="AY97" s="9">
        <v>0.407524</v>
      </c>
      <c r="AZ97" s="9" t="s">
        <v>85</v>
      </c>
      <c r="BA97" s="9">
        <v>0.422884</v>
      </c>
      <c r="BB97" s="9">
        <v>0.410658</v>
      </c>
      <c r="BC97" s="9" t="s">
        <v>85</v>
      </c>
      <c r="BD97" s="30">
        <v>0.384639</v>
      </c>
      <c r="BE97" s="30">
        <v>0.407524</v>
      </c>
      <c r="BF97" s="9" t="s">
        <v>85</v>
      </c>
      <c r="BG97" s="10" t="s">
        <v>85</v>
      </c>
      <c r="BH97" s="10" t="s">
        <v>85</v>
      </c>
      <c r="BI97" s="9" t="s">
        <v>85</v>
      </c>
      <c r="BJ97" s="6"/>
      <c r="BK97" s="6" t="str">
        <f t="shared" si="2"/>
        <v>12BoN_Fold_Median</v>
      </c>
      <c r="BL97" s="6" t="str">
        <f t="shared" si="3"/>
        <v>12BoN_Fold_Mean</v>
      </c>
      <c r="BM97" s="6" t="str">
        <f t="shared" si="4"/>
        <v>10Bo_Fold_Median</v>
      </c>
      <c r="BN97" s="6"/>
      <c r="BO97" s="6">
        <f t="shared" ref="BO97:BQ97" si="108">IF(ISNUMBER(SEARCH("5",BK97)),5,IF(ISNUMBER(SEARCH("*8*",BK97)),8,IF(ISNUMBER(SEARCH("*10*",BK97)),10,IF(ISNUMBER(SEARCH("*12*",BK97)),12,IF(ISNUMBER(SEARCH("*20*",BK97)),20)))))</f>
        <v>12</v>
      </c>
      <c r="BP97" s="6">
        <f t="shared" si="108"/>
        <v>12</v>
      </c>
      <c r="BQ97" s="6">
        <f t="shared" si="108"/>
        <v>10</v>
      </c>
      <c r="BR97" s="6"/>
      <c r="BS97" s="6">
        <f t="shared" si="6"/>
        <v>55.5</v>
      </c>
      <c r="BT97" s="6">
        <f t="shared" si="7"/>
        <v>27</v>
      </c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</row>
    <row r="98" ht="15.75" customHeight="1">
      <c r="A98" s="1" t="s">
        <v>192</v>
      </c>
      <c r="B98" s="17">
        <v>900.0</v>
      </c>
      <c r="C98" s="17">
        <v>5.0</v>
      </c>
      <c r="D98" s="17" t="s">
        <v>311</v>
      </c>
      <c r="E98" s="9">
        <v>0.493506</v>
      </c>
      <c r="F98" s="9">
        <v>0.506494</v>
      </c>
      <c r="G98" s="9" t="s">
        <v>85</v>
      </c>
      <c r="H98" s="30">
        <v>0.472727263</v>
      </c>
      <c r="I98" s="30">
        <v>0.467532456</v>
      </c>
      <c r="J98" s="9" t="s">
        <v>85</v>
      </c>
      <c r="K98" s="9">
        <v>0.483117</v>
      </c>
      <c r="L98" s="9">
        <v>0.480519</v>
      </c>
      <c r="M98" s="9" t="s">
        <v>85</v>
      </c>
      <c r="N98" s="9">
        <v>0.477922088</v>
      </c>
      <c r="O98" s="9">
        <v>0.454545</v>
      </c>
      <c r="P98" s="9" t="s">
        <v>85</v>
      </c>
      <c r="Q98" s="9">
        <v>0.464935</v>
      </c>
      <c r="R98" s="9">
        <v>0.493506</v>
      </c>
      <c r="S98" s="9" t="s">
        <v>85</v>
      </c>
      <c r="T98" s="9">
        <v>0.483116889</v>
      </c>
      <c r="U98" s="9">
        <v>0.519481</v>
      </c>
      <c r="V98" s="9" t="s">
        <v>85</v>
      </c>
      <c r="W98" s="9">
        <v>0.496104</v>
      </c>
      <c r="X98" s="9">
        <v>0.519481</v>
      </c>
      <c r="Y98" s="9" t="s">
        <v>85</v>
      </c>
      <c r="Z98" s="9">
        <v>0.47013</v>
      </c>
      <c r="AA98" s="9">
        <v>0.454545</v>
      </c>
      <c r="AB98" s="9" t="s">
        <v>85</v>
      </c>
      <c r="AC98" s="30">
        <v>0.477922076</v>
      </c>
      <c r="AD98" s="30">
        <v>0.480519</v>
      </c>
      <c r="AE98" s="9" t="s">
        <v>85</v>
      </c>
      <c r="AF98" s="30">
        <v>0.490909088</v>
      </c>
      <c r="AG98" s="30">
        <v>0.480519</v>
      </c>
      <c r="AH98" s="9" t="s">
        <v>85</v>
      </c>
      <c r="AI98" s="9">
        <v>0.490909</v>
      </c>
      <c r="AJ98" s="9">
        <v>0.493506</v>
      </c>
      <c r="AK98" s="9" t="s">
        <v>85</v>
      </c>
      <c r="AL98" s="9">
        <v>0.451948</v>
      </c>
      <c r="AM98" s="9">
        <v>0.454545</v>
      </c>
      <c r="AN98" s="9" t="s">
        <v>85</v>
      </c>
      <c r="AO98" s="9">
        <v>0.496104</v>
      </c>
      <c r="AP98" s="9">
        <v>0.519481</v>
      </c>
      <c r="AQ98" s="9" t="s">
        <v>85</v>
      </c>
      <c r="AR98" s="30">
        <v>0.516883123</v>
      </c>
      <c r="AS98" s="30">
        <v>0.519481</v>
      </c>
      <c r="AT98" s="9" t="s">
        <v>85</v>
      </c>
      <c r="AU98" s="9">
        <v>0.480519</v>
      </c>
      <c r="AV98" s="9">
        <v>0.480519</v>
      </c>
      <c r="AW98" s="9" t="s">
        <v>85</v>
      </c>
      <c r="AX98" s="9">
        <v>0.464935</v>
      </c>
      <c r="AY98" s="9">
        <v>0.467532</v>
      </c>
      <c r="AZ98" s="9" t="s">
        <v>85</v>
      </c>
      <c r="BA98" s="9">
        <v>0.498701</v>
      </c>
      <c r="BB98" s="9">
        <v>0.493506</v>
      </c>
      <c r="BC98" s="9" t="s">
        <v>85</v>
      </c>
      <c r="BD98" s="30">
        <v>0.472727</v>
      </c>
      <c r="BE98" s="30">
        <v>0.480519</v>
      </c>
      <c r="BF98" s="9" t="s">
        <v>85</v>
      </c>
      <c r="BG98" s="10" t="s">
        <v>85</v>
      </c>
      <c r="BH98" s="10" t="s">
        <v>85</v>
      </c>
      <c r="BI98" s="9" t="s">
        <v>85</v>
      </c>
      <c r="BJ98" s="6"/>
      <c r="BK98" s="6" t="str">
        <f t="shared" si="2"/>
        <v>8BoN_Fold_Median</v>
      </c>
      <c r="BL98" s="6" t="str">
        <f t="shared" si="3"/>
        <v>8BoN_Fold_Median</v>
      </c>
      <c r="BM98" s="6" t="str">
        <f t="shared" si="4"/>
        <v>8BoN_Fold_Median</v>
      </c>
      <c r="BN98" s="6"/>
      <c r="BO98" s="6">
        <f t="shared" ref="BO98:BQ98" si="109">IF(ISNUMBER(SEARCH("5",BK98)),5,IF(ISNUMBER(SEARCH("*8*",BK98)),8,IF(ISNUMBER(SEARCH("*10*",BK98)),10,IF(ISNUMBER(SEARCH("*12*",BK98)),12,IF(ISNUMBER(SEARCH("*20*",BK98)),20)))))</f>
        <v>8</v>
      </c>
      <c r="BP98" s="6">
        <f t="shared" si="109"/>
        <v>8</v>
      </c>
      <c r="BQ98" s="6">
        <f t="shared" si="109"/>
        <v>8</v>
      </c>
      <c r="BR98" s="6"/>
      <c r="BS98" s="6">
        <f t="shared" si="6"/>
        <v>20.5</v>
      </c>
      <c r="BT98" s="6">
        <f t="shared" si="7"/>
        <v>65</v>
      </c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</row>
    <row r="99" ht="15.75" customHeight="1">
      <c r="A99" s="1" t="s">
        <v>193</v>
      </c>
      <c r="B99" s="17">
        <v>900.0</v>
      </c>
      <c r="C99" s="17">
        <v>2.0</v>
      </c>
      <c r="D99" s="17" t="s">
        <v>311</v>
      </c>
      <c r="E99" s="9">
        <v>0.592208</v>
      </c>
      <c r="F99" s="9">
        <v>0.61039</v>
      </c>
      <c r="G99" s="9" t="s">
        <v>85</v>
      </c>
      <c r="H99" s="30">
        <v>0.594805193</v>
      </c>
      <c r="I99" s="30">
        <v>0.61038959</v>
      </c>
      <c r="J99" s="9" t="s">
        <v>85</v>
      </c>
      <c r="K99" s="9">
        <v>0.558442</v>
      </c>
      <c r="L99" s="9">
        <v>0.571429</v>
      </c>
      <c r="M99" s="9" t="s">
        <v>85</v>
      </c>
      <c r="N99" s="9">
        <v>0.584415591</v>
      </c>
      <c r="O99" s="9">
        <v>0.571429</v>
      </c>
      <c r="P99" s="9" t="s">
        <v>85</v>
      </c>
      <c r="Q99" s="9">
        <v>0.58961</v>
      </c>
      <c r="R99" s="9">
        <v>0.597403</v>
      </c>
      <c r="S99" s="9" t="s">
        <v>85</v>
      </c>
      <c r="T99" s="9">
        <v>0.597402596</v>
      </c>
      <c r="U99" s="9">
        <v>0.597403</v>
      </c>
      <c r="V99" s="9" t="s">
        <v>85</v>
      </c>
      <c r="W99" s="9">
        <v>0.558442</v>
      </c>
      <c r="X99" s="9">
        <v>0.558442</v>
      </c>
      <c r="Y99" s="9" t="s">
        <v>85</v>
      </c>
      <c r="Z99" s="9">
        <v>0.561039</v>
      </c>
      <c r="AA99" s="9">
        <v>0.558442</v>
      </c>
      <c r="AB99" s="9" t="s">
        <v>85</v>
      </c>
      <c r="AC99" s="30">
        <v>0.610389602</v>
      </c>
      <c r="AD99" s="30">
        <v>0.623377</v>
      </c>
      <c r="AE99" s="9" t="s">
        <v>85</v>
      </c>
      <c r="AF99" s="30">
        <v>0.605194807</v>
      </c>
      <c r="AG99" s="30">
        <v>0.584416</v>
      </c>
      <c r="AH99" s="9" t="s">
        <v>85</v>
      </c>
      <c r="AI99" s="9">
        <v>0.568831</v>
      </c>
      <c r="AJ99" s="9">
        <v>0.558442</v>
      </c>
      <c r="AK99" s="9" t="s">
        <v>85</v>
      </c>
      <c r="AL99" s="9">
        <v>0.545455</v>
      </c>
      <c r="AM99" s="9">
        <v>0.545455</v>
      </c>
      <c r="AN99" s="9" t="s">
        <v>85</v>
      </c>
      <c r="AO99" s="9">
        <v>0.623377</v>
      </c>
      <c r="AP99" s="9">
        <v>0.636364</v>
      </c>
      <c r="AQ99" s="9" t="s">
        <v>85</v>
      </c>
      <c r="AR99" s="30">
        <v>0.625974011</v>
      </c>
      <c r="AS99" s="30">
        <v>0.623377</v>
      </c>
      <c r="AT99" s="9" t="s">
        <v>85</v>
      </c>
      <c r="AU99" s="9">
        <v>0.605195</v>
      </c>
      <c r="AV99" s="9">
        <v>0.61039</v>
      </c>
      <c r="AW99" s="9" t="s">
        <v>85</v>
      </c>
      <c r="AX99" s="9">
        <v>0.612987</v>
      </c>
      <c r="AY99" s="9">
        <v>0.597403</v>
      </c>
      <c r="AZ99" s="9" t="s">
        <v>85</v>
      </c>
      <c r="BA99" s="9">
        <v>0.587013</v>
      </c>
      <c r="BB99" s="9">
        <v>0.597403</v>
      </c>
      <c r="BC99" s="9" t="s">
        <v>85</v>
      </c>
      <c r="BD99" s="30">
        <v>0.620779</v>
      </c>
      <c r="BE99" s="30">
        <v>0.623377</v>
      </c>
      <c r="BF99" s="9" t="s">
        <v>85</v>
      </c>
      <c r="BG99" s="10" t="s">
        <v>85</v>
      </c>
      <c r="BH99" s="10" t="s">
        <v>85</v>
      </c>
      <c r="BI99" s="9" t="s">
        <v>85</v>
      </c>
      <c r="BJ99" s="6"/>
      <c r="BK99" s="6" t="str">
        <f t="shared" si="2"/>
        <v>12Bo_Fold_Median</v>
      </c>
      <c r="BL99" s="6" t="str">
        <f t="shared" si="3"/>
        <v>12BoN_Fold_Mean</v>
      </c>
      <c r="BM99" s="6" t="str">
        <f t="shared" si="4"/>
        <v>10Bo_Fold_Median</v>
      </c>
      <c r="BN99" s="6"/>
      <c r="BO99" s="6">
        <f t="shared" ref="BO99:BQ99" si="110">IF(ISNUMBER(SEARCH("5",BK99)),5,IF(ISNUMBER(SEARCH("*8*",BK99)),8,IF(ISNUMBER(SEARCH("*10*",BK99)),10,IF(ISNUMBER(SEARCH("*12*",BK99)),12,IF(ISNUMBER(SEARCH("*20*",BK99)),20)))))</f>
        <v>12</v>
      </c>
      <c r="BP99" s="6">
        <f t="shared" si="110"/>
        <v>12</v>
      </c>
      <c r="BQ99" s="6">
        <f t="shared" si="110"/>
        <v>10</v>
      </c>
      <c r="BR99" s="6"/>
      <c r="BS99" s="6">
        <f t="shared" si="6"/>
        <v>20.5</v>
      </c>
      <c r="BT99" s="6">
        <f t="shared" si="7"/>
        <v>27</v>
      </c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</row>
    <row r="100" ht="15.75" customHeight="1">
      <c r="A100" s="1" t="s">
        <v>194</v>
      </c>
      <c r="B100" s="17">
        <v>426.0</v>
      </c>
      <c r="C100" s="17">
        <v>2.0</v>
      </c>
      <c r="D100" s="17" t="s">
        <v>300</v>
      </c>
      <c r="E100" s="9">
        <v>0.699467</v>
      </c>
      <c r="F100" s="9">
        <v>0.704</v>
      </c>
      <c r="G100" s="9" t="s">
        <v>85</v>
      </c>
      <c r="H100" s="30">
        <v>0.698200011</v>
      </c>
      <c r="I100" s="30">
        <v>0.702000022</v>
      </c>
      <c r="J100" s="9" t="s">
        <v>85</v>
      </c>
      <c r="K100" s="9">
        <v>0.7544</v>
      </c>
      <c r="L100" s="9">
        <v>0.752</v>
      </c>
      <c r="M100" s="9" t="s">
        <v>85</v>
      </c>
      <c r="N100" s="9">
        <v>0.753133333</v>
      </c>
      <c r="O100" s="9">
        <v>0.753667</v>
      </c>
      <c r="P100" s="9" t="s">
        <v>85</v>
      </c>
      <c r="Q100" s="9">
        <v>0.705933</v>
      </c>
      <c r="R100" s="9">
        <v>0.705667</v>
      </c>
      <c r="S100" s="9" t="s">
        <v>85</v>
      </c>
      <c r="T100" s="9">
        <v>0.729999995</v>
      </c>
      <c r="U100" s="9">
        <v>0.732</v>
      </c>
      <c r="V100" s="9" t="s">
        <v>85</v>
      </c>
      <c r="W100" s="9">
        <v>0.744333</v>
      </c>
      <c r="X100" s="9">
        <v>0.748333</v>
      </c>
      <c r="Y100" s="9" t="s">
        <v>85</v>
      </c>
      <c r="Z100" s="9">
        <v>0.740267</v>
      </c>
      <c r="AA100" s="9">
        <v>0.753</v>
      </c>
      <c r="AB100" s="9" t="s">
        <v>85</v>
      </c>
      <c r="AC100" s="30">
        <v>0.749066663</v>
      </c>
      <c r="AD100" s="30">
        <v>0.749667</v>
      </c>
      <c r="AE100" s="9" t="s">
        <v>85</v>
      </c>
      <c r="AF100" s="30">
        <v>0.7454</v>
      </c>
      <c r="AG100" s="30">
        <v>0.745667</v>
      </c>
      <c r="AH100" s="9" t="s">
        <v>85</v>
      </c>
      <c r="AI100" s="9">
        <v>0.769533</v>
      </c>
      <c r="AJ100" s="9">
        <v>0.763333</v>
      </c>
      <c r="AK100" s="9" t="s">
        <v>85</v>
      </c>
      <c r="AL100" s="9">
        <v>0.780933</v>
      </c>
      <c r="AM100" s="9">
        <v>0.779</v>
      </c>
      <c r="AN100" s="9" t="s">
        <v>85</v>
      </c>
      <c r="AO100" s="9">
        <v>0.751933</v>
      </c>
      <c r="AP100" s="9">
        <v>0.756</v>
      </c>
      <c r="AQ100" s="9" t="s">
        <v>85</v>
      </c>
      <c r="AR100" s="30">
        <v>0.756666672</v>
      </c>
      <c r="AS100" s="30">
        <v>0.755</v>
      </c>
      <c r="AT100" s="9" t="s">
        <v>85</v>
      </c>
      <c r="AU100" s="9">
        <v>0.759667</v>
      </c>
      <c r="AV100" s="9">
        <v>0.762333</v>
      </c>
      <c r="AW100" s="9" t="s">
        <v>85</v>
      </c>
      <c r="AX100" s="9">
        <v>0.775133</v>
      </c>
      <c r="AY100" s="9">
        <v>0.773667</v>
      </c>
      <c r="AZ100" s="9" t="s">
        <v>85</v>
      </c>
      <c r="BA100" s="9">
        <v>0.767333</v>
      </c>
      <c r="BB100" s="9">
        <v>0.764</v>
      </c>
      <c r="BC100" s="9" t="s">
        <v>85</v>
      </c>
      <c r="BD100" s="30">
        <v>0.780733</v>
      </c>
      <c r="BE100" s="30">
        <v>0.780667</v>
      </c>
      <c r="BF100" s="9" t="s">
        <v>85</v>
      </c>
      <c r="BG100" s="10" t="s">
        <v>85</v>
      </c>
      <c r="BH100" s="10" t="s">
        <v>85</v>
      </c>
      <c r="BI100" s="9" t="s">
        <v>85</v>
      </c>
      <c r="BJ100" s="6"/>
      <c r="BK100" s="6" t="str">
        <f t="shared" si="2"/>
        <v>10VB_Fold_Mean</v>
      </c>
      <c r="BL100" s="6" t="str">
        <f t="shared" si="3"/>
        <v>20V_Fold_Mean</v>
      </c>
      <c r="BM100" s="6" t="str">
        <f t="shared" si="4"/>
        <v>20V_Fold_Median</v>
      </c>
      <c r="BN100" s="6"/>
      <c r="BO100" s="6">
        <f t="shared" ref="BO100:BQ100" si="111">IF(ISNUMBER(SEARCH("5",BK100)),5,IF(ISNUMBER(SEARCH("*8*",BK100)),8,IF(ISNUMBER(SEARCH("*10*",BK100)),10,IF(ISNUMBER(SEARCH("*12*",BK100)),12,IF(ISNUMBER(SEARCH("*20*",BK100)),20)))))</f>
        <v>10</v>
      </c>
      <c r="BP100" s="6">
        <f t="shared" si="111"/>
        <v>20</v>
      </c>
      <c r="BQ100" s="6">
        <f t="shared" si="111"/>
        <v>20</v>
      </c>
      <c r="BR100" s="6"/>
      <c r="BS100" s="6">
        <f t="shared" si="6"/>
        <v>44</v>
      </c>
      <c r="BT100" s="6">
        <f t="shared" si="7"/>
        <v>46.5</v>
      </c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</row>
    <row r="101" ht="15.75" customHeight="1">
      <c r="A101" s="15"/>
      <c r="B101" s="15"/>
      <c r="C101" s="15"/>
      <c r="D101" s="17"/>
      <c r="K101" s="1"/>
      <c r="L101" s="1"/>
      <c r="M101" s="1"/>
      <c r="Q101" s="1"/>
      <c r="R101" s="1"/>
      <c r="S101" s="1"/>
      <c r="T101" s="1"/>
      <c r="U101" s="1"/>
      <c r="V101" s="1"/>
      <c r="Y101" s="1"/>
      <c r="AC101" s="1"/>
      <c r="AD101" s="1"/>
      <c r="AE101" s="1"/>
      <c r="AF101" s="1"/>
      <c r="AG101" s="1"/>
      <c r="AI101" s="1"/>
      <c r="AJ101" s="1"/>
      <c r="AK101" s="1"/>
      <c r="AO101" s="1"/>
      <c r="AP101" s="1"/>
      <c r="AQ101" s="1"/>
      <c r="AR101" s="1"/>
      <c r="AS101" s="1"/>
      <c r="AT101" s="1"/>
      <c r="AW101" s="1"/>
      <c r="BA101" s="1"/>
      <c r="BB101" s="1"/>
      <c r="BC101" s="1"/>
      <c r="BD101" s="1"/>
      <c r="BE101" s="1"/>
    </row>
    <row r="102" ht="15.75" customHeight="1">
      <c r="A102" s="15"/>
      <c r="B102" s="15"/>
      <c r="C102" s="15"/>
      <c r="D102" s="17"/>
      <c r="K102" s="1"/>
      <c r="L102" s="1"/>
      <c r="M102" s="1"/>
      <c r="N102" s="1"/>
      <c r="O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</row>
    <row r="103" ht="15.75" customHeight="1">
      <c r="A103" s="15"/>
      <c r="B103" s="15"/>
      <c r="C103" s="15"/>
      <c r="D103" s="17"/>
      <c r="K103" s="1"/>
      <c r="L103" s="1"/>
      <c r="M103" s="1"/>
      <c r="N103" s="1"/>
      <c r="O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</row>
    <row r="104" ht="15.75" customHeight="1">
      <c r="A104" s="15"/>
      <c r="B104" s="15"/>
      <c r="C104" s="15"/>
      <c r="D104" s="17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</row>
    <row r="105" ht="15.75" customHeight="1">
      <c r="A105" s="15"/>
      <c r="B105" s="15"/>
      <c r="C105" s="15"/>
      <c r="D105" s="1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</row>
    <row r="106" ht="15.75" customHeight="1">
      <c r="A106" s="15"/>
      <c r="B106" s="15"/>
      <c r="C106" s="15"/>
      <c r="D106" s="17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</row>
    <row r="107" ht="15.75" customHeight="1">
      <c r="C107" s="15"/>
      <c r="D107" s="17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ht="15.75" customHeight="1">
      <c r="C108" s="15"/>
      <c r="D108" s="17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ht="15.75" customHeight="1">
      <c r="C109" s="15"/>
      <c r="D109" s="17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ht="15.75" customHeight="1">
      <c r="C110" s="15"/>
      <c r="D110" s="17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ht="15.75" customHeight="1">
      <c r="C111" s="15"/>
      <c r="D111" s="17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ht="15.75" customHeight="1">
      <c r="C112" s="15"/>
      <c r="D112" s="17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ht="15.75" customHeight="1">
      <c r="C113" s="15"/>
      <c r="D113" s="17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ht="15.75" customHeight="1">
      <c r="C114" s="15"/>
      <c r="D114" s="17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ht="15.75" customHeight="1">
      <c r="C115" s="15"/>
      <c r="D115" s="17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ht="15.75" customHeight="1">
      <c r="C116" s="15"/>
      <c r="D116" s="17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ht="15.75" customHeight="1">
      <c r="C117" s="15"/>
      <c r="D117" s="17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ht="15.75" customHeight="1">
      <c r="C118" s="15"/>
      <c r="D118" s="17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ht="15.75" customHeight="1">
      <c r="C119" s="15"/>
      <c r="D119" s="17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ht="15.75" customHeight="1">
      <c r="C120" s="15"/>
      <c r="D120" s="17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ht="15.75" customHeight="1">
      <c r="C121" s="15"/>
      <c r="D121" s="17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ht="15.75" customHeight="1">
      <c r="C122" s="15"/>
      <c r="D122" s="17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ht="15.75" customHeight="1">
      <c r="C123" s="15"/>
      <c r="D123" s="17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ht="15.75" customHeight="1">
      <c r="C124" s="15"/>
      <c r="D124" s="17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ht="15.75" customHeight="1">
      <c r="C125" s="15"/>
      <c r="D125" s="17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ht="15.75" customHeight="1">
      <c r="C126" s="15"/>
      <c r="D126" s="17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ht="15.75" customHeight="1">
      <c r="C127" s="15"/>
      <c r="D127" s="17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ht="15.75" customHeight="1">
      <c r="C128" s="15"/>
      <c r="D128" s="17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ht="15.75" customHeight="1">
      <c r="C129" s="15"/>
      <c r="D129" s="17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ht="15.75" customHeight="1">
      <c r="C130" s="15"/>
      <c r="D130" s="17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ht="15.75" customHeight="1">
      <c r="C131" s="15"/>
      <c r="D131" s="17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ht="15.75" customHeight="1">
      <c r="C132" s="15"/>
      <c r="D132" s="17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ht="15.75" customHeight="1">
      <c r="C133" s="15"/>
      <c r="D133" s="17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ht="15.75" customHeight="1">
      <c r="C134" s="15"/>
      <c r="D134" s="17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ht="15.75" customHeight="1">
      <c r="C135" s="15"/>
      <c r="D135" s="17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ht="15.75" customHeight="1">
      <c r="C136" s="15"/>
      <c r="D136" s="17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ht="15.75" customHeight="1">
      <c r="C137" s="15"/>
      <c r="D137" s="17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ht="15.75" customHeight="1">
      <c r="C138" s="15"/>
      <c r="D138" s="17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ht="15.75" customHeight="1">
      <c r="C139" s="15"/>
      <c r="D139" s="17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ht="15.75" customHeight="1">
      <c r="C140" s="15"/>
      <c r="D140" s="17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ht="15.75" customHeight="1">
      <c r="C141" s="15"/>
      <c r="D141" s="17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ht="15.75" customHeight="1">
      <c r="C142" s="15"/>
      <c r="D142" s="17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ht="15.75" customHeight="1">
      <c r="C143" s="15"/>
      <c r="D143" s="17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ht="15.75" customHeight="1">
      <c r="C144" s="15"/>
      <c r="D144" s="17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ht="15.75" customHeight="1">
      <c r="C145" s="15"/>
      <c r="D145" s="17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ht="15.75" customHeight="1">
      <c r="C146" s="15"/>
      <c r="D146" s="17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ht="15.75" customHeight="1">
      <c r="C147" s="15"/>
      <c r="D147" s="17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ht="15.75" customHeight="1">
      <c r="C148" s="15"/>
      <c r="D148" s="17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ht="15.75" customHeight="1">
      <c r="C149" s="15"/>
      <c r="D149" s="17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ht="15.75" customHeight="1">
      <c r="C150" s="15"/>
      <c r="D150" s="17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ht="15.75" customHeight="1">
      <c r="C151" s="15"/>
      <c r="D151" s="17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ht="15.75" customHeight="1">
      <c r="C152" s="15"/>
      <c r="D152" s="17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ht="15.75" customHeight="1">
      <c r="C153" s="15"/>
      <c r="D153" s="17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ht="15.75" customHeight="1">
      <c r="C154" s="15"/>
      <c r="D154" s="17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ht="15.75" customHeight="1">
      <c r="C155" s="15"/>
      <c r="D155" s="17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ht="15.75" customHeight="1">
      <c r="C156" s="15"/>
      <c r="D156" s="17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ht="15.75" customHeight="1">
      <c r="C157" s="15"/>
      <c r="D157" s="17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ht="15.75" customHeight="1">
      <c r="C158" s="15"/>
      <c r="D158" s="17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ht="15.75" customHeight="1">
      <c r="C159" s="15"/>
      <c r="D159" s="17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ht="15.75" customHeight="1">
      <c r="C160" s="15"/>
      <c r="D160" s="17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ht="15.75" customHeight="1">
      <c r="C161" s="15"/>
      <c r="D161" s="17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ht="15.75" customHeight="1">
      <c r="C162" s="15"/>
      <c r="D162" s="17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ht="15.75" customHeight="1">
      <c r="C163" s="15"/>
      <c r="D163" s="17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ht="15.75" customHeight="1">
      <c r="C164" s="15"/>
      <c r="D164" s="1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ht="15.75" customHeight="1">
      <c r="C165" s="15"/>
      <c r="D165" s="1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ht="15.75" customHeight="1">
      <c r="C166" s="15"/>
      <c r="D166" s="1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ht="15.75" customHeight="1">
      <c r="C167" s="15"/>
      <c r="D167" s="1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ht="15.75" customHeight="1">
      <c r="C168" s="15"/>
      <c r="D168" s="1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ht="15.75" customHeight="1">
      <c r="C169" s="15"/>
      <c r="D169" s="17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ht="15.75" customHeight="1">
      <c r="C170" s="15"/>
      <c r="D170" s="1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ht="15.75" customHeight="1">
      <c r="C171" s="15"/>
      <c r="D171" s="1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ht="15.75" customHeight="1">
      <c r="C172" s="15"/>
      <c r="D172" s="1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ht="15.75" customHeight="1">
      <c r="C173" s="15"/>
      <c r="D173" s="1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ht="15.75" customHeight="1">
      <c r="C174" s="15"/>
      <c r="D174" s="1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ht="15.75" customHeight="1">
      <c r="C175" s="15"/>
      <c r="D175" s="1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ht="15.75" customHeight="1">
      <c r="C176" s="15"/>
      <c r="D176" s="1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ht="15.75" customHeight="1">
      <c r="C177" s="15"/>
      <c r="D177" s="1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ht="15.75" customHeight="1">
      <c r="C178" s="15"/>
      <c r="D178" s="1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ht="15.75" customHeight="1">
      <c r="C179" s="15"/>
      <c r="D179" s="1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</row>
    <row r="180" ht="15.75" customHeight="1">
      <c r="C180" s="15"/>
      <c r="D180" s="1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</row>
    <row r="181" ht="15.75" customHeight="1">
      <c r="C181" s="15"/>
      <c r="D181" s="1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</row>
    <row r="182" ht="15.75" customHeight="1">
      <c r="C182" s="15"/>
      <c r="D182" s="1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</row>
    <row r="183" ht="15.75" customHeight="1">
      <c r="C183" s="15"/>
      <c r="D183" s="1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</row>
    <row r="184" ht="15.75" customHeight="1">
      <c r="C184" s="15"/>
      <c r="D184" s="1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</row>
    <row r="185" ht="15.75" customHeight="1">
      <c r="C185" s="15"/>
      <c r="D185" s="1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</row>
    <row r="186" ht="15.75" customHeight="1">
      <c r="C186" s="15"/>
      <c r="D186" s="1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</row>
    <row r="187" ht="15.75" customHeight="1">
      <c r="C187" s="15"/>
      <c r="D187" s="1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</row>
    <row r="188" ht="15.75" customHeight="1">
      <c r="C188" s="15"/>
      <c r="D188" s="1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</row>
    <row r="189" ht="15.75" customHeight="1">
      <c r="C189" s="15"/>
      <c r="D189" s="1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</row>
    <row r="190" ht="15.75" customHeight="1">
      <c r="C190" s="15"/>
      <c r="D190" s="1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</row>
    <row r="191" ht="15.75" customHeight="1">
      <c r="C191" s="15"/>
      <c r="D191" s="1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</row>
    <row r="192" ht="15.75" customHeight="1">
      <c r="C192" s="15"/>
      <c r="D192" s="1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</row>
    <row r="193" ht="15.75" customHeight="1">
      <c r="C193" s="15"/>
      <c r="D193" s="1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</row>
    <row r="194" ht="15.75" customHeight="1">
      <c r="C194" s="15"/>
      <c r="D194" s="1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</row>
    <row r="195" ht="15.75" customHeight="1">
      <c r="C195" s="15"/>
      <c r="D195" s="1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</row>
    <row r="196" ht="15.75" customHeight="1">
      <c r="C196" s="15"/>
      <c r="D196" s="1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</row>
    <row r="197" ht="15.75" customHeight="1">
      <c r="C197" s="15"/>
      <c r="D197" s="1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</row>
    <row r="198" ht="15.75" customHeight="1">
      <c r="C198" s="15"/>
      <c r="D198" s="1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</row>
    <row r="199" ht="15.75" customHeight="1">
      <c r="C199" s="15"/>
      <c r="D199" s="1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</row>
    <row r="200" ht="15.75" customHeight="1">
      <c r="C200" s="15"/>
      <c r="D200" s="1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</row>
    <row r="201" ht="15.75" customHeight="1">
      <c r="C201" s="15"/>
      <c r="D201" s="1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</row>
    <row r="202" ht="15.75" customHeight="1">
      <c r="C202" s="15"/>
      <c r="D202" s="1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</row>
    <row r="203" ht="15.75" customHeight="1">
      <c r="C203" s="15"/>
      <c r="D203" s="1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</row>
    <row r="204" ht="15.75" customHeight="1">
      <c r="C204" s="15"/>
      <c r="D204" s="1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</row>
    <row r="205" ht="15.75" customHeight="1">
      <c r="C205" s="15"/>
      <c r="D205" s="1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</row>
    <row r="206" ht="15.75" customHeight="1">
      <c r="C206" s="15"/>
      <c r="D206" s="1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</row>
    <row r="207" ht="15.75" customHeight="1">
      <c r="C207" s="15"/>
      <c r="D207" s="1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</row>
    <row r="208" ht="15.75" customHeight="1">
      <c r="C208" s="15"/>
      <c r="D208" s="1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</row>
    <row r="209" ht="15.75" customHeight="1">
      <c r="C209" s="15"/>
      <c r="D209" s="1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</row>
    <row r="210" ht="15.75" customHeight="1">
      <c r="C210" s="15"/>
      <c r="D210" s="1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</row>
    <row r="211" ht="15.75" customHeight="1">
      <c r="C211" s="15"/>
      <c r="D211" s="1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</row>
    <row r="212" ht="15.75" customHeight="1">
      <c r="C212" s="15"/>
      <c r="D212" s="1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</row>
    <row r="213" ht="15.75" customHeight="1">
      <c r="C213" s="15"/>
      <c r="D213" s="1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</row>
    <row r="214" ht="15.75" customHeight="1">
      <c r="C214" s="15"/>
      <c r="D214" s="1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</row>
    <row r="215" ht="15.75" customHeight="1">
      <c r="C215" s="15"/>
      <c r="D215" s="1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</row>
    <row r="216" ht="15.75" customHeight="1">
      <c r="C216" s="15"/>
      <c r="D216" s="1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</row>
    <row r="217" ht="15.75" customHeight="1">
      <c r="C217" s="15"/>
      <c r="D217" s="1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</row>
    <row r="218" ht="15.75" customHeight="1">
      <c r="C218" s="15"/>
      <c r="D218" s="1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</row>
    <row r="219" ht="15.75" customHeight="1">
      <c r="C219" s="15"/>
      <c r="D219" s="1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</row>
    <row r="220" ht="15.75" customHeight="1">
      <c r="C220" s="15"/>
      <c r="D220" s="1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</row>
    <row r="221" ht="15.75" customHeight="1">
      <c r="C221" s="15"/>
      <c r="D221" s="1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</row>
    <row r="222" ht="15.75" customHeight="1">
      <c r="C222" s="15"/>
      <c r="D222" s="1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</row>
    <row r="223" ht="15.75" customHeight="1">
      <c r="C223" s="15"/>
      <c r="D223" s="1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</row>
    <row r="224" ht="15.75" customHeight="1">
      <c r="C224" s="15"/>
      <c r="D224" s="15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</row>
    <row r="225" ht="15.75" customHeight="1">
      <c r="C225" s="15"/>
      <c r="D225" s="1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</row>
    <row r="226" ht="15.75" customHeight="1">
      <c r="C226" s="15"/>
      <c r="D226" s="15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</row>
    <row r="227" ht="15.75" customHeight="1">
      <c r="C227" s="15"/>
      <c r="D227" s="1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</row>
    <row r="228" ht="15.75" customHeight="1">
      <c r="C228" s="15"/>
      <c r="D228" s="15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</row>
    <row r="229" ht="15.75" customHeight="1">
      <c r="C229" s="15"/>
      <c r="D229" s="15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</row>
    <row r="230" ht="15.75" customHeight="1">
      <c r="C230" s="15"/>
      <c r="D230" s="15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</row>
    <row r="231" ht="15.75" customHeight="1">
      <c r="C231" s="15"/>
      <c r="D231" s="15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</row>
    <row r="232" ht="15.75" customHeight="1">
      <c r="C232" s="15"/>
      <c r="D232" s="15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</row>
    <row r="233" ht="15.75" customHeight="1">
      <c r="C233" s="15"/>
      <c r="D233" s="15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</row>
    <row r="234" ht="15.75" customHeight="1">
      <c r="C234" s="15"/>
      <c r="D234" s="1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</row>
    <row r="235" ht="15.75" customHeight="1">
      <c r="C235" s="15"/>
      <c r="D235" s="1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</row>
    <row r="236" ht="15.75" customHeight="1">
      <c r="C236" s="15"/>
      <c r="D236" s="1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</row>
    <row r="237" ht="15.75" customHeight="1">
      <c r="C237" s="15"/>
      <c r="D237" s="15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</row>
    <row r="238" ht="15.75" customHeight="1">
      <c r="C238" s="15"/>
      <c r="D238" s="1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</row>
    <row r="239" ht="15.75" customHeight="1">
      <c r="C239" s="15"/>
      <c r="D239" s="15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</row>
    <row r="240" ht="15.75" customHeight="1">
      <c r="C240" s="15"/>
      <c r="D240" s="1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</row>
    <row r="241" ht="15.75" customHeight="1">
      <c r="C241" s="15"/>
      <c r="D241" s="1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</row>
    <row r="242" ht="15.75" customHeight="1">
      <c r="C242" s="15"/>
      <c r="D242" s="1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</row>
    <row r="243" ht="15.75" customHeight="1">
      <c r="C243" s="15"/>
      <c r="D243" s="15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</row>
    <row r="244" ht="15.75" customHeight="1">
      <c r="C244" s="15"/>
      <c r="D244" s="15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</row>
    <row r="245" ht="15.75" customHeight="1">
      <c r="C245" s="15"/>
      <c r="D245" s="15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</row>
    <row r="246" ht="15.75" customHeight="1">
      <c r="C246" s="15"/>
      <c r="D246" s="15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</row>
    <row r="247" ht="15.75" customHeight="1">
      <c r="C247" s="15"/>
      <c r="D247" s="1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</row>
    <row r="248" ht="15.75" customHeight="1">
      <c r="C248" s="15"/>
      <c r="D248" s="1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</row>
    <row r="249" ht="15.75" customHeight="1">
      <c r="C249" s="15"/>
      <c r="D249" s="1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</row>
    <row r="250" ht="15.75" customHeight="1">
      <c r="C250" s="15"/>
      <c r="D250" s="1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</row>
    <row r="251" ht="15.75" customHeight="1">
      <c r="C251" s="15"/>
      <c r="D251" s="1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</row>
    <row r="252" ht="15.75" customHeight="1">
      <c r="C252" s="15"/>
      <c r="D252" s="1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</row>
    <row r="253" ht="15.75" customHeight="1">
      <c r="C253" s="15"/>
      <c r="D253" s="15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</row>
    <row r="254" ht="15.75" customHeight="1">
      <c r="C254" s="15"/>
      <c r="D254" s="15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</row>
    <row r="255" ht="15.75" customHeight="1">
      <c r="C255" s="15"/>
      <c r="D255" s="1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</row>
    <row r="256" ht="15.75" customHeight="1">
      <c r="C256" s="15"/>
      <c r="D256" s="15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</row>
    <row r="257" ht="15.75" customHeight="1">
      <c r="C257" s="15"/>
      <c r="D257" s="1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</row>
    <row r="258" ht="15.75" customHeight="1">
      <c r="C258" s="15"/>
      <c r="D258" s="1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</row>
    <row r="259" ht="15.75" customHeight="1">
      <c r="C259" s="15"/>
      <c r="D259" s="15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</row>
    <row r="260" ht="15.75" customHeight="1">
      <c r="C260" s="15"/>
      <c r="D260" s="1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</row>
    <row r="261" ht="15.75" customHeight="1">
      <c r="C261" s="15"/>
      <c r="D261" s="1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</row>
    <row r="262" ht="15.75" customHeight="1">
      <c r="C262" s="15"/>
      <c r="D262" s="15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</row>
    <row r="263" ht="15.75" customHeight="1">
      <c r="C263" s="15"/>
      <c r="D263" s="15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</row>
    <row r="264" ht="15.75" customHeight="1">
      <c r="C264" s="15"/>
      <c r="D264" s="15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</row>
    <row r="265" ht="15.75" customHeight="1">
      <c r="C265" s="15"/>
      <c r="D265" s="15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</row>
    <row r="266" ht="15.75" customHeight="1">
      <c r="C266" s="15"/>
      <c r="D266" s="15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</row>
    <row r="267" ht="15.75" customHeight="1">
      <c r="C267" s="15"/>
      <c r="D267" s="15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</row>
    <row r="268" ht="15.75" customHeight="1">
      <c r="C268" s="15"/>
      <c r="D268" s="15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</row>
    <row r="269" ht="15.75" customHeight="1">
      <c r="C269" s="15"/>
      <c r="D269" s="15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</row>
    <row r="270" ht="15.75" customHeight="1">
      <c r="C270" s="15"/>
      <c r="D270" s="15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</row>
    <row r="271" ht="15.75" customHeight="1">
      <c r="C271" s="15"/>
      <c r="D271" s="1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</row>
    <row r="272" ht="15.75" customHeight="1">
      <c r="C272" s="15"/>
      <c r="D272" s="1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</row>
    <row r="273" ht="15.75" customHeight="1">
      <c r="C273" s="15"/>
      <c r="D273" s="1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</row>
    <row r="274" ht="15.75" customHeight="1">
      <c r="C274" s="15"/>
      <c r="D274" s="15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</row>
    <row r="275" ht="15.75" customHeight="1">
      <c r="C275" s="15"/>
      <c r="D275" s="1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</row>
    <row r="276" ht="15.75" customHeight="1">
      <c r="C276" s="15"/>
      <c r="D276" s="15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</row>
    <row r="277" ht="15.75" customHeight="1">
      <c r="C277" s="15"/>
      <c r="D277" s="1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</row>
    <row r="278" ht="15.75" customHeight="1">
      <c r="C278" s="15"/>
      <c r="D278" s="15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</row>
    <row r="279" ht="15.75" customHeight="1">
      <c r="C279" s="15"/>
      <c r="D279" s="1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</row>
    <row r="280" ht="15.75" customHeight="1">
      <c r="C280" s="15"/>
      <c r="D280" s="1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</row>
    <row r="281" ht="15.75" customHeight="1">
      <c r="C281" s="15"/>
      <c r="D281" s="1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</row>
    <row r="282" ht="15.75" customHeight="1">
      <c r="C282" s="15"/>
      <c r="D282" s="1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</row>
    <row r="283" ht="15.75" customHeight="1">
      <c r="C283" s="15"/>
      <c r="D283" s="1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</row>
    <row r="284" ht="15.75" customHeight="1">
      <c r="C284" s="15"/>
      <c r="D284" s="15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</row>
    <row r="285" ht="15.75" customHeight="1">
      <c r="C285" s="15"/>
      <c r="D285" s="15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</row>
    <row r="286" ht="15.75" customHeight="1">
      <c r="C286" s="15"/>
      <c r="D286" s="15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</row>
    <row r="287" ht="15.75" customHeight="1">
      <c r="C287" s="15"/>
      <c r="D287" s="15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</row>
    <row r="288" ht="15.75" customHeight="1">
      <c r="C288" s="15"/>
      <c r="D288" s="15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</row>
    <row r="289" ht="15.75" customHeight="1">
      <c r="C289" s="15"/>
      <c r="D289" s="15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</row>
    <row r="290" ht="15.75" customHeight="1">
      <c r="C290" s="15"/>
      <c r="D290" s="15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</row>
    <row r="291" ht="15.75" customHeight="1">
      <c r="C291" s="15"/>
      <c r="D291" s="15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</row>
    <row r="292" ht="15.75" customHeight="1">
      <c r="C292" s="15"/>
      <c r="D292" s="1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</row>
    <row r="293" ht="15.75" customHeight="1">
      <c r="C293" s="15"/>
      <c r="D293" s="15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</row>
    <row r="294" ht="15.75" customHeight="1">
      <c r="C294" s="15"/>
      <c r="D294" s="15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</row>
    <row r="295" ht="15.75" customHeight="1">
      <c r="C295" s="15"/>
      <c r="D295" s="1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</row>
    <row r="296" ht="15.75" customHeight="1">
      <c r="C296" s="15"/>
      <c r="D296" s="1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</row>
    <row r="297" ht="15.75" customHeight="1">
      <c r="C297" s="15"/>
      <c r="D297" s="1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</row>
    <row r="298" ht="15.75" customHeight="1">
      <c r="C298" s="15"/>
      <c r="D298" s="1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</row>
    <row r="299" ht="15.75" customHeight="1">
      <c r="C299" s="15"/>
      <c r="D299" s="15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</row>
    <row r="300" ht="15.75" customHeight="1">
      <c r="C300" s="15"/>
      <c r="D300" s="1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</row>
  </sheetData>
  <mergeCells count="27"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CJ8:CK8"/>
    <mergeCell ref="CN8:CO8"/>
    <mergeCell ref="CS8:CT8"/>
    <mergeCell ref="CU8:CV8"/>
    <mergeCell ref="CW8:CX8"/>
    <mergeCell ref="DA8:DB8"/>
    <mergeCell ref="AU1:AW1"/>
    <mergeCell ref="AX1:AZ1"/>
    <mergeCell ref="BA1:BC1"/>
    <mergeCell ref="BD1:BF1"/>
    <mergeCell ref="BG1:BI1"/>
    <mergeCell ref="CF8:CG8"/>
    <mergeCell ref="CH8:CI8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  <pageSetUpPr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0"/>
  <cols>
    <col customWidth="1" min="1" max="1" width="23.88"/>
    <col customWidth="1" min="5" max="5" width="15.63"/>
    <col customWidth="1" min="6" max="6" width="16.38"/>
    <col customWidth="1" min="8" max="8" width="15.0"/>
    <col customWidth="1" min="9" max="9" width="15.25"/>
  </cols>
  <sheetData>
    <row r="1" ht="15.75" customHeight="1">
      <c r="A1" s="34" t="s">
        <v>323</v>
      </c>
      <c r="B1" s="34" t="s">
        <v>324</v>
      </c>
      <c r="C1" s="34" t="s">
        <v>325</v>
      </c>
      <c r="D1" s="34" t="s">
        <v>291</v>
      </c>
      <c r="E1" s="34" t="s">
        <v>326</v>
      </c>
      <c r="F1" s="34" t="s">
        <v>308</v>
      </c>
    </row>
    <row r="2" ht="15.75" customHeight="1">
      <c r="A2" s="35" t="s">
        <v>84</v>
      </c>
      <c r="B2" s="35">
        <v>100.0</v>
      </c>
      <c r="C2" s="35">
        <v>100.0</v>
      </c>
      <c r="D2" s="35">
        <v>1460.0</v>
      </c>
      <c r="E2" s="35">
        <v>10.0</v>
      </c>
      <c r="F2" s="35" t="s">
        <v>299</v>
      </c>
      <c r="H2" s="36" t="s">
        <v>327</v>
      </c>
      <c r="I2" s="36" t="s">
        <v>328</v>
      </c>
    </row>
    <row r="3" ht="15.75" customHeight="1">
      <c r="A3" s="35" t="s">
        <v>89</v>
      </c>
      <c r="B3" s="35">
        <v>390.0</v>
      </c>
      <c r="C3" s="35">
        <v>391.0</v>
      </c>
      <c r="D3" s="35">
        <v>176.0</v>
      </c>
      <c r="E3" s="35">
        <v>37.0</v>
      </c>
      <c r="F3" s="35" t="s">
        <v>300</v>
      </c>
      <c r="H3" s="1">
        <f t="shared" ref="H3:I3" si="1">SUM(B3:B180)</f>
        <v>47097</v>
      </c>
      <c r="I3" s="1">
        <f t="shared" si="1"/>
        <v>104950</v>
      </c>
    </row>
    <row r="4" ht="15.75" customHeight="1">
      <c r="A4" s="35" t="s">
        <v>91</v>
      </c>
      <c r="B4" s="35">
        <v>36.0</v>
      </c>
      <c r="C4" s="35">
        <v>175.0</v>
      </c>
      <c r="D4" s="35">
        <v>251.0</v>
      </c>
      <c r="E4" s="35">
        <v>3.0</v>
      </c>
      <c r="F4" s="35" t="s">
        <v>300</v>
      </c>
    </row>
    <row r="5" ht="15.75" customHeight="1">
      <c r="A5" s="35" t="s">
        <v>93</v>
      </c>
      <c r="B5" s="35">
        <v>30.0</v>
      </c>
      <c r="C5" s="35">
        <v>30.0</v>
      </c>
      <c r="D5" s="35">
        <v>470.0</v>
      </c>
      <c r="E5" s="35">
        <v>5.0</v>
      </c>
      <c r="F5" s="35" t="s">
        <v>302</v>
      </c>
      <c r="H5" s="36" t="s">
        <v>329</v>
      </c>
    </row>
    <row r="6" ht="15.75" customHeight="1">
      <c r="A6" s="35" t="s">
        <v>95</v>
      </c>
      <c r="B6" s="35">
        <v>20.0</v>
      </c>
      <c r="C6" s="35">
        <v>20.0</v>
      </c>
      <c r="D6" s="35">
        <v>512.0</v>
      </c>
      <c r="E6" s="35">
        <v>2.0</v>
      </c>
      <c r="F6" s="35" t="s">
        <v>300</v>
      </c>
      <c r="H6" s="1">
        <f>SUM(H3,I3)</f>
        <v>152047</v>
      </c>
    </row>
    <row r="7" ht="15.75" customHeight="1">
      <c r="A7" s="35" t="s">
        <v>97</v>
      </c>
      <c r="B7" s="35">
        <v>20.0</v>
      </c>
      <c r="C7" s="35">
        <v>20.0</v>
      </c>
      <c r="D7" s="35">
        <v>512.0</v>
      </c>
      <c r="E7" s="35">
        <v>2.0</v>
      </c>
      <c r="F7" s="35" t="s">
        <v>300</v>
      </c>
    </row>
    <row r="8" ht="15.75" customHeight="1">
      <c r="A8" s="35" t="s">
        <v>98</v>
      </c>
      <c r="B8" s="35">
        <v>30.0</v>
      </c>
      <c r="C8" s="35">
        <v>150.0</v>
      </c>
      <c r="D8" s="35">
        <v>128.0</v>
      </c>
      <c r="E8" s="35">
        <v>3.0</v>
      </c>
      <c r="F8" s="35" t="s">
        <v>303</v>
      </c>
      <c r="H8" s="1" t="s">
        <v>330</v>
      </c>
    </row>
    <row r="9" ht="15.75" customHeight="1">
      <c r="A9" s="35" t="s">
        <v>99</v>
      </c>
      <c r="B9" s="35">
        <v>60.0</v>
      </c>
      <c r="C9" s="35">
        <v>60.0</v>
      </c>
      <c r="D9" s="35">
        <v>577.0</v>
      </c>
      <c r="E9" s="35">
        <v>4.0</v>
      </c>
      <c r="F9" s="35" t="s">
        <v>305</v>
      </c>
      <c r="H9" s="36" t="s">
        <v>331</v>
      </c>
      <c r="I9" s="36" t="s">
        <v>332</v>
      </c>
      <c r="J9" s="36" t="s">
        <v>333</v>
      </c>
    </row>
    <row r="10" ht="15.75" customHeight="1">
      <c r="A10" s="35" t="s">
        <v>101</v>
      </c>
      <c r="B10" s="35">
        <v>30.0</v>
      </c>
      <c r="C10" s="35">
        <v>900.0</v>
      </c>
      <c r="D10" s="35">
        <v>128.0</v>
      </c>
      <c r="E10" s="35">
        <v>3.0</v>
      </c>
      <c r="F10" s="35" t="s">
        <v>303</v>
      </c>
      <c r="H10" s="1">
        <f>MULTIPLY(H6,0.4)</f>
        <v>60818.8</v>
      </c>
      <c r="I10" s="1">
        <f t="shared" ref="I10:J10" si="2">DIVIDE(H10,60)</f>
        <v>1013.646667</v>
      </c>
      <c r="J10" s="1">
        <f t="shared" si="2"/>
        <v>16.89411111</v>
      </c>
    </row>
    <row r="11" ht="15.75" customHeight="1">
      <c r="A11" s="35" t="s">
        <v>103</v>
      </c>
      <c r="B11" s="35">
        <v>20.0</v>
      </c>
      <c r="C11" s="35">
        <v>345.0</v>
      </c>
      <c r="D11" s="35">
        <v>24.0</v>
      </c>
      <c r="E11" s="35">
        <v>2.0</v>
      </c>
      <c r="F11" s="35" t="s">
        <v>306</v>
      </c>
    </row>
    <row r="12" ht="15.75" customHeight="1">
      <c r="A12" s="35" t="s">
        <v>105</v>
      </c>
      <c r="B12" s="35">
        <v>467.0</v>
      </c>
      <c r="C12" s="35">
        <v>3840.0</v>
      </c>
      <c r="D12" s="35">
        <v>166.0</v>
      </c>
      <c r="E12" s="35">
        <v>3.0</v>
      </c>
      <c r="F12" s="35" t="s">
        <v>303</v>
      </c>
      <c r="H12" s="1" t="s">
        <v>334</v>
      </c>
    </row>
    <row r="13" ht="15.75" customHeight="1">
      <c r="A13" s="35" t="s">
        <v>335</v>
      </c>
      <c r="B13" s="35">
        <v>40.0</v>
      </c>
      <c r="C13" s="35">
        <v>1380.0</v>
      </c>
      <c r="D13" s="35">
        <v>1639.0</v>
      </c>
      <c r="E13" s="35">
        <v>4.0</v>
      </c>
      <c r="F13" s="35" t="s">
        <v>307</v>
      </c>
      <c r="H13" s="36" t="s">
        <v>336</v>
      </c>
      <c r="I13" s="36" t="s">
        <v>337</v>
      </c>
      <c r="J13" s="36" t="s">
        <v>338</v>
      </c>
    </row>
    <row r="14" ht="15.75" customHeight="1">
      <c r="A14" s="35" t="s">
        <v>109</v>
      </c>
      <c r="B14" s="35">
        <v>28.0</v>
      </c>
      <c r="C14" s="35">
        <v>28.0</v>
      </c>
      <c r="D14" s="35">
        <v>286.0</v>
      </c>
      <c r="E14" s="35">
        <v>2.0</v>
      </c>
      <c r="F14" s="35" t="s">
        <v>302</v>
      </c>
      <c r="H14" s="1">
        <f>MULTIPLY(H10,6)</f>
        <v>364912.8</v>
      </c>
      <c r="I14" s="1">
        <f t="shared" ref="I14:J14" si="3">MULTIPLY(H14,0.001)</f>
        <v>364.9128</v>
      </c>
      <c r="J14" s="1">
        <f t="shared" si="3"/>
        <v>0.3649128</v>
      </c>
    </row>
    <row r="15" ht="15.75" customHeight="1">
      <c r="A15" s="35" t="s">
        <v>110</v>
      </c>
      <c r="B15" s="35">
        <v>250.0</v>
      </c>
      <c r="C15" s="35">
        <v>250.0</v>
      </c>
      <c r="D15" s="35">
        <v>720.0</v>
      </c>
      <c r="E15" s="35">
        <v>2.0</v>
      </c>
      <c r="F15" s="35" t="s">
        <v>299</v>
      </c>
    </row>
    <row r="16" ht="15.75" customHeight="1">
      <c r="A16" s="35" t="s">
        <v>111</v>
      </c>
      <c r="B16" s="35">
        <v>7200.0</v>
      </c>
      <c r="C16" s="35">
        <v>16800.0</v>
      </c>
      <c r="D16" s="35">
        <v>46.0</v>
      </c>
      <c r="E16" s="35">
        <v>24.0</v>
      </c>
      <c r="F16" s="35" t="s">
        <v>300</v>
      </c>
    </row>
    <row r="17" ht="15.75" customHeight="1">
      <c r="A17" s="35" t="s">
        <v>112</v>
      </c>
      <c r="B17" s="35">
        <v>16.0</v>
      </c>
      <c r="C17" s="35">
        <v>306.0</v>
      </c>
      <c r="D17" s="35">
        <v>345.0</v>
      </c>
      <c r="E17" s="35">
        <v>4.0</v>
      </c>
      <c r="F17" s="35" t="s">
        <v>300</v>
      </c>
    </row>
    <row r="18" ht="15.75" customHeight="1">
      <c r="A18" s="35" t="s">
        <v>113</v>
      </c>
      <c r="B18" s="35">
        <v>400.0</v>
      </c>
      <c r="C18" s="35">
        <v>139.0</v>
      </c>
      <c r="D18" s="35">
        <v>80.0</v>
      </c>
      <c r="E18" s="35">
        <v>3.0</v>
      </c>
      <c r="F18" s="35" t="s">
        <v>300</v>
      </c>
    </row>
    <row r="19" ht="15.75" customHeight="1">
      <c r="A19" s="35" t="s">
        <v>114</v>
      </c>
      <c r="B19" s="35">
        <v>600.0</v>
      </c>
      <c r="C19" s="35">
        <v>276.0</v>
      </c>
      <c r="D19" s="35">
        <v>80.0</v>
      </c>
      <c r="E19" s="35">
        <v>2.0</v>
      </c>
      <c r="F19" s="35" t="s">
        <v>300</v>
      </c>
    </row>
    <row r="20" ht="15.75" customHeight="1">
      <c r="A20" s="35" t="s">
        <v>115</v>
      </c>
      <c r="B20" s="35">
        <v>400.0</v>
      </c>
      <c r="C20" s="35">
        <v>139.0</v>
      </c>
      <c r="D20" s="35">
        <v>80.0</v>
      </c>
      <c r="E20" s="35">
        <v>6.0</v>
      </c>
      <c r="F20" s="35" t="s">
        <v>300</v>
      </c>
    </row>
    <row r="21" ht="15.75" customHeight="1">
      <c r="A21" s="35" t="s">
        <v>116</v>
      </c>
      <c r="B21" s="35">
        <v>322.0</v>
      </c>
      <c r="C21" s="35">
        <v>139.0</v>
      </c>
      <c r="D21" s="35">
        <v>512.0</v>
      </c>
      <c r="E21" s="35">
        <v>2.0</v>
      </c>
      <c r="F21" s="35" t="s">
        <v>305</v>
      </c>
    </row>
    <row r="22" ht="15.75" customHeight="1">
      <c r="A22" s="35" t="s">
        <v>117</v>
      </c>
      <c r="B22" s="35">
        <v>100.0</v>
      </c>
      <c r="C22" s="35">
        <v>100.0</v>
      </c>
      <c r="D22" s="35">
        <v>96.0</v>
      </c>
      <c r="E22" s="35">
        <v>2.0</v>
      </c>
      <c r="F22" s="35" t="s">
        <v>307</v>
      </c>
    </row>
    <row r="23" ht="15.75" customHeight="1">
      <c r="A23" s="35" t="s">
        <v>118</v>
      </c>
      <c r="B23" s="35">
        <v>500.0</v>
      </c>
      <c r="C23" s="35">
        <v>4500.0</v>
      </c>
      <c r="D23" s="35">
        <v>140.0</v>
      </c>
      <c r="E23" s="35">
        <v>5.0</v>
      </c>
      <c r="F23" s="35" t="s">
        <v>307</v>
      </c>
    </row>
    <row r="24" ht="15.75" customHeight="1">
      <c r="A24" s="35" t="s">
        <v>119</v>
      </c>
      <c r="B24" s="35">
        <v>23.0</v>
      </c>
      <c r="C24" s="35">
        <v>861.0</v>
      </c>
      <c r="D24" s="35">
        <v>136.0</v>
      </c>
      <c r="E24" s="35">
        <v>2.0</v>
      </c>
      <c r="F24" s="35" t="s">
        <v>307</v>
      </c>
    </row>
    <row r="25" ht="15.75" customHeight="1">
      <c r="A25" s="35" t="s">
        <v>120</v>
      </c>
      <c r="B25" s="35">
        <v>8926.0</v>
      </c>
      <c r="C25" s="35">
        <v>7711.0</v>
      </c>
      <c r="D25" s="35">
        <v>96.0</v>
      </c>
      <c r="E25" s="35">
        <v>7.0</v>
      </c>
      <c r="F25" s="35" t="s">
        <v>299</v>
      </c>
    </row>
    <row r="26" ht="15.75" customHeight="1">
      <c r="A26" s="35" t="s">
        <v>121</v>
      </c>
      <c r="B26" s="35">
        <v>504.0</v>
      </c>
      <c r="C26" s="35">
        <v>500.0</v>
      </c>
      <c r="D26" s="35">
        <v>1751.0</v>
      </c>
      <c r="E26" s="35">
        <v>4.0</v>
      </c>
      <c r="F26" s="35" t="s">
        <v>302</v>
      </c>
    </row>
    <row r="27" ht="15.75" customHeight="1">
      <c r="A27" s="35" t="s">
        <v>122</v>
      </c>
      <c r="B27" s="35">
        <v>560.0</v>
      </c>
      <c r="C27" s="35">
        <v>1690.0</v>
      </c>
      <c r="D27" s="35">
        <v>131.0</v>
      </c>
      <c r="E27" s="35">
        <v>14.0</v>
      </c>
      <c r="F27" s="35" t="s">
        <v>300</v>
      </c>
    </row>
    <row r="28" ht="15.75" customHeight="1">
      <c r="A28" s="35" t="s">
        <v>123</v>
      </c>
      <c r="B28" s="35">
        <v>24.0</v>
      </c>
      <c r="C28" s="35">
        <v>88.0</v>
      </c>
      <c r="D28" s="35">
        <v>350.0</v>
      </c>
      <c r="E28" s="35">
        <v>4.0</v>
      </c>
      <c r="F28" s="35" t="s">
        <v>300</v>
      </c>
    </row>
    <row r="29" ht="15.75" customHeight="1">
      <c r="A29" s="35" t="s">
        <v>124</v>
      </c>
      <c r="B29" s="35">
        <v>200.0</v>
      </c>
      <c r="C29" s="35">
        <v>2050.0</v>
      </c>
      <c r="D29" s="35">
        <v>131.0</v>
      </c>
      <c r="E29" s="35">
        <v>14.0</v>
      </c>
      <c r="F29" s="35" t="s">
        <v>300</v>
      </c>
    </row>
    <row r="30" ht="15.75" customHeight="1">
      <c r="A30" s="35" t="s">
        <v>125</v>
      </c>
      <c r="B30" s="35">
        <v>450.0</v>
      </c>
      <c r="C30" s="35">
        <v>455.0</v>
      </c>
      <c r="D30" s="35">
        <v>270.0</v>
      </c>
      <c r="E30" s="35">
        <v>50.0</v>
      </c>
      <c r="F30" s="35" t="s">
        <v>300</v>
      </c>
    </row>
    <row r="31" ht="15.75" customHeight="1">
      <c r="A31" s="35" t="s">
        <v>126</v>
      </c>
      <c r="B31" s="35">
        <v>175.0</v>
      </c>
      <c r="C31" s="35">
        <v>175.0</v>
      </c>
      <c r="D31" s="35">
        <v>463.0</v>
      </c>
      <c r="E31" s="35">
        <v>7.0</v>
      </c>
      <c r="F31" s="35" t="s">
        <v>300</v>
      </c>
    </row>
    <row r="32" ht="15.75" customHeight="1">
      <c r="A32" s="35" t="s">
        <v>127</v>
      </c>
      <c r="B32" s="35">
        <v>3601.0</v>
      </c>
      <c r="C32" s="35">
        <v>1320.0</v>
      </c>
      <c r="D32" s="35">
        <v>500.0</v>
      </c>
      <c r="E32" s="35">
        <v>2.0</v>
      </c>
      <c r="F32" s="35" t="s">
        <v>305</v>
      </c>
    </row>
    <row r="33" ht="15.75" customHeight="1">
      <c r="A33" s="35" t="s">
        <v>339</v>
      </c>
      <c r="B33" s="35">
        <v>3636.0</v>
      </c>
      <c r="C33" s="35">
        <v>810.0</v>
      </c>
      <c r="D33" s="35">
        <v>500.0</v>
      </c>
      <c r="E33" s="35">
        <v>2.0</v>
      </c>
      <c r="F33" s="35" t="s">
        <v>305</v>
      </c>
    </row>
    <row r="34" ht="15.75" customHeight="1">
      <c r="A34" s="35" t="s">
        <v>129</v>
      </c>
      <c r="B34" s="35">
        <v>150.0</v>
      </c>
      <c r="C34" s="35">
        <v>2850.0</v>
      </c>
      <c r="D34" s="35">
        <v>301.0</v>
      </c>
      <c r="E34" s="35">
        <v>2.0</v>
      </c>
      <c r="F34" s="35" t="s">
        <v>305</v>
      </c>
    </row>
    <row r="35" ht="15.75" customHeight="1">
      <c r="A35" s="35" t="s">
        <v>130</v>
      </c>
      <c r="B35" s="35">
        <v>28.0</v>
      </c>
      <c r="C35" s="35">
        <v>2850.0</v>
      </c>
      <c r="D35" s="35">
        <v>301.0</v>
      </c>
      <c r="E35" s="35">
        <v>2.0</v>
      </c>
      <c r="F35" s="35" t="s">
        <v>305</v>
      </c>
    </row>
    <row r="36" ht="15.75" customHeight="1">
      <c r="A36" s="35" t="s">
        <v>131</v>
      </c>
      <c r="B36" s="35">
        <v>50.0</v>
      </c>
      <c r="C36" s="35">
        <v>150.0</v>
      </c>
      <c r="D36" s="35">
        <v>150.0</v>
      </c>
      <c r="E36" s="35">
        <v>2.0</v>
      </c>
      <c r="F36" s="35" t="s">
        <v>311</v>
      </c>
    </row>
    <row r="37" ht="15.75" customHeight="1">
      <c r="A37" s="35" t="s">
        <v>132</v>
      </c>
      <c r="B37" s="35">
        <v>135.0</v>
      </c>
      <c r="C37" s="35">
        <v>316.0</v>
      </c>
      <c r="D37" s="35">
        <v>150.0</v>
      </c>
      <c r="E37" s="35">
        <v>2.0</v>
      </c>
      <c r="F37" s="35" t="s">
        <v>311</v>
      </c>
    </row>
    <row r="38" ht="15.75" customHeight="1">
      <c r="A38" s="35" t="s">
        <v>133</v>
      </c>
      <c r="B38" s="35">
        <v>135.0</v>
      </c>
      <c r="C38" s="35">
        <v>316.0</v>
      </c>
      <c r="D38" s="35">
        <v>150.0</v>
      </c>
      <c r="E38" s="35">
        <v>2.0</v>
      </c>
      <c r="F38" s="35" t="s">
        <v>311</v>
      </c>
    </row>
    <row r="39" ht="15.75" customHeight="1">
      <c r="A39" s="35" t="s">
        <v>134</v>
      </c>
      <c r="B39" s="35">
        <v>135.0</v>
      </c>
      <c r="C39" s="35">
        <v>316.0</v>
      </c>
      <c r="D39" s="35">
        <v>150.0</v>
      </c>
      <c r="E39" s="35">
        <v>2.0</v>
      </c>
      <c r="F39" s="35" t="s">
        <v>311</v>
      </c>
    </row>
    <row r="40" ht="15.75" customHeight="1">
      <c r="A40" s="35" t="s">
        <v>135</v>
      </c>
      <c r="B40" s="35">
        <v>109.0</v>
      </c>
      <c r="C40" s="35">
        <v>105.0</v>
      </c>
      <c r="D40" s="35">
        <v>431.0</v>
      </c>
      <c r="E40" s="35">
        <v>2.0</v>
      </c>
      <c r="F40" s="35" t="s">
        <v>302</v>
      </c>
    </row>
    <row r="41" ht="15.75" customHeight="1">
      <c r="A41" s="35" t="s">
        <v>136</v>
      </c>
      <c r="B41" s="35">
        <v>155.0</v>
      </c>
      <c r="C41" s="35">
        <v>308.0</v>
      </c>
      <c r="D41" s="35">
        <v>1092.0</v>
      </c>
      <c r="E41" s="35">
        <v>5.0</v>
      </c>
      <c r="F41" s="35" t="s">
        <v>311</v>
      </c>
    </row>
    <row r="42" ht="15.75" customHeight="1">
      <c r="A42" s="35" t="s">
        <v>137</v>
      </c>
      <c r="B42" s="35">
        <v>64.0</v>
      </c>
      <c r="C42" s="35">
        <v>64.0</v>
      </c>
      <c r="D42" s="35">
        <v>512.0</v>
      </c>
      <c r="E42" s="35">
        <v>2.0</v>
      </c>
      <c r="F42" s="35" t="s">
        <v>300</v>
      </c>
    </row>
    <row r="43" ht="15.75" customHeight="1">
      <c r="A43" s="35" t="s">
        <v>138</v>
      </c>
      <c r="B43" s="35">
        <v>34.0</v>
      </c>
      <c r="C43" s="35">
        <v>101.0</v>
      </c>
      <c r="D43" s="35">
        <v>3000.0</v>
      </c>
      <c r="E43" s="35">
        <v>2.0</v>
      </c>
      <c r="F43" s="35" t="s">
        <v>299</v>
      </c>
    </row>
    <row r="44" ht="15.75" customHeight="1">
      <c r="A44" s="35" t="s">
        <v>139</v>
      </c>
      <c r="B44" s="35">
        <v>100.0</v>
      </c>
      <c r="C44" s="35">
        <v>550.0</v>
      </c>
      <c r="D44" s="35">
        <v>1882.0</v>
      </c>
      <c r="E44" s="35">
        <v>7.0</v>
      </c>
      <c r="F44" s="35" t="s">
        <v>311</v>
      </c>
    </row>
    <row r="45" ht="15.75" customHeight="1">
      <c r="A45" s="35" t="s">
        <v>140</v>
      </c>
      <c r="B45" s="35">
        <v>62.0</v>
      </c>
      <c r="C45" s="35">
        <v>249.0</v>
      </c>
      <c r="D45" s="35">
        <v>601.0</v>
      </c>
      <c r="E45" s="35">
        <v>3.0</v>
      </c>
      <c r="F45" s="35" t="s">
        <v>309</v>
      </c>
    </row>
    <row r="46" ht="15.75" customHeight="1">
      <c r="A46" s="35" t="s">
        <v>141</v>
      </c>
      <c r="B46" s="35">
        <v>17.0</v>
      </c>
      <c r="C46" s="35">
        <v>249.0</v>
      </c>
      <c r="D46" s="35">
        <v>601.0</v>
      </c>
      <c r="E46" s="35">
        <v>3.0</v>
      </c>
      <c r="F46" s="35" t="s">
        <v>309</v>
      </c>
    </row>
    <row r="47" ht="15.75" customHeight="1">
      <c r="A47" s="35" t="s">
        <v>142</v>
      </c>
      <c r="B47" s="35">
        <v>67.0</v>
      </c>
      <c r="C47" s="35">
        <v>1029.0</v>
      </c>
      <c r="D47" s="35">
        <v>24.0</v>
      </c>
      <c r="E47" s="35">
        <v>2.0</v>
      </c>
      <c r="F47" s="35" t="s">
        <v>305</v>
      </c>
    </row>
    <row r="48" ht="15.75" customHeight="1">
      <c r="A48" s="35" t="s">
        <v>143</v>
      </c>
      <c r="B48" s="35">
        <v>375.0</v>
      </c>
      <c r="C48" s="35">
        <v>375.0</v>
      </c>
      <c r="D48" s="35">
        <v>720.0</v>
      </c>
      <c r="E48" s="35">
        <v>3.0</v>
      </c>
      <c r="F48" s="35" t="s">
        <v>299</v>
      </c>
    </row>
    <row r="49" ht="15.75" customHeight="1">
      <c r="A49" s="35" t="s">
        <v>144</v>
      </c>
      <c r="B49" s="35">
        <v>60.0</v>
      </c>
      <c r="C49" s="35">
        <v>61.0</v>
      </c>
      <c r="D49" s="35">
        <v>637.0</v>
      </c>
      <c r="E49" s="35">
        <v>2.0</v>
      </c>
      <c r="F49" s="35" t="s">
        <v>305</v>
      </c>
    </row>
    <row r="50" ht="15.75" customHeight="1">
      <c r="A50" s="35" t="s">
        <v>145</v>
      </c>
      <c r="B50" s="35">
        <v>70.0</v>
      </c>
      <c r="C50" s="35">
        <v>73.0</v>
      </c>
      <c r="D50" s="35">
        <v>319.0</v>
      </c>
      <c r="E50" s="35">
        <v>7.0</v>
      </c>
      <c r="F50" s="35" t="s">
        <v>305</v>
      </c>
    </row>
    <row r="51" ht="15.75" customHeight="1">
      <c r="A51" s="35" t="s">
        <v>146</v>
      </c>
      <c r="B51" s="35">
        <v>55.0</v>
      </c>
      <c r="C51" s="35">
        <v>2345.0</v>
      </c>
      <c r="D51" s="35">
        <v>1024.0</v>
      </c>
      <c r="E51" s="35">
        <v>8.0</v>
      </c>
      <c r="F51" s="35" t="s">
        <v>303</v>
      </c>
    </row>
    <row r="52" ht="15.75" customHeight="1">
      <c r="A52" s="35" t="s">
        <v>147</v>
      </c>
      <c r="B52" s="35">
        <v>60.0</v>
      </c>
      <c r="C52" s="35">
        <v>60.0</v>
      </c>
      <c r="D52" s="35">
        <v>448.0</v>
      </c>
      <c r="E52" s="35">
        <v>3.0</v>
      </c>
      <c r="F52" s="35" t="s">
        <v>302</v>
      </c>
    </row>
    <row r="53" ht="15.75" customHeight="1">
      <c r="A53" s="35" t="s">
        <v>148</v>
      </c>
      <c r="B53" s="35">
        <v>381.0</v>
      </c>
      <c r="C53" s="35">
        <v>760.0</v>
      </c>
      <c r="D53" s="35">
        <v>99.0</v>
      </c>
      <c r="E53" s="35">
        <v>10.0</v>
      </c>
      <c r="F53" s="35" t="s">
        <v>300</v>
      </c>
    </row>
    <row r="54" ht="15.75" customHeight="1">
      <c r="A54" s="35" t="s">
        <v>149</v>
      </c>
      <c r="B54" s="35">
        <v>400.0</v>
      </c>
      <c r="C54" s="35">
        <v>154.0</v>
      </c>
      <c r="D54" s="35">
        <v>80.0</v>
      </c>
      <c r="E54" s="35">
        <v>3.0</v>
      </c>
      <c r="F54" s="35" t="s">
        <v>300</v>
      </c>
    </row>
    <row r="55" ht="15.75" customHeight="1">
      <c r="A55" s="35" t="s">
        <v>150</v>
      </c>
      <c r="B55" s="35">
        <v>600.0</v>
      </c>
      <c r="C55" s="35">
        <v>291.0</v>
      </c>
      <c r="D55" s="35">
        <v>80.0</v>
      </c>
      <c r="E55" s="35">
        <v>2.0</v>
      </c>
      <c r="F55" s="35" t="s">
        <v>300</v>
      </c>
    </row>
    <row r="56" ht="15.75" customHeight="1">
      <c r="A56" s="35" t="s">
        <v>151</v>
      </c>
      <c r="B56" s="35">
        <v>399.0</v>
      </c>
      <c r="C56" s="35">
        <v>154.0</v>
      </c>
      <c r="D56" s="35">
        <v>80.0</v>
      </c>
      <c r="E56" s="35">
        <v>6.0</v>
      </c>
      <c r="F56" s="35" t="s">
        <v>300</v>
      </c>
    </row>
    <row r="57" ht="15.75" customHeight="1">
      <c r="A57" s="35" t="s">
        <v>340</v>
      </c>
      <c r="B57" s="35">
        <v>500.0</v>
      </c>
      <c r="C57" s="35">
        <v>2425.0</v>
      </c>
      <c r="D57" s="35">
        <v>1024.0</v>
      </c>
      <c r="E57" s="35">
        <v>5.0</v>
      </c>
      <c r="F57" s="35" t="s">
        <v>300</v>
      </c>
    </row>
    <row r="58" ht="15.75" customHeight="1">
      <c r="A58" s="35" t="s">
        <v>153</v>
      </c>
      <c r="B58" s="35">
        <v>100.0</v>
      </c>
      <c r="C58" s="35">
        <v>2425.0</v>
      </c>
      <c r="D58" s="35">
        <v>1024.0</v>
      </c>
      <c r="E58" s="35">
        <v>5.0</v>
      </c>
      <c r="F58" s="35" t="s">
        <v>300</v>
      </c>
    </row>
    <row r="59" ht="15.75" customHeight="1">
      <c r="A59" s="35" t="s">
        <v>154</v>
      </c>
      <c r="B59" s="35">
        <v>20.0</v>
      </c>
      <c r="C59" s="35">
        <v>1252.0</v>
      </c>
      <c r="D59" s="35">
        <v>84.0</v>
      </c>
      <c r="E59" s="35">
        <v>2.0</v>
      </c>
      <c r="F59" s="35" t="s">
        <v>305</v>
      </c>
    </row>
    <row r="60" ht="15.75" customHeight="1">
      <c r="A60" s="35" t="s">
        <v>155</v>
      </c>
      <c r="B60" s="35">
        <v>30.0</v>
      </c>
      <c r="C60" s="35">
        <v>30.0</v>
      </c>
      <c r="D60" s="35">
        <v>570.0</v>
      </c>
      <c r="E60" s="35">
        <v>4.0</v>
      </c>
      <c r="F60" s="35" t="s">
        <v>302</v>
      </c>
    </row>
    <row r="61" ht="15.75" customHeight="1">
      <c r="A61" s="35" t="s">
        <v>156</v>
      </c>
      <c r="B61" s="35">
        <v>200.0</v>
      </c>
      <c r="C61" s="35">
        <v>242.0</v>
      </c>
      <c r="D61" s="35">
        <v>427.0</v>
      </c>
      <c r="E61" s="35">
        <v>6.0</v>
      </c>
      <c r="F61" s="35" t="s">
        <v>300</v>
      </c>
    </row>
    <row r="62" ht="15.75" customHeight="1">
      <c r="A62" s="35" t="s">
        <v>157</v>
      </c>
      <c r="B62" s="35">
        <v>1800.0</v>
      </c>
      <c r="C62" s="35">
        <v>858.0</v>
      </c>
      <c r="D62" s="35">
        <v>80.0</v>
      </c>
      <c r="E62" s="35">
        <v>2.0</v>
      </c>
      <c r="F62" s="35" t="s">
        <v>300</v>
      </c>
    </row>
    <row r="63" ht="15.75" customHeight="1">
      <c r="A63" s="35" t="s">
        <v>158</v>
      </c>
      <c r="B63" s="35">
        <v>214.0</v>
      </c>
      <c r="C63" s="35">
        <v>1896.0</v>
      </c>
      <c r="D63" s="35">
        <v>1024.0</v>
      </c>
      <c r="E63" s="35">
        <v>39.0</v>
      </c>
      <c r="F63" s="35" t="s">
        <v>312</v>
      </c>
    </row>
    <row r="64" ht="15.75" customHeight="1">
      <c r="A64" s="35" t="s">
        <v>159</v>
      </c>
      <c r="B64" s="35">
        <v>104.0</v>
      </c>
      <c r="C64" s="35">
        <v>208.0</v>
      </c>
      <c r="D64" s="35">
        <v>2000.0</v>
      </c>
      <c r="E64" s="35">
        <v>52.0</v>
      </c>
      <c r="F64" s="35" t="s">
        <v>310</v>
      </c>
    </row>
    <row r="65" ht="15.75" customHeight="1">
      <c r="A65" s="35" t="s">
        <v>160</v>
      </c>
      <c r="B65" s="35">
        <v>104.0</v>
      </c>
      <c r="C65" s="35">
        <v>208.0</v>
      </c>
      <c r="D65" s="35">
        <v>2000.0</v>
      </c>
      <c r="E65" s="35">
        <v>52.0</v>
      </c>
      <c r="F65" s="35" t="s">
        <v>310</v>
      </c>
    </row>
    <row r="66" ht="15.75" customHeight="1">
      <c r="A66" s="35" t="s">
        <v>161</v>
      </c>
      <c r="B66" s="35">
        <v>104.0</v>
      </c>
      <c r="C66" s="35">
        <v>208.0</v>
      </c>
      <c r="D66" s="35">
        <v>2000.0</v>
      </c>
      <c r="E66" s="35">
        <v>52.0</v>
      </c>
      <c r="F66" s="35" t="s">
        <v>310</v>
      </c>
    </row>
    <row r="67" ht="15.75" customHeight="1">
      <c r="A67" s="35" t="s">
        <v>162</v>
      </c>
      <c r="B67" s="35">
        <v>105.0</v>
      </c>
      <c r="C67" s="35">
        <v>105.0</v>
      </c>
      <c r="D67" s="35">
        <v>144.0</v>
      </c>
      <c r="E67" s="35">
        <v>7.0</v>
      </c>
      <c r="F67" s="35" t="s">
        <v>305</v>
      </c>
    </row>
    <row r="68" ht="15.75" customHeight="1">
      <c r="A68" s="35" t="s">
        <v>163</v>
      </c>
      <c r="B68" s="35">
        <v>400.0</v>
      </c>
      <c r="C68" s="35">
        <v>205.0</v>
      </c>
      <c r="D68" s="35">
        <v>80.0</v>
      </c>
      <c r="E68" s="35">
        <v>3.0</v>
      </c>
      <c r="F68" s="35" t="s">
        <v>300</v>
      </c>
    </row>
    <row r="69" ht="15.75" customHeight="1">
      <c r="A69" s="35" t="s">
        <v>164</v>
      </c>
      <c r="B69" s="35">
        <v>600.0</v>
      </c>
      <c r="C69" s="35">
        <v>291.0</v>
      </c>
      <c r="D69" s="35">
        <v>80.0</v>
      </c>
      <c r="E69" s="35">
        <v>2.0</v>
      </c>
      <c r="F69" s="35" t="s">
        <v>300</v>
      </c>
    </row>
    <row r="70" ht="15.75" customHeight="1">
      <c r="A70" s="35" t="s">
        <v>165</v>
      </c>
      <c r="B70" s="35">
        <v>400.0</v>
      </c>
      <c r="C70" s="35">
        <v>205.0</v>
      </c>
      <c r="D70" s="35">
        <v>80.0</v>
      </c>
      <c r="E70" s="35">
        <v>6.0</v>
      </c>
      <c r="F70" s="35" t="s">
        <v>300</v>
      </c>
    </row>
    <row r="71" ht="15.75" customHeight="1">
      <c r="A71" s="35" t="s">
        <v>341</v>
      </c>
      <c r="B71" s="35">
        <v>375.0</v>
      </c>
      <c r="C71" s="35">
        <v>375.0</v>
      </c>
      <c r="D71" s="35">
        <v>720.0</v>
      </c>
      <c r="E71" s="35">
        <v>3.0</v>
      </c>
      <c r="F71" s="35" t="s">
        <v>299</v>
      </c>
    </row>
    <row r="72" ht="15.75" customHeight="1">
      <c r="A72" s="35" t="s">
        <v>166</v>
      </c>
      <c r="B72" s="35">
        <v>20.0</v>
      </c>
      <c r="C72" s="35">
        <v>50.0</v>
      </c>
      <c r="D72" s="35">
        <v>2844.0</v>
      </c>
      <c r="E72" s="35">
        <v>4.0</v>
      </c>
      <c r="F72" s="35" t="s">
        <v>302</v>
      </c>
    </row>
    <row r="73" ht="15.75" customHeight="1">
      <c r="A73" s="35" t="s">
        <v>167</v>
      </c>
      <c r="B73" s="35">
        <v>375.0</v>
      </c>
      <c r="C73" s="35">
        <v>375.0</v>
      </c>
      <c r="D73" s="35">
        <v>720.0</v>
      </c>
      <c r="E73" s="35">
        <v>3.0</v>
      </c>
      <c r="F73" s="35" t="s">
        <v>299</v>
      </c>
    </row>
    <row r="74" ht="15.75" customHeight="1">
      <c r="A74" s="35" t="s">
        <v>168</v>
      </c>
      <c r="B74" s="35">
        <v>300.0</v>
      </c>
      <c r="C74" s="35">
        <v>600.0</v>
      </c>
      <c r="D74" s="35">
        <v>1500.0</v>
      </c>
      <c r="E74" s="35">
        <v>2.0</v>
      </c>
      <c r="F74" s="35" t="s">
        <v>302</v>
      </c>
    </row>
    <row r="75" ht="15.75" customHeight="1">
      <c r="A75" s="35" t="s">
        <v>169</v>
      </c>
      <c r="B75" s="35">
        <v>450.0</v>
      </c>
      <c r="C75" s="35">
        <v>450.0</v>
      </c>
      <c r="D75" s="35">
        <v>1500.0</v>
      </c>
      <c r="E75" s="35">
        <v>6.0</v>
      </c>
      <c r="F75" s="35" t="s">
        <v>302</v>
      </c>
    </row>
    <row r="76" ht="15.75" customHeight="1">
      <c r="A76" s="35" t="s">
        <v>170</v>
      </c>
      <c r="B76" s="35">
        <v>450.0</v>
      </c>
      <c r="C76" s="35">
        <v>450.0</v>
      </c>
      <c r="D76" s="35">
        <v>1500.0</v>
      </c>
      <c r="E76" s="35">
        <v>5.0</v>
      </c>
      <c r="F76" s="35" t="s">
        <v>302</v>
      </c>
    </row>
    <row r="77" ht="15.75" customHeight="1">
      <c r="A77" s="35" t="s">
        <v>171</v>
      </c>
      <c r="B77" s="35">
        <v>20.0</v>
      </c>
      <c r="C77" s="35">
        <v>180.0</v>
      </c>
      <c r="D77" s="35">
        <v>500.0</v>
      </c>
      <c r="E77" s="35">
        <v>2.0</v>
      </c>
      <c r="F77" s="35" t="s">
        <v>303</v>
      </c>
    </row>
    <row r="78" ht="15.75" customHeight="1">
      <c r="A78" s="35" t="s">
        <v>172</v>
      </c>
      <c r="B78" s="35">
        <v>600.0</v>
      </c>
      <c r="C78" s="35">
        <v>600.0</v>
      </c>
      <c r="D78" s="35">
        <v>512.0</v>
      </c>
      <c r="E78" s="35">
        <v>60.0</v>
      </c>
      <c r="F78" s="35" t="s">
        <v>300</v>
      </c>
    </row>
    <row r="79" ht="15.75" customHeight="1">
      <c r="A79" s="35" t="s">
        <v>173</v>
      </c>
      <c r="B79" s="35">
        <v>375.0</v>
      </c>
      <c r="C79" s="35">
        <v>375.0</v>
      </c>
      <c r="D79" s="35">
        <v>720.0</v>
      </c>
      <c r="E79" s="35">
        <v>3.0</v>
      </c>
      <c r="F79" s="35" t="s">
        <v>299</v>
      </c>
    </row>
    <row r="80" ht="15.75" customHeight="1">
      <c r="A80" s="35" t="s">
        <v>174</v>
      </c>
      <c r="B80" s="35">
        <v>150.0</v>
      </c>
      <c r="C80" s="35">
        <v>150.0</v>
      </c>
      <c r="D80" s="35">
        <v>15.0</v>
      </c>
      <c r="E80" s="35">
        <v>3.0</v>
      </c>
      <c r="F80" s="35" t="s">
        <v>303</v>
      </c>
    </row>
    <row r="81" ht="15.75" customHeight="1">
      <c r="A81" s="35" t="s">
        <v>175</v>
      </c>
      <c r="B81" s="35">
        <v>20.0</v>
      </c>
      <c r="C81" s="35">
        <v>601.0</v>
      </c>
      <c r="D81" s="35">
        <v>70.0</v>
      </c>
      <c r="E81" s="35">
        <v>2.0</v>
      </c>
      <c r="F81" s="35" t="s">
        <v>305</v>
      </c>
    </row>
    <row r="82" ht="15.75" customHeight="1">
      <c r="A82" s="35" t="s">
        <v>176</v>
      </c>
      <c r="B82" s="35">
        <v>27.0</v>
      </c>
      <c r="C82" s="35">
        <v>953.0</v>
      </c>
      <c r="D82" s="35">
        <v>65.0</v>
      </c>
      <c r="E82" s="35">
        <v>2.0</v>
      </c>
      <c r="F82" s="35" t="s">
        <v>305</v>
      </c>
    </row>
    <row r="83" ht="15.75" customHeight="1">
      <c r="A83" s="35" t="s">
        <v>342</v>
      </c>
      <c r="B83" s="35">
        <v>1000.0</v>
      </c>
      <c r="C83" s="35">
        <v>8236.0</v>
      </c>
      <c r="D83" s="35">
        <v>1024.0</v>
      </c>
      <c r="E83" s="35">
        <v>3.0</v>
      </c>
      <c r="F83" s="35" t="s">
        <v>305</v>
      </c>
    </row>
    <row r="84" ht="15.75" customHeight="1">
      <c r="A84" s="35" t="s">
        <v>178</v>
      </c>
      <c r="B84" s="35">
        <v>613.0</v>
      </c>
      <c r="C84" s="35">
        <v>370.0</v>
      </c>
      <c r="D84" s="35">
        <v>235.0</v>
      </c>
      <c r="E84" s="35">
        <v>2.0</v>
      </c>
      <c r="F84" s="35" t="s">
        <v>302</v>
      </c>
    </row>
    <row r="85" ht="15.75" customHeight="1">
      <c r="A85" s="35" t="s">
        <v>179</v>
      </c>
      <c r="B85" s="35">
        <v>500.0</v>
      </c>
      <c r="C85" s="35">
        <v>625.0</v>
      </c>
      <c r="D85" s="35">
        <v>128.0</v>
      </c>
      <c r="E85" s="35">
        <v>15.0</v>
      </c>
      <c r="F85" s="35" t="s">
        <v>300</v>
      </c>
    </row>
    <row r="86" ht="15.75" customHeight="1">
      <c r="A86" s="35" t="s">
        <v>180</v>
      </c>
      <c r="B86" s="35">
        <v>25.0</v>
      </c>
      <c r="C86" s="35">
        <v>995.0</v>
      </c>
      <c r="D86" s="35">
        <v>398.0</v>
      </c>
      <c r="E86" s="35">
        <v>6.0</v>
      </c>
      <c r="F86" s="35" t="s">
        <v>300</v>
      </c>
    </row>
    <row r="87" ht="15.75" customHeight="1">
      <c r="A87" s="35" t="s">
        <v>181</v>
      </c>
      <c r="B87" s="35">
        <v>300.0</v>
      </c>
      <c r="C87" s="35">
        <v>300.0</v>
      </c>
      <c r="D87" s="35">
        <v>60.0</v>
      </c>
      <c r="E87" s="35">
        <v>6.0</v>
      </c>
      <c r="F87" s="35" t="s">
        <v>303</v>
      </c>
    </row>
    <row r="88" ht="15.75" customHeight="1">
      <c r="A88" s="35" t="s">
        <v>182</v>
      </c>
      <c r="B88" s="35">
        <v>40.0</v>
      </c>
      <c r="C88" s="35">
        <v>228.0</v>
      </c>
      <c r="D88" s="35">
        <v>277.0</v>
      </c>
      <c r="E88" s="35">
        <v>2.0</v>
      </c>
      <c r="F88" s="35" t="s">
        <v>311</v>
      </c>
    </row>
    <row r="89" ht="15.75" customHeight="1">
      <c r="A89" s="35" t="s">
        <v>183</v>
      </c>
      <c r="B89" s="35">
        <v>36.0</v>
      </c>
      <c r="C89" s="35">
        <v>130.0</v>
      </c>
      <c r="D89" s="35">
        <v>343.0</v>
      </c>
      <c r="E89" s="35">
        <v>2.0</v>
      </c>
      <c r="F89" s="35" t="s">
        <v>311</v>
      </c>
    </row>
    <row r="90" ht="15.75" customHeight="1">
      <c r="A90" s="35" t="s">
        <v>184</v>
      </c>
      <c r="B90" s="35">
        <v>100.0</v>
      </c>
      <c r="C90" s="35">
        <v>100.0</v>
      </c>
      <c r="D90" s="35">
        <v>275.0</v>
      </c>
      <c r="E90" s="35">
        <v>4.0</v>
      </c>
      <c r="F90" s="35" t="s">
        <v>305</v>
      </c>
    </row>
    <row r="91" ht="15.75" customHeight="1">
      <c r="A91" s="35" t="s">
        <v>185</v>
      </c>
      <c r="B91" s="35">
        <v>23.0</v>
      </c>
      <c r="C91" s="35">
        <v>1139.0</v>
      </c>
      <c r="D91" s="35">
        <v>82.0</v>
      </c>
      <c r="E91" s="35">
        <v>2.0</v>
      </c>
      <c r="F91" s="35" t="s">
        <v>307</v>
      </c>
    </row>
    <row r="92" ht="15.75" customHeight="1">
      <c r="A92" s="35" t="s">
        <v>186</v>
      </c>
      <c r="B92" s="35">
        <v>1000.0</v>
      </c>
      <c r="C92" s="35">
        <v>4000.0</v>
      </c>
      <c r="D92" s="35">
        <v>128.0</v>
      </c>
      <c r="E92" s="35">
        <v>4.0</v>
      </c>
      <c r="F92" s="35" t="s">
        <v>303</v>
      </c>
    </row>
    <row r="93" ht="15.75" customHeight="1">
      <c r="A93" s="35" t="s">
        <v>187</v>
      </c>
      <c r="B93" s="35">
        <v>36.0</v>
      </c>
      <c r="C93" s="35">
        <v>144.0</v>
      </c>
      <c r="D93" s="35">
        <v>150.0</v>
      </c>
      <c r="E93" s="35">
        <v>3.0</v>
      </c>
      <c r="F93" s="35" t="s">
        <v>303</v>
      </c>
    </row>
    <row r="94" ht="15.75" customHeight="1">
      <c r="A94" s="35" t="s">
        <v>188</v>
      </c>
      <c r="B94" s="35">
        <v>896.0</v>
      </c>
      <c r="C94" s="35">
        <v>3582.0</v>
      </c>
      <c r="D94" s="35">
        <v>945.0</v>
      </c>
      <c r="E94" s="35">
        <v>8.0</v>
      </c>
      <c r="F94" s="35" t="s">
        <v>311</v>
      </c>
    </row>
    <row r="95" ht="15.75" customHeight="1">
      <c r="A95" s="35" t="s">
        <v>189</v>
      </c>
      <c r="B95" s="35">
        <v>1000.0</v>
      </c>
      <c r="C95" s="35">
        <v>6164.0</v>
      </c>
      <c r="D95" s="35">
        <v>152.0</v>
      </c>
      <c r="E95" s="35">
        <v>2.0</v>
      </c>
      <c r="F95" s="35" t="s">
        <v>305</v>
      </c>
    </row>
    <row r="96" ht="15.75" customHeight="1">
      <c r="A96" s="35" t="s">
        <v>190</v>
      </c>
      <c r="B96" s="35">
        <v>57.0</v>
      </c>
      <c r="C96" s="35">
        <v>54.0</v>
      </c>
      <c r="D96" s="35">
        <v>234.0</v>
      </c>
      <c r="E96" s="35">
        <v>2.0</v>
      </c>
      <c r="F96" s="35" t="s">
        <v>302</v>
      </c>
    </row>
    <row r="97" ht="15.75" customHeight="1">
      <c r="A97" s="35" t="s">
        <v>191</v>
      </c>
      <c r="B97" s="35">
        <v>267.0</v>
      </c>
      <c r="C97" s="35">
        <v>638.0</v>
      </c>
      <c r="D97" s="35">
        <v>270.0</v>
      </c>
      <c r="E97" s="35">
        <v>25.0</v>
      </c>
      <c r="F97" s="35" t="s">
        <v>300</v>
      </c>
    </row>
    <row r="98" ht="15.75" customHeight="1">
      <c r="A98" s="35" t="s">
        <v>192</v>
      </c>
      <c r="B98" s="35">
        <v>181.0</v>
      </c>
      <c r="C98" s="35">
        <v>77.0</v>
      </c>
      <c r="D98" s="35">
        <v>900.0</v>
      </c>
      <c r="E98" s="35">
        <v>5.0</v>
      </c>
      <c r="F98" s="35" t="s">
        <v>311</v>
      </c>
    </row>
    <row r="99" ht="15.75" customHeight="1">
      <c r="A99" s="37" t="s">
        <v>193</v>
      </c>
      <c r="B99" s="37">
        <v>181.0</v>
      </c>
      <c r="C99" s="37">
        <v>77.0</v>
      </c>
      <c r="D99" s="37">
        <v>900.0</v>
      </c>
      <c r="E99" s="37">
        <v>2.0</v>
      </c>
      <c r="F99" s="37" t="s">
        <v>311</v>
      </c>
    </row>
    <row r="100" ht="15.75" customHeight="1">
      <c r="A100" s="35" t="s">
        <v>194</v>
      </c>
      <c r="B100" s="35">
        <v>300.0</v>
      </c>
      <c r="C100" s="35">
        <v>3000.0</v>
      </c>
      <c r="D100" s="35">
        <v>426.0</v>
      </c>
      <c r="E100" s="35">
        <v>2.0</v>
      </c>
      <c r="F100" s="35" t="s">
        <v>300</v>
      </c>
    </row>
    <row r="101" ht="15.75" customHeight="1">
      <c r="A101" s="35"/>
      <c r="B101" s="35"/>
      <c r="C101" s="35"/>
      <c r="D101" s="35"/>
      <c r="E101" s="35"/>
      <c r="F101" s="35"/>
    </row>
    <row r="102" ht="15.75" customHeight="1">
      <c r="A102" s="35"/>
      <c r="B102" s="35"/>
      <c r="C102" s="35"/>
      <c r="D102" s="35"/>
      <c r="E102" s="35"/>
      <c r="F102" s="35"/>
    </row>
    <row r="103" ht="15.75" customHeight="1">
      <c r="A103" s="35"/>
      <c r="B103" s="35"/>
      <c r="C103" s="35"/>
      <c r="D103" s="35"/>
      <c r="E103" s="35"/>
      <c r="F103" s="35"/>
    </row>
    <row r="104" ht="15.75" customHeight="1">
      <c r="A104" s="35"/>
      <c r="B104" s="35"/>
      <c r="C104" s="35"/>
      <c r="D104" s="35"/>
      <c r="E104" s="35"/>
      <c r="F104" s="35"/>
    </row>
    <row r="105" ht="15.75" customHeight="1"/>
    <row r="106" ht="15.75" customHeight="1">
      <c r="A106" s="35"/>
      <c r="B106" s="35"/>
      <c r="C106" s="35"/>
      <c r="D106" s="35"/>
      <c r="E106" s="35"/>
      <c r="F106" s="35"/>
    </row>
    <row r="107" ht="15.75" customHeight="1">
      <c r="A107" s="35"/>
      <c r="B107" s="35"/>
      <c r="C107" s="35"/>
      <c r="D107" s="35"/>
      <c r="E107" s="35"/>
      <c r="F107" s="35"/>
    </row>
    <row r="108" ht="15.75" customHeight="1">
      <c r="A108" s="35"/>
      <c r="B108" s="35"/>
      <c r="C108" s="35"/>
      <c r="D108" s="35"/>
      <c r="E108" s="35"/>
      <c r="F108" s="35"/>
    </row>
    <row r="109" ht="15.75" customHeight="1">
      <c r="A109" s="35"/>
      <c r="B109" s="35"/>
      <c r="C109" s="35"/>
      <c r="D109" s="35"/>
      <c r="E109" s="35"/>
      <c r="F109" s="35"/>
    </row>
    <row r="110" ht="15.75" customHeight="1">
      <c r="A110" s="35"/>
      <c r="B110" s="35"/>
      <c r="C110" s="35"/>
      <c r="D110" s="35"/>
      <c r="E110" s="35"/>
      <c r="F110" s="35"/>
    </row>
    <row r="111" ht="15.75" customHeight="1">
      <c r="A111" s="35"/>
      <c r="B111" s="35"/>
      <c r="C111" s="35"/>
      <c r="D111" s="35"/>
      <c r="E111" s="35"/>
      <c r="F111" s="35"/>
    </row>
    <row r="112" ht="15.75" customHeight="1">
      <c r="A112" s="35"/>
      <c r="B112" s="35"/>
      <c r="C112" s="35"/>
      <c r="D112" s="35"/>
      <c r="E112" s="35"/>
      <c r="F112" s="35"/>
    </row>
    <row r="113" ht="15.75" customHeight="1">
      <c r="A113" s="35"/>
      <c r="B113" s="35"/>
      <c r="C113" s="35"/>
      <c r="D113" s="35"/>
      <c r="E113" s="35"/>
      <c r="F113" s="35"/>
    </row>
    <row r="114" ht="15.75" customHeight="1">
      <c r="A114" s="35"/>
      <c r="B114" s="35"/>
      <c r="C114" s="35"/>
      <c r="D114" s="35"/>
      <c r="E114" s="35"/>
      <c r="F114" s="35"/>
    </row>
    <row r="115" ht="15.75" customHeight="1">
      <c r="A115" s="35"/>
      <c r="B115" s="35"/>
      <c r="C115" s="35"/>
      <c r="D115" s="35"/>
      <c r="E115" s="35"/>
      <c r="F115" s="35"/>
    </row>
    <row r="116" ht="15.75" customHeight="1">
      <c r="A116" s="35"/>
      <c r="B116" s="35"/>
      <c r="C116" s="35"/>
      <c r="D116" s="35"/>
      <c r="E116" s="35"/>
      <c r="F116" s="35"/>
    </row>
    <row r="117" ht="15.75" customHeight="1">
      <c r="A117" s="35"/>
      <c r="B117" s="35"/>
      <c r="C117" s="35"/>
      <c r="D117" s="35"/>
      <c r="E117" s="35"/>
      <c r="F117" s="35"/>
    </row>
    <row r="118" ht="15.75" customHeight="1">
      <c r="A118" s="35"/>
      <c r="B118" s="35"/>
      <c r="C118" s="35"/>
      <c r="D118" s="35"/>
      <c r="E118" s="35"/>
      <c r="F118" s="35"/>
    </row>
    <row r="119" ht="15.75" customHeight="1">
      <c r="A119" s="35"/>
      <c r="B119" s="35"/>
      <c r="C119" s="35"/>
      <c r="D119" s="35"/>
      <c r="E119" s="35"/>
      <c r="F119" s="35"/>
    </row>
    <row r="120" ht="15.75" customHeight="1">
      <c r="A120" s="35"/>
      <c r="B120" s="35"/>
      <c r="C120" s="35"/>
      <c r="D120" s="35"/>
      <c r="E120" s="35"/>
      <c r="F120" s="35"/>
    </row>
    <row r="121" ht="15.75" customHeight="1">
      <c r="A121" s="35"/>
      <c r="B121" s="35"/>
      <c r="C121" s="35"/>
      <c r="D121" s="35"/>
      <c r="E121" s="35"/>
      <c r="F121" s="35"/>
    </row>
    <row r="122" ht="15.75" customHeight="1">
      <c r="A122" s="35"/>
      <c r="B122" s="35"/>
      <c r="C122" s="35"/>
      <c r="D122" s="35"/>
      <c r="E122" s="35"/>
      <c r="F122" s="35"/>
    </row>
    <row r="123" ht="15.75" customHeight="1">
      <c r="A123" s="35"/>
      <c r="B123" s="35"/>
      <c r="C123" s="35"/>
      <c r="D123" s="35"/>
      <c r="E123" s="35"/>
      <c r="F123" s="35"/>
    </row>
    <row r="124" ht="15.75" customHeight="1">
      <c r="A124" s="35"/>
      <c r="B124" s="35"/>
      <c r="C124" s="35"/>
      <c r="D124" s="35"/>
      <c r="E124" s="35"/>
      <c r="F124" s="35"/>
    </row>
    <row r="125" ht="15.75" customHeight="1">
      <c r="A125" s="35"/>
      <c r="B125" s="35"/>
      <c r="C125" s="35"/>
      <c r="D125" s="35"/>
      <c r="E125" s="35"/>
      <c r="F125" s="35"/>
    </row>
    <row r="126" ht="15.75" customHeight="1">
      <c r="A126" s="35"/>
      <c r="B126" s="35"/>
      <c r="C126" s="35"/>
      <c r="D126" s="35"/>
      <c r="E126" s="35"/>
      <c r="F126" s="35"/>
    </row>
    <row r="127" ht="15.75" customHeight="1">
      <c r="A127" s="35"/>
      <c r="B127" s="35"/>
      <c r="C127" s="35"/>
      <c r="D127" s="35"/>
      <c r="E127" s="35"/>
      <c r="F127" s="35"/>
    </row>
    <row r="128" ht="15.75" customHeight="1">
      <c r="A128" s="35"/>
      <c r="B128" s="35"/>
      <c r="C128" s="35"/>
      <c r="D128" s="35"/>
      <c r="E128" s="35"/>
      <c r="F128" s="35"/>
    </row>
    <row r="129" ht="15.75" customHeight="1">
      <c r="A129" s="35"/>
      <c r="B129" s="35"/>
      <c r="C129" s="35"/>
      <c r="D129" s="35"/>
      <c r="E129" s="35"/>
      <c r="F129" s="35"/>
    </row>
    <row r="130" ht="15.75" customHeight="1">
      <c r="A130" s="35"/>
      <c r="B130" s="35"/>
      <c r="C130" s="35"/>
      <c r="D130" s="35"/>
      <c r="E130" s="35"/>
      <c r="F130" s="35"/>
    </row>
    <row r="131" ht="15.75" customHeight="1">
      <c r="A131" s="35"/>
      <c r="B131" s="35"/>
      <c r="C131" s="35"/>
      <c r="D131" s="35"/>
      <c r="E131" s="35"/>
      <c r="F131" s="35"/>
    </row>
    <row r="132" ht="15.75" customHeight="1">
      <c r="A132" s="35"/>
      <c r="B132" s="35"/>
      <c r="C132" s="35"/>
      <c r="D132" s="35"/>
      <c r="E132" s="35"/>
      <c r="F132" s="35"/>
    </row>
    <row r="133" ht="15.75" customHeight="1">
      <c r="A133" s="35"/>
      <c r="B133" s="35"/>
      <c r="C133" s="35"/>
      <c r="D133" s="35"/>
      <c r="E133" s="35"/>
      <c r="F133" s="35"/>
    </row>
    <row r="134" ht="15.75" customHeight="1">
      <c r="A134" s="35"/>
      <c r="B134" s="35"/>
      <c r="C134" s="35"/>
      <c r="D134" s="35"/>
      <c r="E134" s="35"/>
      <c r="F134" s="35"/>
    </row>
    <row r="135" ht="15.75" customHeight="1">
      <c r="A135" s="35"/>
      <c r="B135" s="35"/>
      <c r="C135" s="35"/>
      <c r="D135" s="35"/>
      <c r="E135" s="35"/>
      <c r="F135" s="35"/>
    </row>
    <row r="136" ht="15.75" customHeight="1">
      <c r="A136" s="35"/>
      <c r="B136" s="35"/>
      <c r="C136" s="35"/>
      <c r="D136" s="35"/>
      <c r="E136" s="35"/>
      <c r="F136" s="35"/>
    </row>
    <row r="137" ht="15.75" customHeight="1">
      <c r="A137" s="35"/>
      <c r="B137" s="35"/>
      <c r="C137" s="35"/>
      <c r="D137" s="35"/>
      <c r="E137" s="35"/>
      <c r="F137" s="35"/>
    </row>
    <row r="138" ht="15.75" customHeight="1">
      <c r="A138" s="35"/>
      <c r="B138" s="35"/>
      <c r="C138" s="35"/>
      <c r="D138" s="35"/>
      <c r="E138" s="35"/>
      <c r="F138" s="35"/>
    </row>
    <row r="139" ht="15.75" customHeight="1">
      <c r="A139" s="35"/>
      <c r="B139" s="35"/>
      <c r="C139" s="35"/>
      <c r="D139" s="35"/>
      <c r="E139" s="35"/>
      <c r="F139" s="35"/>
    </row>
    <row r="140" ht="15.75" customHeight="1">
      <c r="A140" s="35"/>
      <c r="B140" s="35"/>
      <c r="C140" s="35"/>
      <c r="D140" s="35"/>
      <c r="E140" s="35"/>
      <c r="F140" s="35"/>
    </row>
    <row r="141" ht="15.75" customHeight="1">
      <c r="A141" s="35"/>
      <c r="B141" s="35"/>
      <c r="C141" s="35"/>
      <c r="D141" s="35"/>
      <c r="E141" s="35"/>
      <c r="F141" s="35"/>
    </row>
    <row r="142" ht="15.75" customHeight="1">
      <c r="A142" s="35"/>
      <c r="B142" s="35"/>
      <c r="C142" s="35"/>
      <c r="D142" s="35"/>
      <c r="E142" s="35"/>
      <c r="F142" s="35"/>
    </row>
    <row r="143" ht="15.75" customHeight="1">
      <c r="A143" s="35"/>
      <c r="B143" s="35"/>
      <c r="C143" s="35"/>
      <c r="D143" s="35"/>
      <c r="E143" s="35"/>
      <c r="F143" s="35"/>
    </row>
    <row r="144" ht="15.75" customHeight="1">
      <c r="A144" s="35"/>
      <c r="B144" s="35"/>
      <c r="C144" s="35"/>
      <c r="D144" s="35"/>
      <c r="E144" s="35"/>
      <c r="F144" s="35"/>
    </row>
    <row r="145" ht="15.75" customHeight="1">
      <c r="A145" s="35"/>
      <c r="B145" s="35"/>
      <c r="C145" s="35"/>
      <c r="D145" s="35"/>
      <c r="E145" s="35"/>
      <c r="F145" s="35"/>
    </row>
    <row r="146" ht="15.75" customHeight="1">
      <c r="A146" s="35"/>
      <c r="B146" s="35"/>
      <c r="C146" s="35"/>
      <c r="D146" s="35"/>
      <c r="E146" s="35"/>
      <c r="F146" s="35"/>
    </row>
    <row r="147" ht="15.75" customHeight="1">
      <c r="A147" s="35"/>
      <c r="B147" s="35"/>
      <c r="C147" s="35"/>
      <c r="D147" s="35"/>
      <c r="E147" s="35"/>
      <c r="F147" s="35"/>
    </row>
    <row r="148" ht="15.75" customHeight="1">
      <c r="A148" s="35"/>
      <c r="B148" s="35"/>
      <c r="C148" s="35"/>
      <c r="D148" s="35"/>
      <c r="E148" s="35"/>
      <c r="F148" s="35"/>
    </row>
    <row r="149" ht="15.75" customHeight="1">
      <c r="A149" s="35"/>
      <c r="B149" s="35"/>
      <c r="C149" s="35"/>
      <c r="D149" s="35"/>
      <c r="E149" s="35"/>
      <c r="F149" s="35"/>
    </row>
    <row r="150" ht="15.75" customHeight="1">
      <c r="A150" s="35"/>
      <c r="B150" s="35"/>
      <c r="C150" s="35"/>
      <c r="D150" s="35"/>
      <c r="E150" s="35"/>
      <c r="F150" s="35"/>
    </row>
    <row r="151" ht="15.75" customHeight="1">
      <c r="A151" s="35"/>
      <c r="B151" s="35"/>
      <c r="C151" s="35"/>
      <c r="D151" s="35"/>
      <c r="E151" s="35"/>
      <c r="F151" s="35"/>
    </row>
    <row r="152" ht="15.75" customHeight="1">
      <c r="A152" s="35"/>
      <c r="B152" s="35"/>
      <c r="C152" s="35"/>
      <c r="D152" s="35"/>
      <c r="E152" s="35"/>
      <c r="F152" s="35"/>
    </row>
    <row r="153" ht="15.75" customHeight="1">
      <c r="A153" s="35"/>
      <c r="B153" s="35"/>
      <c r="C153" s="35"/>
      <c r="D153" s="35"/>
      <c r="E153" s="35"/>
      <c r="F153" s="35"/>
    </row>
    <row r="154" ht="15.75" customHeight="1">
      <c r="A154" s="35"/>
      <c r="B154" s="35"/>
      <c r="C154" s="35"/>
      <c r="D154" s="35"/>
      <c r="E154" s="35"/>
      <c r="F154" s="35"/>
    </row>
    <row r="155" ht="15.75" customHeight="1">
      <c r="A155" s="35"/>
      <c r="B155" s="35"/>
      <c r="C155" s="35"/>
      <c r="D155" s="35"/>
      <c r="E155" s="35"/>
      <c r="F155" s="35"/>
    </row>
    <row r="156" ht="15.75" customHeight="1">
      <c r="A156" s="35"/>
      <c r="B156" s="35"/>
      <c r="C156" s="35"/>
      <c r="D156" s="35"/>
      <c r="E156" s="35"/>
      <c r="F156" s="35"/>
    </row>
    <row r="157" ht="15.75" customHeight="1">
      <c r="A157" s="35"/>
      <c r="B157" s="35"/>
      <c r="C157" s="35"/>
      <c r="D157" s="35"/>
      <c r="E157" s="35"/>
      <c r="F157" s="35"/>
    </row>
    <row r="158" ht="15.75" customHeight="1">
      <c r="A158" s="35"/>
      <c r="B158" s="35"/>
      <c r="C158" s="35"/>
      <c r="D158" s="35"/>
      <c r="E158" s="35"/>
      <c r="F158" s="35"/>
    </row>
    <row r="159" ht="15.75" customHeight="1">
      <c r="A159" s="35"/>
      <c r="B159" s="35"/>
      <c r="C159" s="35"/>
      <c r="D159" s="35"/>
      <c r="E159" s="35"/>
      <c r="F159" s="35"/>
    </row>
    <row r="160" ht="15.75" customHeight="1">
      <c r="A160" s="35"/>
      <c r="B160" s="35"/>
      <c r="C160" s="35"/>
      <c r="D160" s="35"/>
      <c r="E160" s="35"/>
      <c r="F160" s="35"/>
    </row>
    <row r="161" ht="15.75" customHeight="1">
      <c r="A161" s="35"/>
      <c r="B161" s="35"/>
      <c r="C161" s="35"/>
      <c r="D161" s="35"/>
      <c r="E161" s="35"/>
      <c r="F161" s="35"/>
    </row>
    <row r="162" ht="15.75" customHeight="1">
      <c r="A162" s="35"/>
      <c r="B162" s="35"/>
      <c r="C162" s="35"/>
      <c r="D162" s="35"/>
      <c r="E162" s="35"/>
      <c r="F162" s="35"/>
    </row>
    <row r="163" ht="15.75" customHeight="1">
      <c r="A163" s="35"/>
      <c r="B163" s="35"/>
      <c r="C163" s="35"/>
      <c r="D163" s="35"/>
      <c r="E163" s="35"/>
      <c r="F163" s="35"/>
    </row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>
      <c r="A169" s="35"/>
      <c r="B169" s="35"/>
      <c r="C169" s="35"/>
      <c r="D169" s="35"/>
      <c r="E169" s="35"/>
      <c r="F169" s="35"/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F$100"/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3.88"/>
    <col customWidth="1" min="2" max="4" width="13.75"/>
    <col customWidth="1" min="7" max="7" width="13.38"/>
    <col customWidth="1" min="15" max="15" width="13.88"/>
    <col customWidth="1" min="17" max="17" width="13.75"/>
    <col customWidth="1" min="19" max="19" width="14.0"/>
    <col customWidth="1" min="23" max="23" width="15.25"/>
    <col customWidth="1" min="24" max="24" width="13.88"/>
    <col customWidth="1" min="27" max="27" width="13.38"/>
    <col customWidth="1" min="31" max="31" width="14.88"/>
    <col customWidth="1" min="33" max="33" width="14.75"/>
  </cols>
  <sheetData>
    <row r="1" ht="15.75" customHeight="1">
      <c r="A1" s="1" t="s">
        <v>343</v>
      </c>
      <c r="B1" s="4" t="s">
        <v>344</v>
      </c>
      <c r="C1" s="1" t="s">
        <v>345</v>
      </c>
      <c r="D1" s="4" t="s">
        <v>346</v>
      </c>
      <c r="E1" s="1" t="s">
        <v>347</v>
      </c>
      <c r="F1" s="5" t="s">
        <v>348</v>
      </c>
      <c r="G1" s="1" t="s">
        <v>349</v>
      </c>
      <c r="H1" s="5" t="s">
        <v>350</v>
      </c>
      <c r="I1" s="1" t="s">
        <v>351</v>
      </c>
      <c r="J1" s="5" t="s">
        <v>352</v>
      </c>
      <c r="K1" s="1" t="s">
        <v>353</v>
      </c>
      <c r="L1" s="5" t="s">
        <v>354</v>
      </c>
      <c r="M1" s="1" t="s">
        <v>355</v>
      </c>
      <c r="N1" s="5" t="s">
        <v>356</v>
      </c>
      <c r="O1" s="1" t="s">
        <v>357</v>
      </c>
      <c r="P1" s="5" t="s">
        <v>358</v>
      </c>
      <c r="Q1" s="1" t="s">
        <v>359</v>
      </c>
      <c r="R1" s="5" t="s">
        <v>360</v>
      </c>
      <c r="S1" s="1" t="s">
        <v>361</v>
      </c>
      <c r="T1" s="5" t="s">
        <v>362</v>
      </c>
      <c r="U1" s="1" t="s">
        <v>363</v>
      </c>
      <c r="V1" s="5" t="s">
        <v>364</v>
      </c>
      <c r="W1" s="1" t="s">
        <v>365</v>
      </c>
      <c r="X1" s="5" t="s">
        <v>366</v>
      </c>
      <c r="Y1" s="1" t="s">
        <v>367</v>
      </c>
      <c r="Z1" s="5" t="s">
        <v>368</v>
      </c>
      <c r="AA1" s="1" t="s">
        <v>369</v>
      </c>
      <c r="AB1" s="5" t="s">
        <v>370</v>
      </c>
      <c r="AC1" s="1" t="s">
        <v>371</v>
      </c>
      <c r="AD1" s="5" t="s">
        <v>372</v>
      </c>
      <c r="AE1" s="1" t="s">
        <v>373</v>
      </c>
      <c r="AF1" s="5" t="s">
        <v>374</v>
      </c>
      <c r="AG1" s="1" t="s">
        <v>375</v>
      </c>
      <c r="AH1" s="5" t="s">
        <v>376</v>
      </c>
      <c r="AI1" s="1" t="s">
        <v>377</v>
      </c>
      <c r="AJ1" s="5" t="s">
        <v>378</v>
      </c>
      <c r="AK1" s="1" t="s">
        <v>379</v>
      </c>
      <c r="AL1" s="5" t="s">
        <v>380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ht="15.75" customHeight="1">
      <c r="A2" s="9">
        <v>2019.3406</v>
      </c>
      <c r="B2" s="9">
        <v>284.016</v>
      </c>
      <c r="C2" s="9">
        <v>2082.2806</v>
      </c>
      <c r="D2" s="9">
        <v>185.6705</v>
      </c>
      <c r="E2" s="9">
        <v>1161.332</v>
      </c>
      <c r="F2" s="9">
        <v>284.3597</v>
      </c>
      <c r="G2" s="9">
        <v>2181.844</v>
      </c>
      <c r="H2" s="9">
        <v>348.6644</v>
      </c>
      <c r="I2" s="9">
        <v>1739.409</v>
      </c>
      <c r="J2" s="9">
        <v>354.2758</v>
      </c>
      <c r="K2" s="9">
        <v>1874.886</v>
      </c>
      <c r="L2" s="9">
        <v>313.2165</v>
      </c>
      <c r="M2" s="9">
        <v>1580.233</v>
      </c>
      <c r="N2" s="9">
        <v>292.9208</v>
      </c>
      <c r="O2" s="9">
        <v>2139.316</v>
      </c>
      <c r="P2" s="9">
        <v>335.1028</v>
      </c>
      <c r="Q2" s="9">
        <v>5402.743</v>
      </c>
      <c r="R2" s="9">
        <v>319.7355</v>
      </c>
      <c r="S2" s="9">
        <v>1949.622</v>
      </c>
      <c r="T2" s="9">
        <v>308.6753</v>
      </c>
      <c r="U2" s="9">
        <v>1111.451</v>
      </c>
      <c r="V2" s="9">
        <v>235.2963</v>
      </c>
      <c r="W2" s="9">
        <v>1765.734</v>
      </c>
      <c r="X2" s="9">
        <v>269.3135</v>
      </c>
      <c r="Y2" s="9">
        <v>2079.114</v>
      </c>
      <c r="Z2" s="9">
        <v>327.9931</v>
      </c>
      <c r="AA2" s="9">
        <v>2109.026</v>
      </c>
      <c r="AB2" s="9">
        <v>362.6836</v>
      </c>
      <c r="AC2" s="9">
        <v>1535.794</v>
      </c>
      <c r="AD2" s="9">
        <v>244.721</v>
      </c>
      <c r="AE2" s="9">
        <v>1774.722</v>
      </c>
      <c r="AF2" s="9">
        <v>354.5814</v>
      </c>
      <c r="AG2" s="9">
        <v>2013.163</v>
      </c>
      <c r="AH2" s="9">
        <v>287.2946</v>
      </c>
      <c r="AI2" s="9">
        <v>1426.481</v>
      </c>
      <c r="AJ2" s="9">
        <v>259.3795</v>
      </c>
      <c r="AK2" s="10" t="s">
        <v>85</v>
      </c>
      <c r="AL2" s="9">
        <v>27.04232</v>
      </c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</row>
    <row r="3" ht="15.75" customHeight="1">
      <c r="A3" s="9">
        <v>2811.7673</v>
      </c>
      <c r="B3" s="9">
        <v>954.7663</v>
      </c>
      <c r="C3" s="9">
        <v>3940.6028</v>
      </c>
      <c r="D3" s="9">
        <v>1529.298</v>
      </c>
      <c r="E3" s="9">
        <v>2385.259</v>
      </c>
      <c r="F3" s="9">
        <v>793.0582</v>
      </c>
      <c r="G3" s="9">
        <v>2522.378</v>
      </c>
      <c r="H3" s="9">
        <v>805.7612</v>
      </c>
      <c r="I3" s="9">
        <v>4180.148</v>
      </c>
      <c r="J3" s="9">
        <v>923.9893</v>
      </c>
      <c r="K3" s="9">
        <v>3401.633</v>
      </c>
      <c r="L3" s="9">
        <v>756.2864</v>
      </c>
      <c r="M3" s="9">
        <v>3127.216</v>
      </c>
      <c r="N3" s="9">
        <v>923.6486</v>
      </c>
      <c r="O3" s="9">
        <v>4441.614</v>
      </c>
      <c r="P3" s="9">
        <v>844.8412</v>
      </c>
      <c r="Q3" s="9">
        <v>19639.82</v>
      </c>
      <c r="R3" s="9">
        <v>862.6476</v>
      </c>
      <c r="S3" s="9">
        <v>4305.64</v>
      </c>
      <c r="T3" s="9">
        <v>855.1071</v>
      </c>
      <c r="U3" s="9">
        <v>2135.773</v>
      </c>
      <c r="V3" s="9">
        <v>734.2629</v>
      </c>
      <c r="W3" s="9">
        <v>3121.398</v>
      </c>
      <c r="X3" s="9">
        <v>819.125</v>
      </c>
      <c r="Y3" s="9">
        <v>4433.005</v>
      </c>
      <c r="Z3" s="9">
        <v>816.1756</v>
      </c>
      <c r="AA3" s="9">
        <v>4283.983</v>
      </c>
      <c r="AB3" s="9">
        <v>780.2768</v>
      </c>
      <c r="AC3" s="9">
        <v>3088.73</v>
      </c>
      <c r="AD3" s="9">
        <v>733.1798</v>
      </c>
      <c r="AE3" s="9">
        <v>3030.042</v>
      </c>
      <c r="AF3" s="9">
        <v>862.3448</v>
      </c>
      <c r="AG3" s="9">
        <v>3518.829</v>
      </c>
      <c r="AH3" s="9">
        <v>795.6002</v>
      </c>
      <c r="AI3" s="9">
        <v>3699.55</v>
      </c>
      <c r="AJ3" s="9">
        <v>700.7023</v>
      </c>
      <c r="AK3" s="10" t="s">
        <v>85</v>
      </c>
      <c r="AL3" s="9">
        <v>64.09943</v>
      </c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</row>
    <row r="4" ht="15.75" customHeight="1">
      <c r="A4" s="9">
        <v>1476.7207</v>
      </c>
      <c r="B4" s="9">
        <v>265.2491</v>
      </c>
      <c r="C4" s="9">
        <v>1418.3091</v>
      </c>
      <c r="D4" s="9">
        <v>199.1528</v>
      </c>
      <c r="E4" s="9">
        <v>927.2114</v>
      </c>
      <c r="F4" s="9">
        <v>201.3312</v>
      </c>
      <c r="G4" s="9">
        <v>1328.285</v>
      </c>
      <c r="H4" s="9">
        <v>194.0089</v>
      </c>
      <c r="I4" s="9">
        <v>1637.058</v>
      </c>
      <c r="J4" s="9">
        <v>230.2137</v>
      </c>
      <c r="K4" s="9">
        <v>1418.366</v>
      </c>
      <c r="L4" s="9">
        <v>200.1911</v>
      </c>
      <c r="M4" s="9">
        <v>1478.484</v>
      </c>
      <c r="N4" s="9">
        <v>202.1639</v>
      </c>
      <c r="O4" s="9">
        <v>1320.191</v>
      </c>
      <c r="P4" s="9">
        <v>186.5607</v>
      </c>
      <c r="Q4" s="9">
        <v>1445.088</v>
      </c>
      <c r="R4" s="9">
        <v>193.1739</v>
      </c>
      <c r="S4" s="9">
        <v>1298.358</v>
      </c>
      <c r="T4" s="9">
        <v>240.2251</v>
      </c>
      <c r="U4" s="9">
        <v>923.776</v>
      </c>
      <c r="V4" s="9">
        <v>203.5087</v>
      </c>
      <c r="W4" s="9">
        <v>1804.502</v>
      </c>
      <c r="X4" s="9">
        <v>207.1952</v>
      </c>
      <c r="Y4" s="9">
        <v>1714.229</v>
      </c>
      <c r="Z4" s="9">
        <v>252.3226</v>
      </c>
      <c r="AA4" s="1" t="s">
        <v>85</v>
      </c>
      <c r="AB4" s="9" t="s">
        <v>85</v>
      </c>
      <c r="AC4" s="9">
        <v>1403.944</v>
      </c>
      <c r="AD4" s="9">
        <v>195.598</v>
      </c>
      <c r="AE4" s="9">
        <v>1689.554</v>
      </c>
      <c r="AF4" s="9">
        <v>247.9079</v>
      </c>
      <c r="AG4" s="9">
        <v>1383.474</v>
      </c>
      <c r="AH4" s="9">
        <v>166.6402</v>
      </c>
      <c r="AI4" s="9">
        <v>1861.038</v>
      </c>
      <c r="AJ4" s="9">
        <v>210.2085</v>
      </c>
      <c r="AK4" s="9">
        <v>194.603</v>
      </c>
      <c r="AL4" s="9">
        <v>20.41848</v>
      </c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</row>
    <row r="5" ht="15.75" customHeight="1">
      <c r="A5" s="9">
        <v>735.00151</v>
      </c>
      <c r="B5" s="9">
        <v>235.282</v>
      </c>
      <c r="C5" s="9">
        <v>844.7818</v>
      </c>
      <c r="D5" s="9">
        <v>183.8921</v>
      </c>
      <c r="E5" s="9">
        <v>565.9252</v>
      </c>
      <c r="F5" s="9">
        <v>183.7851</v>
      </c>
      <c r="G5" s="9">
        <v>1052.535</v>
      </c>
      <c r="H5" s="9">
        <v>184.4182</v>
      </c>
      <c r="I5" s="9">
        <v>1055.027</v>
      </c>
      <c r="J5" s="9">
        <v>157.3403</v>
      </c>
      <c r="K5" s="9">
        <v>928.0505</v>
      </c>
      <c r="L5" s="9">
        <v>171.5017</v>
      </c>
      <c r="M5" s="9">
        <v>964.1143</v>
      </c>
      <c r="N5" s="9">
        <v>223.895</v>
      </c>
      <c r="O5" s="9">
        <v>897.6096</v>
      </c>
      <c r="P5" s="9">
        <v>173.2828</v>
      </c>
      <c r="Q5" s="9">
        <v>893.4343</v>
      </c>
      <c r="R5" s="9">
        <v>226.044</v>
      </c>
      <c r="S5" s="9">
        <v>833.1022</v>
      </c>
      <c r="T5" s="9">
        <v>189.4157</v>
      </c>
      <c r="U5" s="9">
        <v>696.2549</v>
      </c>
      <c r="V5" s="9">
        <v>187.324</v>
      </c>
      <c r="W5" s="9">
        <v>1077.281</v>
      </c>
      <c r="X5" s="9">
        <v>171.7986</v>
      </c>
      <c r="Y5" s="9">
        <v>1087.176</v>
      </c>
      <c r="Z5" s="9">
        <v>148.8792</v>
      </c>
      <c r="AA5" s="9">
        <v>824.1305</v>
      </c>
      <c r="AB5" s="9">
        <v>186.0346</v>
      </c>
      <c r="AC5" s="9">
        <v>1201.975</v>
      </c>
      <c r="AD5" s="9">
        <v>151.0411</v>
      </c>
      <c r="AE5" s="9">
        <v>989.392</v>
      </c>
      <c r="AF5" s="9">
        <v>153.1192</v>
      </c>
      <c r="AG5" s="9">
        <v>1265.297</v>
      </c>
      <c r="AH5" s="9">
        <v>171.6638</v>
      </c>
      <c r="AI5" s="9">
        <v>1413.413</v>
      </c>
      <c r="AJ5" s="9">
        <v>198.2331</v>
      </c>
      <c r="AK5" s="9">
        <v>194.3997</v>
      </c>
      <c r="AL5" s="9">
        <v>21.11709</v>
      </c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</row>
    <row r="6" ht="15.75" customHeight="1">
      <c r="A6" s="9">
        <v>615.95111</v>
      </c>
      <c r="B6" s="9">
        <v>180.0846</v>
      </c>
      <c r="C6" s="9">
        <v>1861.8081</v>
      </c>
      <c r="D6" s="38">
        <v>159.9204</v>
      </c>
      <c r="E6" s="9">
        <v>1435.452</v>
      </c>
      <c r="F6" s="9">
        <v>194.0766</v>
      </c>
      <c r="G6" s="9">
        <v>1217.087</v>
      </c>
      <c r="H6" s="9">
        <v>211.8804</v>
      </c>
      <c r="I6" s="9">
        <v>902.0315</v>
      </c>
      <c r="J6" s="9">
        <v>212.6034</v>
      </c>
      <c r="K6" s="9">
        <v>761.8149</v>
      </c>
      <c r="L6" s="9">
        <v>197.5162</v>
      </c>
      <c r="M6" s="9">
        <v>1891.992</v>
      </c>
      <c r="N6" s="9">
        <v>164.3931</v>
      </c>
      <c r="O6" s="9">
        <v>1153.332</v>
      </c>
      <c r="P6" s="9">
        <v>240.6037</v>
      </c>
      <c r="Q6" s="9">
        <v>514.8587</v>
      </c>
      <c r="R6" s="9">
        <v>212.2472</v>
      </c>
      <c r="S6" s="9">
        <v>663.0652</v>
      </c>
      <c r="T6" s="9">
        <v>177.352</v>
      </c>
      <c r="U6" s="9">
        <v>615.8511</v>
      </c>
      <c r="V6" s="9">
        <v>190.9163</v>
      </c>
      <c r="W6" s="9">
        <v>850.5925</v>
      </c>
      <c r="X6" s="9">
        <v>139.7343</v>
      </c>
      <c r="Y6" s="9">
        <v>1010.675</v>
      </c>
      <c r="Z6" s="9">
        <v>251.7681</v>
      </c>
      <c r="AA6" s="9">
        <v>743.6735</v>
      </c>
      <c r="AB6" s="9">
        <v>159.2239</v>
      </c>
      <c r="AC6" s="9">
        <v>1252.121</v>
      </c>
      <c r="AD6" s="9">
        <v>154.8268</v>
      </c>
      <c r="AE6" s="9">
        <v>1093.221</v>
      </c>
      <c r="AF6" s="9">
        <v>192.102</v>
      </c>
      <c r="AG6" s="9">
        <v>956.6023</v>
      </c>
      <c r="AH6" s="9">
        <v>162.4138</v>
      </c>
      <c r="AI6" s="9">
        <v>1246.645</v>
      </c>
      <c r="AJ6" s="9">
        <v>181.9227</v>
      </c>
      <c r="AK6" s="9">
        <v>136.1613</v>
      </c>
      <c r="AL6" s="9">
        <v>20.75122</v>
      </c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</row>
    <row r="7" ht="15.75" customHeight="1">
      <c r="A7" s="9">
        <v>1033.4772</v>
      </c>
      <c r="B7" s="9">
        <v>170.3059</v>
      </c>
      <c r="C7" s="9">
        <v>846.28963</v>
      </c>
      <c r="D7" s="39">
        <v>119.0766</v>
      </c>
      <c r="E7" s="9">
        <v>1597.806</v>
      </c>
      <c r="F7" s="9">
        <v>169.8429</v>
      </c>
      <c r="G7" s="9">
        <v>1407.658</v>
      </c>
      <c r="H7" s="9">
        <v>178.5346</v>
      </c>
      <c r="I7" s="9">
        <v>1214.36</v>
      </c>
      <c r="J7" s="9">
        <v>258.2072</v>
      </c>
      <c r="K7" s="9">
        <v>1724.635</v>
      </c>
      <c r="L7" s="9">
        <v>148.027</v>
      </c>
      <c r="M7" s="9">
        <v>769.9587</v>
      </c>
      <c r="N7" s="9">
        <v>191.1253</v>
      </c>
      <c r="O7" s="9">
        <v>1173.826</v>
      </c>
      <c r="P7" s="9">
        <v>171.9253</v>
      </c>
      <c r="Q7" s="9">
        <v>2381.199</v>
      </c>
      <c r="R7" s="9">
        <v>173.216</v>
      </c>
      <c r="S7" s="9">
        <v>1655.735</v>
      </c>
      <c r="T7" s="9">
        <v>173.0695</v>
      </c>
      <c r="U7" s="9">
        <v>1067.996</v>
      </c>
      <c r="V7" s="9">
        <v>161.5619</v>
      </c>
      <c r="W7" s="9">
        <v>2042.966</v>
      </c>
      <c r="X7" s="9">
        <v>157.2505</v>
      </c>
      <c r="Y7" s="9">
        <v>1370.949</v>
      </c>
      <c r="Z7" s="9">
        <v>183.2752</v>
      </c>
      <c r="AA7" s="9">
        <v>1581.571</v>
      </c>
      <c r="AB7" s="9">
        <v>143.8507</v>
      </c>
      <c r="AC7" s="9">
        <v>1027.4</v>
      </c>
      <c r="AD7" s="9">
        <v>221.1778</v>
      </c>
      <c r="AE7" s="9">
        <v>1984.678</v>
      </c>
      <c r="AF7" s="9">
        <v>217.3072</v>
      </c>
      <c r="AG7" s="9">
        <v>1330.274</v>
      </c>
      <c r="AH7" s="9">
        <v>181.5949</v>
      </c>
      <c r="AI7" s="9">
        <v>973.9601</v>
      </c>
      <c r="AJ7" s="9">
        <v>185.6736</v>
      </c>
      <c r="AK7" s="9">
        <v>153.81</v>
      </c>
      <c r="AL7" s="9">
        <v>19.41724</v>
      </c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</row>
    <row r="8" ht="15.75" customHeight="1">
      <c r="A8" s="9">
        <v>2267.7479</v>
      </c>
      <c r="B8" s="9">
        <v>164.0058</v>
      </c>
      <c r="C8" s="9">
        <v>1730.3535</v>
      </c>
      <c r="D8" s="9">
        <v>226.1668</v>
      </c>
      <c r="E8" s="9">
        <v>1498.602</v>
      </c>
      <c r="F8" s="9">
        <v>171.9414</v>
      </c>
      <c r="G8" s="9">
        <v>3014.338</v>
      </c>
      <c r="H8" s="9">
        <v>241.4728</v>
      </c>
      <c r="I8" s="9">
        <v>1997.18</v>
      </c>
      <c r="J8" s="9">
        <v>191.5897</v>
      </c>
      <c r="K8" s="9">
        <v>2573.314</v>
      </c>
      <c r="L8" s="9">
        <v>179.7149</v>
      </c>
      <c r="M8" s="9">
        <v>2519.884</v>
      </c>
      <c r="N8" s="9">
        <v>252.617</v>
      </c>
      <c r="O8" s="9">
        <v>2543.12</v>
      </c>
      <c r="P8" s="9">
        <v>198.4907</v>
      </c>
      <c r="Q8" s="9">
        <v>2434.708</v>
      </c>
      <c r="R8" s="9">
        <v>252.1883</v>
      </c>
      <c r="S8" s="9">
        <v>2471.001</v>
      </c>
      <c r="T8" s="9">
        <v>225.4886</v>
      </c>
      <c r="U8" s="9">
        <v>1990.343</v>
      </c>
      <c r="V8" s="9">
        <v>226.0382</v>
      </c>
      <c r="W8" s="9">
        <v>3504.036</v>
      </c>
      <c r="X8" s="9">
        <v>194.7655</v>
      </c>
      <c r="Y8" s="9">
        <v>1808.222</v>
      </c>
      <c r="Z8" s="9">
        <v>265.6202</v>
      </c>
      <c r="AA8" s="9">
        <v>1933.011</v>
      </c>
      <c r="AB8" s="9">
        <v>208.2668</v>
      </c>
      <c r="AC8" s="9">
        <v>2570.374</v>
      </c>
      <c r="AD8" s="9">
        <v>267.0172</v>
      </c>
      <c r="AE8" s="9">
        <v>3638.074</v>
      </c>
      <c r="AF8" s="9">
        <v>231.5921</v>
      </c>
      <c r="AG8" s="9">
        <v>1286.85</v>
      </c>
      <c r="AH8" s="9">
        <v>198.6967</v>
      </c>
      <c r="AI8" s="9">
        <v>2190.699</v>
      </c>
      <c r="AJ8" s="9">
        <v>198.3452</v>
      </c>
      <c r="AK8" s="9">
        <v>193.5383</v>
      </c>
      <c r="AL8" s="9">
        <v>21.59012</v>
      </c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</row>
    <row r="9" ht="15.75" customHeight="1">
      <c r="A9" s="9">
        <v>1303.9354</v>
      </c>
      <c r="B9" s="9">
        <v>258.4463</v>
      </c>
      <c r="C9" s="9">
        <v>1147.4044</v>
      </c>
      <c r="D9" s="9">
        <v>150.213</v>
      </c>
      <c r="E9" s="9">
        <v>1385.657</v>
      </c>
      <c r="F9" s="9">
        <v>282.4113</v>
      </c>
      <c r="G9" s="9">
        <v>2024.735</v>
      </c>
      <c r="H9" s="9">
        <v>317.979</v>
      </c>
      <c r="I9" s="9">
        <v>1210.104</v>
      </c>
      <c r="J9" s="9">
        <v>216.46</v>
      </c>
      <c r="K9" s="9">
        <v>1544.957</v>
      </c>
      <c r="L9" s="9">
        <v>175.3956</v>
      </c>
      <c r="M9" s="9">
        <v>2035.997</v>
      </c>
      <c r="N9" s="9">
        <v>234.5193</v>
      </c>
      <c r="O9" s="9">
        <v>2063.446</v>
      </c>
      <c r="P9" s="9">
        <v>354.7591</v>
      </c>
      <c r="Q9" s="9">
        <v>1543.92</v>
      </c>
      <c r="R9" s="9">
        <v>292.757</v>
      </c>
      <c r="S9" s="9">
        <v>2023.83</v>
      </c>
      <c r="T9" s="9">
        <v>290.0757</v>
      </c>
      <c r="U9" s="9">
        <v>1356.887</v>
      </c>
      <c r="V9" s="9">
        <v>261.197</v>
      </c>
      <c r="W9" s="9">
        <v>2432.678</v>
      </c>
      <c r="X9" s="9">
        <v>232.1455</v>
      </c>
      <c r="Y9" s="9">
        <v>1877.734</v>
      </c>
      <c r="Z9" s="9">
        <v>277.3313</v>
      </c>
      <c r="AA9" s="9">
        <v>1578.768</v>
      </c>
      <c r="AB9" s="9">
        <v>232.4238</v>
      </c>
      <c r="AC9" s="9">
        <v>1702.817</v>
      </c>
      <c r="AD9" s="9">
        <v>296.534</v>
      </c>
      <c r="AE9" s="9">
        <v>2238.044</v>
      </c>
      <c r="AF9" s="9">
        <v>214.2851</v>
      </c>
      <c r="AG9" s="9">
        <v>1579.989</v>
      </c>
      <c r="AH9" s="9">
        <v>244.4548</v>
      </c>
      <c r="AI9" s="9">
        <v>1401.438</v>
      </c>
      <c r="AJ9" s="9">
        <v>234.3906</v>
      </c>
      <c r="AK9" s="9">
        <v>192.8871</v>
      </c>
      <c r="AL9" s="9">
        <v>21.3698</v>
      </c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</row>
    <row r="10" ht="15.75" customHeight="1">
      <c r="A10" s="9">
        <v>2340.7009</v>
      </c>
      <c r="B10" s="9">
        <v>226.7432</v>
      </c>
      <c r="C10" s="9">
        <v>2101.5677</v>
      </c>
      <c r="D10" s="9">
        <v>168.9716</v>
      </c>
      <c r="E10" s="9">
        <v>1427.44</v>
      </c>
      <c r="F10" s="9">
        <v>322.6944</v>
      </c>
      <c r="G10" s="9">
        <v>3436.29</v>
      </c>
      <c r="H10" s="9">
        <v>269.4469</v>
      </c>
      <c r="I10" s="9">
        <v>1733.785</v>
      </c>
      <c r="J10" s="9">
        <v>195.697</v>
      </c>
      <c r="K10" s="9">
        <v>2376.671</v>
      </c>
      <c r="L10" s="9">
        <v>189.2732</v>
      </c>
      <c r="M10" s="9">
        <v>2454.519</v>
      </c>
      <c r="N10" s="9">
        <v>251.1269</v>
      </c>
      <c r="O10" s="9">
        <v>2251.985</v>
      </c>
      <c r="P10" s="9">
        <v>226.0006</v>
      </c>
      <c r="Q10" s="9">
        <v>2505.139</v>
      </c>
      <c r="R10" s="9">
        <v>179.6706</v>
      </c>
      <c r="S10" s="9">
        <v>2836.761</v>
      </c>
      <c r="T10" s="9">
        <v>240.4359</v>
      </c>
      <c r="U10" s="9">
        <v>1819.199</v>
      </c>
      <c r="V10" s="9">
        <v>276.2857</v>
      </c>
      <c r="W10" s="9">
        <v>3271.664</v>
      </c>
      <c r="X10" s="9">
        <v>173.129</v>
      </c>
      <c r="Y10" s="9">
        <v>2468.091</v>
      </c>
      <c r="Z10" s="9">
        <v>206.1757</v>
      </c>
      <c r="AA10" s="1" t="s">
        <v>85</v>
      </c>
      <c r="AB10" s="9" t="s">
        <v>85</v>
      </c>
      <c r="AC10" s="9">
        <v>2108.945</v>
      </c>
      <c r="AD10" s="9">
        <v>198.5017</v>
      </c>
      <c r="AE10" s="9">
        <v>2770.641</v>
      </c>
      <c r="AF10" s="9">
        <v>187.4314</v>
      </c>
      <c r="AG10" s="9">
        <v>2591.022</v>
      </c>
      <c r="AH10" s="9">
        <v>174.8519</v>
      </c>
      <c r="AI10" s="9">
        <v>2906.479</v>
      </c>
      <c r="AJ10" s="9">
        <v>172.0825</v>
      </c>
      <c r="AK10" s="9">
        <v>193.5611</v>
      </c>
      <c r="AL10" s="9">
        <v>23.41938</v>
      </c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</row>
    <row r="11" ht="15.75" customHeight="1">
      <c r="A11" s="9">
        <v>2940.2428</v>
      </c>
      <c r="B11" s="9">
        <v>181.0822</v>
      </c>
      <c r="C11" s="9">
        <v>2121.5452</v>
      </c>
      <c r="D11" s="9">
        <v>177.6902</v>
      </c>
      <c r="E11" s="9">
        <v>2678.278</v>
      </c>
      <c r="F11" s="9">
        <v>208.631</v>
      </c>
      <c r="G11" s="9">
        <v>4375.428</v>
      </c>
      <c r="H11" s="9">
        <v>194.4026</v>
      </c>
      <c r="I11" s="9">
        <v>2275.25</v>
      </c>
      <c r="J11" s="9">
        <v>163.5393</v>
      </c>
      <c r="K11" s="9">
        <v>2609.92</v>
      </c>
      <c r="L11" s="9">
        <v>157.9424</v>
      </c>
      <c r="M11" s="9">
        <v>2329.28</v>
      </c>
      <c r="N11" s="9">
        <v>237.2739</v>
      </c>
      <c r="O11" s="9">
        <v>3430.847</v>
      </c>
      <c r="P11" s="9">
        <v>255.9836</v>
      </c>
      <c r="Q11" s="9">
        <v>1269.843</v>
      </c>
      <c r="R11" s="9">
        <v>219.7358</v>
      </c>
      <c r="S11" s="9">
        <v>2589.668</v>
      </c>
      <c r="T11" s="9">
        <v>192.4781</v>
      </c>
      <c r="U11" s="9">
        <v>2291.915</v>
      </c>
      <c r="V11" s="9">
        <v>245.5438</v>
      </c>
      <c r="W11" s="9">
        <v>3238.3</v>
      </c>
      <c r="X11" s="9">
        <v>215.3953</v>
      </c>
      <c r="Y11" s="9">
        <v>2290.651</v>
      </c>
      <c r="Z11" s="9">
        <v>239.6995</v>
      </c>
      <c r="AA11" s="9">
        <v>3882.683</v>
      </c>
      <c r="AB11" s="9">
        <v>209.7553</v>
      </c>
      <c r="AC11" s="9">
        <v>3418.422</v>
      </c>
      <c r="AD11" s="9">
        <v>198.4076</v>
      </c>
      <c r="AE11" s="9">
        <v>3335.624</v>
      </c>
      <c r="AF11" s="9">
        <v>205.1342</v>
      </c>
      <c r="AG11" s="9">
        <v>1811.987</v>
      </c>
      <c r="AH11" s="9">
        <v>251.8947</v>
      </c>
      <c r="AI11" s="9">
        <v>2269.484</v>
      </c>
      <c r="AJ11" s="9">
        <v>156.1283</v>
      </c>
      <c r="AK11" s="9">
        <v>146.7993</v>
      </c>
      <c r="AL11" s="9">
        <v>19.02122</v>
      </c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</row>
    <row r="12" ht="15.75" customHeight="1">
      <c r="A12" s="9">
        <v>3301.0917</v>
      </c>
      <c r="B12" s="9">
        <v>958.383</v>
      </c>
      <c r="C12" s="9">
        <v>3358.9473</v>
      </c>
      <c r="D12" s="9">
        <v>781.2786</v>
      </c>
      <c r="E12" s="9">
        <v>2079.8</v>
      </c>
      <c r="F12" s="9">
        <v>786.2475</v>
      </c>
      <c r="G12" s="9">
        <v>3450.892</v>
      </c>
      <c r="H12" s="9">
        <v>779.5852</v>
      </c>
      <c r="I12" s="9">
        <v>3346.898</v>
      </c>
      <c r="J12" s="9">
        <v>761.9599</v>
      </c>
      <c r="K12" s="9">
        <v>3392.565</v>
      </c>
      <c r="L12" s="9">
        <v>806.3066</v>
      </c>
      <c r="M12" s="9">
        <v>3314.35</v>
      </c>
      <c r="N12" s="9">
        <v>815.7371</v>
      </c>
      <c r="O12" s="9">
        <v>3586.641</v>
      </c>
      <c r="P12" s="9">
        <v>791.6162</v>
      </c>
      <c r="Q12" s="9">
        <v>3673.106</v>
      </c>
      <c r="R12" s="9">
        <v>853.6822</v>
      </c>
      <c r="S12" s="9">
        <v>3628.882</v>
      </c>
      <c r="T12" s="9">
        <v>794.7222</v>
      </c>
      <c r="U12" s="9">
        <v>2052.247</v>
      </c>
      <c r="V12" s="9">
        <v>753.2126</v>
      </c>
      <c r="W12" s="9">
        <v>3466.099</v>
      </c>
      <c r="X12" s="9">
        <v>793.1387</v>
      </c>
      <c r="Y12" s="9">
        <v>3559.37</v>
      </c>
      <c r="Z12" s="9">
        <v>814.8576</v>
      </c>
      <c r="AA12" s="9">
        <v>3669.773</v>
      </c>
      <c r="AB12" s="9">
        <v>854.0946</v>
      </c>
      <c r="AC12" s="9">
        <v>3512.212</v>
      </c>
      <c r="AD12" s="9">
        <v>740.6259</v>
      </c>
      <c r="AE12" s="9">
        <v>3452.7</v>
      </c>
      <c r="AF12" s="9">
        <v>721.4843</v>
      </c>
      <c r="AG12" s="9">
        <v>3485.56</v>
      </c>
      <c r="AH12" s="9">
        <v>822.0999</v>
      </c>
      <c r="AI12" s="9">
        <v>3433.926</v>
      </c>
      <c r="AJ12" s="9">
        <v>721.2024</v>
      </c>
      <c r="AK12" s="9">
        <v>400.3263</v>
      </c>
      <c r="AL12" s="9">
        <v>81.357</v>
      </c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</row>
    <row r="13" ht="15.75" customHeight="1">
      <c r="A13" s="9">
        <v>798.7603</v>
      </c>
      <c r="B13" s="9">
        <v>206.9549</v>
      </c>
      <c r="C13" s="9">
        <v>1037.2819</v>
      </c>
      <c r="D13" s="9">
        <v>317.9188</v>
      </c>
      <c r="E13" s="9">
        <v>844.7708</v>
      </c>
      <c r="F13" s="9">
        <v>196.0129</v>
      </c>
      <c r="G13" s="9">
        <v>697.9761</v>
      </c>
      <c r="H13" s="9">
        <v>238.361</v>
      </c>
      <c r="I13" s="9">
        <v>959.8671</v>
      </c>
      <c r="J13" s="9">
        <v>194.295</v>
      </c>
      <c r="K13" s="9">
        <v>995.1535</v>
      </c>
      <c r="L13" s="9">
        <v>184.3428</v>
      </c>
      <c r="M13" s="9">
        <v>1140.591</v>
      </c>
      <c r="N13" s="9">
        <v>343.3161</v>
      </c>
      <c r="O13" s="9">
        <v>1174.278</v>
      </c>
      <c r="P13" s="9">
        <v>235.4281</v>
      </c>
      <c r="Q13" s="9">
        <v>1012.09</v>
      </c>
      <c r="R13" s="9">
        <v>235.6484</v>
      </c>
      <c r="S13" s="9">
        <v>1616.445</v>
      </c>
      <c r="T13" s="9">
        <v>215.343</v>
      </c>
      <c r="U13" s="9">
        <v>1132.337</v>
      </c>
      <c r="V13" s="9">
        <v>200.9508</v>
      </c>
      <c r="W13" s="9">
        <v>1762.484</v>
      </c>
      <c r="X13" s="9">
        <v>187.8485</v>
      </c>
      <c r="Y13" s="9">
        <v>1298.766</v>
      </c>
      <c r="Z13" s="9">
        <v>213.6023</v>
      </c>
      <c r="AA13" s="9">
        <v>1322.402</v>
      </c>
      <c r="AB13" s="9">
        <v>195.1812</v>
      </c>
      <c r="AC13" s="9">
        <v>1836.348</v>
      </c>
      <c r="AD13" s="9">
        <v>157.6385</v>
      </c>
      <c r="AE13" s="9">
        <v>1603.596</v>
      </c>
      <c r="AF13" s="9">
        <v>210.6697</v>
      </c>
      <c r="AG13" s="9">
        <v>1473.279</v>
      </c>
      <c r="AH13" s="9">
        <v>195.7563</v>
      </c>
      <c r="AI13" s="9">
        <v>2781.864</v>
      </c>
      <c r="AJ13" s="9">
        <v>171.6861</v>
      </c>
      <c r="AK13" s="9">
        <v>196.189</v>
      </c>
      <c r="AL13" s="9">
        <v>22.17598</v>
      </c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</row>
    <row r="14" ht="15.75" customHeight="1">
      <c r="A14" s="9">
        <v>1701.6453</v>
      </c>
      <c r="B14" s="9">
        <v>197.2091</v>
      </c>
      <c r="C14" s="9">
        <v>1120.2709</v>
      </c>
      <c r="D14" s="9">
        <v>109.4993</v>
      </c>
      <c r="E14" s="9">
        <v>1265.686</v>
      </c>
      <c r="F14" s="9">
        <v>134.5013</v>
      </c>
      <c r="G14" s="9">
        <v>2216.097</v>
      </c>
      <c r="H14" s="9">
        <v>200.4212</v>
      </c>
      <c r="I14" s="9">
        <v>1673.609</v>
      </c>
      <c r="J14" s="9">
        <v>166.6363</v>
      </c>
      <c r="K14" s="9">
        <v>1610.659</v>
      </c>
      <c r="L14" s="9">
        <v>185.9386</v>
      </c>
      <c r="M14" s="9">
        <v>2176.982</v>
      </c>
      <c r="N14" s="9">
        <v>186.5971</v>
      </c>
      <c r="O14" s="9">
        <v>2121.792</v>
      </c>
      <c r="P14" s="9">
        <v>168.4519</v>
      </c>
      <c r="Q14" s="9">
        <v>1834.443</v>
      </c>
      <c r="R14" s="9">
        <v>197.2121</v>
      </c>
      <c r="S14" s="9">
        <v>1767.762</v>
      </c>
      <c r="T14" s="9">
        <v>189.8636</v>
      </c>
      <c r="U14" s="9">
        <v>1142.381</v>
      </c>
      <c r="V14" s="9">
        <v>209.1059</v>
      </c>
      <c r="W14" s="9">
        <v>2759.73</v>
      </c>
      <c r="X14" s="9">
        <v>140.6666</v>
      </c>
      <c r="Y14" s="9">
        <v>2243.221</v>
      </c>
      <c r="Z14" s="9">
        <v>203.2518</v>
      </c>
      <c r="AA14" s="9">
        <v>2396.287</v>
      </c>
      <c r="AB14" s="9">
        <v>245.24</v>
      </c>
      <c r="AC14" s="9">
        <v>2535.33</v>
      </c>
      <c r="AD14" s="9">
        <v>230.0269</v>
      </c>
      <c r="AE14" s="9">
        <v>3004.401</v>
      </c>
      <c r="AF14" s="9">
        <v>209.2104</v>
      </c>
      <c r="AG14" s="9">
        <v>2075.545</v>
      </c>
      <c r="AH14" s="9">
        <v>157.3373</v>
      </c>
      <c r="AI14" s="9">
        <v>4492.243</v>
      </c>
      <c r="AJ14" s="9">
        <v>207.97</v>
      </c>
      <c r="AK14" s="9">
        <v>192.9654</v>
      </c>
      <c r="AL14" s="9">
        <v>19.3783</v>
      </c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</row>
    <row r="15" ht="15.75" customHeight="1">
      <c r="A15" s="9">
        <v>2022.9009</v>
      </c>
      <c r="B15" s="9">
        <v>553.4078</v>
      </c>
      <c r="C15" s="9">
        <v>2177.4422</v>
      </c>
      <c r="D15" s="9">
        <v>350.2173</v>
      </c>
      <c r="E15" s="9">
        <v>1411.551</v>
      </c>
      <c r="F15" s="9">
        <v>521.0971</v>
      </c>
      <c r="G15" s="9">
        <v>2180.42</v>
      </c>
      <c r="H15" s="9">
        <v>555.6596</v>
      </c>
      <c r="I15" s="9">
        <v>2005.084</v>
      </c>
      <c r="J15" s="9">
        <v>488.1406</v>
      </c>
      <c r="K15" s="9">
        <v>2079.507</v>
      </c>
      <c r="L15" s="9">
        <v>455.6973</v>
      </c>
      <c r="M15" s="9">
        <v>1945.603</v>
      </c>
      <c r="N15" s="9">
        <v>517.795</v>
      </c>
      <c r="O15" s="9">
        <v>1944.855</v>
      </c>
      <c r="P15" s="9">
        <v>618.2189</v>
      </c>
      <c r="Q15" s="9">
        <v>2104.437</v>
      </c>
      <c r="R15" s="9">
        <v>554.4616</v>
      </c>
      <c r="S15" s="9">
        <v>2114.392</v>
      </c>
      <c r="T15" s="9">
        <v>438.1655</v>
      </c>
      <c r="U15" s="9">
        <v>1364.9</v>
      </c>
      <c r="V15" s="9">
        <v>500.5306</v>
      </c>
      <c r="W15" s="9">
        <v>1811.698</v>
      </c>
      <c r="X15" s="9">
        <v>479.5738</v>
      </c>
      <c r="Y15" s="9">
        <v>2296.262</v>
      </c>
      <c r="Z15" s="9">
        <v>546.9242</v>
      </c>
      <c r="AA15" s="9">
        <v>2261.933</v>
      </c>
      <c r="AB15" s="9">
        <v>504.7745</v>
      </c>
      <c r="AC15" s="9">
        <v>1903.89</v>
      </c>
      <c r="AD15" s="9">
        <v>523.7587</v>
      </c>
      <c r="AE15" s="9">
        <v>2046.327</v>
      </c>
      <c r="AF15" s="9">
        <v>551.6154</v>
      </c>
      <c r="AG15" s="9">
        <v>2110.102</v>
      </c>
      <c r="AH15" s="9">
        <v>495.3202</v>
      </c>
      <c r="AI15" s="9">
        <v>3739.876</v>
      </c>
      <c r="AJ15" s="9">
        <v>531.3845</v>
      </c>
      <c r="AK15" s="9">
        <v>243.6529</v>
      </c>
      <c r="AL15" s="9">
        <v>38.72844</v>
      </c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</row>
    <row r="16" ht="15.75" customHeight="1">
      <c r="A16" s="9">
        <v>41328.861</v>
      </c>
      <c r="B16" s="9">
        <v>8246.615</v>
      </c>
      <c r="C16" s="9">
        <v>41072.987</v>
      </c>
      <c r="D16" s="9">
        <v>8215.513</v>
      </c>
      <c r="E16" s="9">
        <v>20993.13</v>
      </c>
      <c r="F16" s="9">
        <v>8246.939</v>
      </c>
      <c r="G16" s="9">
        <v>41215.6</v>
      </c>
      <c r="H16" s="9">
        <v>8245.822</v>
      </c>
      <c r="I16" s="9">
        <v>41184.83</v>
      </c>
      <c r="J16" s="9">
        <v>8247.981</v>
      </c>
      <c r="K16" s="9">
        <v>41128.66</v>
      </c>
      <c r="L16" s="9">
        <v>8263.365</v>
      </c>
      <c r="M16" s="9">
        <v>41159.53</v>
      </c>
      <c r="N16" s="9">
        <v>8250.854</v>
      </c>
      <c r="O16" s="9">
        <v>41167.63</v>
      </c>
      <c r="P16" s="9">
        <v>8260.408</v>
      </c>
      <c r="Q16" s="9">
        <v>41102.67</v>
      </c>
      <c r="R16" s="9">
        <v>8262.832</v>
      </c>
      <c r="S16" s="9">
        <v>41177.16</v>
      </c>
      <c r="T16" s="9">
        <v>8267.133</v>
      </c>
      <c r="U16" s="9">
        <v>20724.16</v>
      </c>
      <c r="V16" s="9">
        <v>8246.583</v>
      </c>
      <c r="W16" s="9">
        <v>41321.42</v>
      </c>
      <c r="X16" s="9">
        <v>8252.587</v>
      </c>
      <c r="Y16" s="9">
        <v>41158.38</v>
      </c>
      <c r="Z16" s="9">
        <v>8254.028</v>
      </c>
      <c r="AA16" s="9">
        <v>41133.72</v>
      </c>
      <c r="AB16" s="9">
        <v>8288.447</v>
      </c>
      <c r="AC16" s="9">
        <v>41363.11</v>
      </c>
      <c r="AD16" s="9">
        <v>8247.154</v>
      </c>
      <c r="AE16" s="9">
        <v>41376.48</v>
      </c>
      <c r="AF16" s="9">
        <v>8255.452</v>
      </c>
      <c r="AG16" s="9">
        <v>41091.86</v>
      </c>
      <c r="AH16" s="9">
        <v>8248.098</v>
      </c>
      <c r="AI16" s="9">
        <v>57450.76</v>
      </c>
      <c r="AJ16" s="9">
        <v>8245.122</v>
      </c>
      <c r="AK16" s="9">
        <v>2578.871</v>
      </c>
      <c r="AL16" s="9">
        <v>519.0766</v>
      </c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</row>
    <row r="17" ht="15.75" customHeight="1">
      <c r="A17" s="9">
        <v>2428.5151</v>
      </c>
      <c r="B17" s="9">
        <v>159.7273</v>
      </c>
      <c r="C17" s="9">
        <v>1978.5511</v>
      </c>
      <c r="D17" s="9">
        <v>71.58209</v>
      </c>
      <c r="E17" s="9">
        <v>1391.509</v>
      </c>
      <c r="F17" s="9">
        <v>150.8617</v>
      </c>
      <c r="G17" s="9">
        <v>2064.822</v>
      </c>
      <c r="H17" s="9">
        <v>120.703</v>
      </c>
      <c r="I17" s="9">
        <v>2538.04</v>
      </c>
      <c r="J17" s="9">
        <v>153.9665</v>
      </c>
      <c r="K17" s="9">
        <v>2776.177</v>
      </c>
      <c r="L17" s="9">
        <v>121.177</v>
      </c>
      <c r="M17" s="9">
        <v>2428.611</v>
      </c>
      <c r="N17" s="9">
        <v>90.57814</v>
      </c>
      <c r="O17" s="9">
        <v>1899.998</v>
      </c>
      <c r="P17" s="9">
        <v>112.9217</v>
      </c>
      <c r="Q17" s="9">
        <v>3059.211</v>
      </c>
      <c r="R17" s="9">
        <v>162.0724</v>
      </c>
      <c r="S17" s="9">
        <v>2416.782</v>
      </c>
      <c r="T17" s="9">
        <v>106.9054</v>
      </c>
      <c r="U17" s="9">
        <v>1497.097</v>
      </c>
      <c r="V17" s="9">
        <v>108.1441</v>
      </c>
      <c r="W17" s="9">
        <v>2912.221</v>
      </c>
      <c r="X17" s="9">
        <v>172.8414</v>
      </c>
      <c r="Y17" s="9">
        <v>2411.793</v>
      </c>
      <c r="Z17" s="9">
        <v>127.8031</v>
      </c>
      <c r="AA17" s="9">
        <v>2257.019</v>
      </c>
      <c r="AB17" s="9">
        <v>467.82</v>
      </c>
      <c r="AC17" s="9">
        <v>2340.029</v>
      </c>
      <c r="AD17" s="9">
        <v>95.39078</v>
      </c>
      <c r="AE17" s="9">
        <v>2832.661</v>
      </c>
      <c r="AF17" s="9">
        <v>116.1091</v>
      </c>
      <c r="AG17" s="9">
        <v>5225.394</v>
      </c>
      <c r="AH17" s="9">
        <v>119.0119</v>
      </c>
      <c r="AI17" s="9">
        <v>3162.268</v>
      </c>
      <c r="AJ17" s="9">
        <v>131.938</v>
      </c>
      <c r="AK17" s="9">
        <v>193.8768</v>
      </c>
      <c r="AL17" s="9">
        <v>19.0089</v>
      </c>
    </row>
    <row r="18" ht="15.75" customHeight="1">
      <c r="A18" s="9">
        <v>3459.5879</v>
      </c>
      <c r="B18" s="9">
        <v>782.6758</v>
      </c>
      <c r="C18" s="9">
        <v>2728.3904</v>
      </c>
      <c r="D18" s="9">
        <v>1682.601</v>
      </c>
      <c r="E18" s="9">
        <v>1859.861</v>
      </c>
      <c r="F18" s="9">
        <v>793.1483</v>
      </c>
      <c r="G18" s="9">
        <v>3584.666</v>
      </c>
      <c r="H18" s="9">
        <v>819.2399</v>
      </c>
      <c r="I18" s="9">
        <v>3570.296</v>
      </c>
      <c r="J18" s="9">
        <v>795.8209</v>
      </c>
      <c r="K18" s="9">
        <v>1961.465</v>
      </c>
      <c r="L18" s="9">
        <v>793.8475</v>
      </c>
      <c r="M18" s="9">
        <v>2971.755</v>
      </c>
      <c r="N18" s="9">
        <v>791.2386</v>
      </c>
      <c r="O18" s="9">
        <v>3307.354</v>
      </c>
      <c r="P18" s="9">
        <v>770.2977</v>
      </c>
      <c r="Q18" s="9">
        <v>2028.062</v>
      </c>
      <c r="R18" s="9">
        <v>829.8986</v>
      </c>
      <c r="S18" s="9">
        <v>3060.875</v>
      </c>
      <c r="T18" s="9">
        <v>783.713</v>
      </c>
      <c r="U18" s="9">
        <v>1809.425</v>
      </c>
      <c r="V18" s="9">
        <v>754.4871</v>
      </c>
      <c r="W18" s="9">
        <v>2681.812</v>
      </c>
      <c r="X18" s="9">
        <v>816.15</v>
      </c>
      <c r="Y18" s="9">
        <v>2931.979</v>
      </c>
      <c r="Z18" s="9">
        <v>917.9852</v>
      </c>
      <c r="AA18" s="9">
        <v>2691.262</v>
      </c>
      <c r="AB18" s="9">
        <v>992.6181</v>
      </c>
      <c r="AC18" s="9">
        <v>3610.386</v>
      </c>
      <c r="AD18" s="9">
        <v>715.717</v>
      </c>
      <c r="AE18" s="9">
        <v>3256.086</v>
      </c>
      <c r="AF18" s="9">
        <v>806.5601</v>
      </c>
      <c r="AG18" s="9">
        <v>3530.012</v>
      </c>
      <c r="AH18" s="9">
        <v>779.6747</v>
      </c>
      <c r="AI18" s="9">
        <v>1930.902</v>
      </c>
      <c r="AJ18" s="9">
        <v>892.8481</v>
      </c>
      <c r="AK18" s="9">
        <v>394.4641</v>
      </c>
      <c r="AL18" s="9">
        <v>66.73131</v>
      </c>
    </row>
    <row r="19" ht="15.75" customHeight="1">
      <c r="A19" s="9">
        <v>3916.5396</v>
      </c>
      <c r="B19" s="9">
        <v>847.5902</v>
      </c>
      <c r="C19" s="9">
        <v>3548.7019</v>
      </c>
      <c r="D19" s="9">
        <v>2097.543</v>
      </c>
      <c r="E19" s="9">
        <v>2599.063</v>
      </c>
      <c r="F19" s="9">
        <v>841.665</v>
      </c>
      <c r="G19" s="9">
        <v>3824.781</v>
      </c>
      <c r="H19" s="9">
        <v>845.6025</v>
      </c>
      <c r="I19" s="9">
        <v>4042.476</v>
      </c>
      <c r="J19" s="9">
        <v>878.1328</v>
      </c>
      <c r="K19" s="9">
        <v>3672.184</v>
      </c>
      <c r="L19" s="9">
        <v>796.9208</v>
      </c>
      <c r="M19" s="9">
        <v>3967.833</v>
      </c>
      <c r="N19" s="9">
        <v>1363.291</v>
      </c>
      <c r="O19" s="9">
        <v>3853.846</v>
      </c>
      <c r="P19" s="9">
        <v>870.1206</v>
      </c>
      <c r="Q19" s="9">
        <v>3515.484</v>
      </c>
      <c r="R19" s="9">
        <v>893.3948</v>
      </c>
      <c r="S19" s="9">
        <v>3551.744</v>
      </c>
      <c r="T19" s="9">
        <v>904.9723</v>
      </c>
      <c r="U19" s="9">
        <v>2729.307</v>
      </c>
      <c r="V19" s="9">
        <v>798.4898</v>
      </c>
      <c r="W19" s="9">
        <v>3705.817</v>
      </c>
      <c r="X19" s="9">
        <v>814.4189</v>
      </c>
      <c r="Y19" s="9">
        <v>3559.131</v>
      </c>
      <c r="Z19" s="9">
        <v>900.77</v>
      </c>
      <c r="AA19" s="9">
        <v>3572.269</v>
      </c>
      <c r="AB19" s="9">
        <v>1206.357</v>
      </c>
      <c r="AC19" s="9">
        <v>5664.847</v>
      </c>
      <c r="AD19" s="9">
        <v>843.8048</v>
      </c>
      <c r="AE19" s="9">
        <v>3612.356</v>
      </c>
      <c r="AF19" s="9">
        <v>836.7361</v>
      </c>
      <c r="AG19" s="9">
        <v>3709.245</v>
      </c>
      <c r="AH19" s="9">
        <v>823.9957</v>
      </c>
      <c r="AI19" s="9">
        <v>3660.815</v>
      </c>
      <c r="AJ19" s="9">
        <v>856.9645</v>
      </c>
      <c r="AK19" s="9">
        <v>407.1336</v>
      </c>
      <c r="AL19" s="9">
        <v>78.68474</v>
      </c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</row>
    <row r="20" ht="15.75" customHeight="1">
      <c r="A20" s="9">
        <v>3522.7659</v>
      </c>
      <c r="B20" s="9">
        <v>823.7506</v>
      </c>
      <c r="C20" s="9">
        <v>2336.7499</v>
      </c>
      <c r="D20" s="9">
        <v>1672.63</v>
      </c>
      <c r="E20" s="9">
        <v>1890.811</v>
      </c>
      <c r="F20" s="9">
        <v>718.3747</v>
      </c>
      <c r="G20" s="9">
        <v>3696.531</v>
      </c>
      <c r="H20" s="9">
        <v>801.1925</v>
      </c>
      <c r="I20" s="9">
        <v>3581.762</v>
      </c>
      <c r="J20" s="9">
        <v>790.0505</v>
      </c>
      <c r="K20" s="9">
        <v>2549.759</v>
      </c>
      <c r="L20" s="9">
        <v>767.7535</v>
      </c>
      <c r="M20" s="9">
        <v>2813.129</v>
      </c>
      <c r="N20" s="9">
        <v>890.7639</v>
      </c>
      <c r="O20" s="9">
        <v>3617.746</v>
      </c>
      <c r="P20" s="9">
        <v>828.6386</v>
      </c>
      <c r="Q20" s="9">
        <v>2126.55</v>
      </c>
      <c r="R20" s="9">
        <v>821.341</v>
      </c>
      <c r="S20" s="9">
        <v>3392.419</v>
      </c>
      <c r="T20" s="9">
        <v>783.0915</v>
      </c>
      <c r="U20" s="9">
        <v>1955.075</v>
      </c>
      <c r="V20" s="9">
        <v>785.1758</v>
      </c>
      <c r="W20" s="9">
        <v>3035.971</v>
      </c>
      <c r="X20" s="9">
        <v>733.9334</v>
      </c>
      <c r="Y20" s="9">
        <v>3495.221</v>
      </c>
      <c r="Z20" s="9">
        <v>759.3666</v>
      </c>
      <c r="AA20" s="9">
        <v>2129.281</v>
      </c>
      <c r="AB20" s="9">
        <v>1005.382</v>
      </c>
      <c r="AC20" s="9">
        <v>3341.304</v>
      </c>
      <c r="AD20" s="9">
        <v>763.9284</v>
      </c>
      <c r="AE20" s="9">
        <v>3212.685</v>
      </c>
      <c r="AF20" s="9">
        <v>759.0514</v>
      </c>
      <c r="AG20" s="9">
        <v>3816.757</v>
      </c>
      <c r="AH20" s="9">
        <v>825.7561</v>
      </c>
      <c r="AI20" s="9">
        <v>2754.777</v>
      </c>
      <c r="AJ20" s="9">
        <v>825.353</v>
      </c>
      <c r="AK20" s="9">
        <v>394.5115</v>
      </c>
      <c r="AL20" s="9">
        <v>58.50298</v>
      </c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</row>
    <row r="21" ht="15.75" customHeight="1">
      <c r="A21" s="9">
        <v>3324.6155</v>
      </c>
      <c r="B21" s="9">
        <v>449.238</v>
      </c>
      <c r="C21" s="9">
        <v>1651.1203</v>
      </c>
      <c r="D21" s="9">
        <v>1662.325</v>
      </c>
      <c r="E21" s="9">
        <v>1463.203</v>
      </c>
      <c r="F21" s="9">
        <v>514.334</v>
      </c>
      <c r="G21" s="9">
        <v>1867.99</v>
      </c>
      <c r="H21" s="9">
        <v>509.8175</v>
      </c>
      <c r="I21" s="9">
        <v>1717.859</v>
      </c>
      <c r="J21" s="9">
        <v>446.8821</v>
      </c>
      <c r="K21" s="9">
        <v>1727.903</v>
      </c>
      <c r="L21" s="9">
        <v>442.4393</v>
      </c>
      <c r="M21" s="9">
        <v>1749.312</v>
      </c>
      <c r="N21" s="9">
        <v>830.6917</v>
      </c>
      <c r="O21" s="9">
        <v>1785.819</v>
      </c>
      <c r="P21" s="9">
        <v>401.0676</v>
      </c>
      <c r="Q21" s="9">
        <v>1727.1</v>
      </c>
      <c r="R21" s="9">
        <v>531.3008</v>
      </c>
      <c r="S21" s="9">
        <v>1811.589</v>
      </c>
      <c r="T21" s="9">
        <v>454.6029</v>
      </c>
      <c r="U21" s="9">
        <v>1527.113</v>
      </c>
      <c r="V21" s="9">
        <v>544.21</v>
      </c>
      <c r="W21" s="9">
        <v>1775.995</v>
      </c>
      <c r="X21" s="9">
        <v>531.567</v>
      </c>
      <c r="Y21" s="9">
        <v>1833.721</v>
      </c>
      <c r="Z21" s="9">
        <v>528.6406</v>
      </c>
      <c r="AA21" s="9">
        <v>1656.444</v>
      </c>
      <c r="AB21" s="9">
        <v>811.292</v>
      </c>
      <c r="AC21" s="9">
        <v>1791.609</v>
      </c>
      <c r="AD21" s="9">
        <v>376.3244</v>
      </c>
      <c r="AE21" s="9">
        <v>1788.04</v>
      </c>
      <c r="AF21" s="9">
        <v>469.7286</v>
      </c>
      <c r="AG21" s="9">
        <v>1779.597</v>
      </c>
      <c r="AH21" s="9">
        <v>458.5605</v>
      </c>
      <c r="AI21" s="9">
        <v>1771.659</v>
      </c>
      <c r="AJ21" s="9">
        <v>417.0043</v>
      </c>
      <c r="AK21" s="9">
        <v>394.2444</v>
      </c>
      <c r="AL21" s="9">
        <v>50.24494</v>
      </c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</row>
    <row r="22" ht="15.75" customHeight="1">
      <c r="A22" s="9">
        <v>879.09503</v>
      </c>
      <c r="B22" s="9">
        <v>166.8585</v>
      </c>
      <c r="C22" s="9">
        <v>813.96934</v>
      </c>
      <c r="D22" s="9">
        <v>160.9902</v>
      </c>
      <c r="E22" s="9">
        <v>559.2209</v>
      </c>
      <c r="F22" s="9">
        <v>163.0006</v>
      </c>
      <c r="G22" s="9">
        <v>815.4113</v>
      </c>
      <c r="H22" s="9">
        <v>165.7353</v>
      </c>
      <c r="I22" s="9">
        <v>809.4209</v>
      </c>
      <c r="J22" s="9">
        <v>170.942</v>
      </c>
      <c r="K22" s="9">
        <v>813.3547</v>
      </c>
      <c r="L22" s="9">
        <v>165.4312</v>
      </c>
      <c r="M22" s="9">
        <v>813.1056</v>
      </c>
      <c r="N22" s="9">
        <v>177.7697</v>
      </c>
      <c r="O22" s="9">
        <v>812.194</v>
      </c>
      <c r="P22" s="9">
        <v>167.3418</v>
      </c>
      <c r="Q22" s="9">
        <v>803.2717</v>
      </c>
      <c r="R22" s="9">
        <v>167.3492</v>
      </c>
      <c r="S22" s="9">
        <v>805.6968</v>
      </c>
      <c r="T22" s="9">
        <v>167.9571</v>
      </c>
      <c r="U22" s="9">
        <v>560.4097</v>
      </c>
      <c r="V22" s="9">
        <v>163.131</v>
      </c>
      <c r="W22" s="9">
        <v>813.1428</v>
      </c>
      <c r="X22" s="9">
        <v>164.7117</v>
      </c>
      <c r="Y22" s="9">
        <v>811.4706</v>
      </c>
      <c r="Z22" s="9">
        <v>163.2381</v>
      </c>
      <c r="AA22" s="9">
        <v>806.3811</v>
      </c>
      <c r="AB22" s="9">
        <v>162.9822</v>
      </c>
      <c r="AC22" s="9">
        <v>814.7533</v>
      </c>
      <c r="AD22" s="9">
        <v>162.7674</v>
      </c>
      <c r="AE22" s="9">
        <v>812.7784</v>
      </c>
      <c r="AF22" s="9">
        <v>161.3477</v>
      </c>
      <c r="AG22" s="9">
        <v>812.57</v>
      </c>
      <c r="AH22" s="9">
        <v>162.9466</v>
      </c>
      <c r="AI22" s="9">
        <v>806.095</v>
      </c>
      <c r="AJ22" s="9">
        <v>170.3179</v>
      </c>
      <c r="AK22" s="9">
        <v>194.4904</v>
      </c>
      <c r="AL22" s="9">
        <v>18.38907</v>
      </c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</row>
    <row r="23" ht="15.75" customHeight="1">
      <c r="A23" s="9">
        <v>3640.6256</v>
      </c>
      <c r="B23" s="9">
        <v>795.6593</v>
      </c>
      <c r="C23" s="9">
        <v>3461.577</v>
      </c>
      <c r="D23" s="9">
        <v>1911.213</v>
      </c>
      <c r="E23" s="9">
        <v>2295.568</v>
      </c>
      <c r="F23" s="9">
        <v>762.3627</v>
      </c>
      <c r="G23" s="9">
        <v>3808.236</v>
      </c>
      <c r="H23" s="9">
        <v>910.3659</v>
      </c>
      <c r="I23" s="9">
        <v>4184.307</v>
      </c>
      <c r="J23" s="9">
        <v>891.1539</v>
      </c>
      <c r="K23" s="9">
        <v>3492.06</v>
      </c>
      <c r="L23" s="9">
        <v>807.4299</v>
      </c>
      <c r="M23" s="9">
        <v>3559.634</v>
      </c>
      <c r="N23" s="9">
        <v>965.6195</v>
      </c>
      <c r="O23" s="9">
        <v>3507.081</v>
      </c>
      <c r="P23" s="9">
        <v>942.2405</v>
      </c>
      <c r="Q23" s="9">
        <v>3478.306</v>
      </c>
      <c r="R23" s="9">
        <v>878.8597</v>
      </c>
      <c r="S23" s="9">
        <v>3609.331</v>
      </c>
      <c r="T23" s="9">
        <v>954.2508</v>
      </c>
      <c r="U23" s="9">
        <v>2272.731</v>
      </c>
      <c r="V23" s="9">
        <v>873.4775</v>
      </c>
      <c r="W23" s="9">
        <v>3477.951</v>
      </c>
      <c r="X23" s="9">
        <v>813.4182</v>
      </c>
      <c r="Y23" s="9">
        <v>3522.999</v>
      </c>
      <c r="Z23" s="9">
        <v>870.1977</v>
      </c>
      <c r="AA23" s="9">
        <v>3484.739</v>
      </c>
      <c r="AB23" s="9">
        <v>867.3389</v>
      </c>
      <c r="AC23" s="9">
        <v>3563.969</v>
      </c>
      <c r="AD23" s="9">
        <v>800.1604</v>
      </c>
      <c r="AE23" s="9">
        <v>3497.169</v>
      </c>
      <c r="AF23" s="9">
        <v>1026.333</v>
      </c>
      <c r="AG23" s="9">
        <v>3449.792</v>
      </c>
      <c r="AH23" s="9">
        <v>844.9113</v>
      </c>
      <c r="AI23" s="9">
        <v>3595.352</v>
      </c>
      <c r="AJ23" s="9">
        <v>872.5179</v>
      </c>
      <c r="AK23" s="9">
        <v>429.3462</v>
      </c>
      <c r="AL23" s="9">
        <v>80.86914</v>
      </c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</row>
    <row r="24" ht="15.75" customHeight="1">
      <c r="A24" s="9">
        <v>1004.8653</v>
      </c>
      <c r="B24" s="9">
        <v>187.6173</v>
      </c>
      <c r="C24" s="9">
        <v>816.72012</v>
      </c>
      <c r="D24" s="9">
        <v>159.2272</v>
      </c>
      <c r="E24" s="9">
        <v>1549.266</v>
      </c>
      <c r="F24" s="9">
        <v>202.9294</v>
      </c>
      <c r="G24" s="9">
        <v>1964.431</v>
      </c>
      <c r="H24" s="9">
        <v>216.4487</v>
      </c>
      <c r="I24" s="9">
        <v>1933.687</v>
      </c>
      <c r="J24" s="9">
        <v>254.8011</v>
      </c>
      <c r="K24" s="9">
        <v>960.2725</v>
      </c>
      <c r="L24" s="9">
        <v>154.8737</v>
      </c>
      <c r="M24" s="9">
        <v>1492.744</v>
      </c>
      <c r="N24" s="9">
        <v>211.8147</v>
      </c>
      <c r="O24" s="9">
        <v>1203.156</v>
      </c>
      <c r="P24" s="9">
        <v>293.6413</v>
      </c>
      <c r="Q24" s="9">
        <v>705.4665</v>
      </c>
      <c r="R24" s="9">
        <v>175.8086</v>
      </c>
      <c r="S24" s="9">
        <v>792.0662</v>
      </c>
      <c r="T24" s="9">
        <v>185.9154</v>
      </c>
      <c r="U24" s="9">
        <v>962.3511</v>
      </c>
      <c r="V24" s="9">
        <v>253.3265</v>
      </c>
      <c r="W24" s="9">
        <v>847.2371</v>
      </c>
      <c r="X24" s="9">
        <v>192.5583</v>
      </c>
      <c r="Y24" s="9">
        <v>1249.149</v>
      </c>
      <c r="Z24" s="9">
        <v>172.7642</v>
      </c>
      <c r="AA24" s="9">
        <v>1282.5</v>
      </c>
      <c r="AB24" s="9">
        <v>221.3396</v>
      </c>
      <c r="AC24" s="9">
        <v>1572.788</v>
      </c>
      <c r="AD24" s="9">
        <v>189.5418</v>
      </c>
      <c r="AE24" s="9">
        <v>1291.395</v>
      </c>
      <c r="AF24" s="9">
        <v>231.8522</v>
      </c>
      <c r="AG24" s="9">
        <v>860.0692</v>
      </c>
      <c r="AH24" s="9">
        <v>153.8841</v>
      </c>
      <c r="AI24" s="9">
        <v>772.2915</v>
      </c>
      <c r="AJ24" s="9">
        <v>265.3494</v>
      </c>
      <c r="AK24" s="9">
        <v>198.3928</v>
      </c>
      <c r="AL24" s="9">
        <v>21.27796</v>
      </c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</row>
    <row r="25" ht="15.75" customHeight="1">
      <c r="A25" s="9">
        <v>52122.814</v>
      </c>
      <c r="B25" s="9">
        <v>10274.92</v>
      </c>
      <c r="C25" s="9">
        <v>51272.641</v>
      </c>
      <c r="D25" s="9">
        <v>10254.28</v>
      </c>
      <c r="E25" s="9">
        <v>32665.3</v>
      </c>
      <c r="F25" s="9">
        <v>10277.28</v>
      </c>
      <c r="G25" s="9">
        <v>51347.75</v>
      </c>
      <c r="H25" s="9">
        <v>10314.37</v>
      </c>
      <c r="I25" s="9">
        <v>52743.42</v>
      </c>
      <c r="J25" s="9">
        <v>10276.17</v>
      </c>
      <c r="K25" s="9">
        <v>51252.14</v>
      </c>
      <c r="L25" s="9">
        <v>10288.1</v>
      </c>
      <c r="M25" s="9">
        <v>51275.98</v>
      </c>
      <c r="N25" s="9">
        <v>12525.85</v>
      </c>
      <c r="O25" s="9">
        <v>51262.47</v>
      </c>
      <c r="P25" s="9">
        <v>10280.77</v>
      </c>
      <c r="Q25" s="9">
        <v>51243.63</v>
      </c>
      <c r="R25" s="9">
        <v>10276.23</v>
      </c>
      <c r="S25" s="9">
        <v>51218.21</v>
      </c>
      <c r="T25" s="9">
        <v>10338.66</v>
      </c>
      <c r="U25" s="9">
        <v>32308.21</v>
      </c>
      <c r="V25" s="9">
        <v>10274.74</v>
      </c>
      <c r="W25" s="9">
        <v>51429.36</v>
      </c>
      <c r="X25" s="9">
        <v>10277.29</v>
      </c>
      <c r="Y25" s="9">
        <v>51273.85</v>
      </c>
      <c r="Z25" s="9">
        <v>10275.71</v>
      </c>
      <c r="AA25" s="9">
        <v>51270.67</v>
      </c>
      <c r="AB25" s="9">
        <v>10272.97</v>
      </c>
      <c r="AC25" s="9">
        <v>51254.06</v>
      </c>
      <c r="AD25" s="9">
        <v>10273.7</v>
      </c>
      <c r="AE25" s="9">
        <v>51410.37</v>
      </c>
      <c r="AF25" s="9">
        <v>10276.5</v>
      </c>
      <c r="AG25" s="9">
        <v>51234.87</v>
      </c>
      <c r="AH25" s="9">
        <v>10274.94</v>
      </c>
      <c r="AI25" s="9">
        <v>51278.02</v>
      </c>
      <c r="AJ25" s="9">
        <v>10277.69</v>
      </c>
      <c r="AK25" s="9">
        <v>3252.844</v>
      </c>
      <c r="AL25" s="9">
        <v>1281.816</v>
      </c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</row>
    <row r="26" ht="15.75" customHeight="1">
      <c r="A26" s="9">
        <v>3295.2831</v>
      </c>
      <c r="B26" s="9">
        <v>678.5944</v>
      </c>
      <c r="C26" s="9">
        <v>3471.2523</v>
      </c>
      <c r="D26" s="9">
        <v>659.4624</v>
      </c>
      <c r="E26" s="9">
        <v>2897.313</v>
      </c>
      <c r="F26" s="9">
        <v>661.3389</v>
      </c>
      <c r="G26" s="9">
        <v>3450.067</v>
      </c>
      <c r="H26" s="9">
        <v>726.0884</v>
      </c>
      <c r="I26" s="9">
        <v>3312.574</v>
      </c>
      <c r="J26" s="9">
        <v>661.9852</v>
      </c>
      <c r="K26" s="9">
        <v>3279.424</v>
      </c>
      <c r="L26" s="9">
        <v>688.0951</v>
      </c>
      <c r="M26" s="9">
        <v>3313.886</v>
      </c>
      <c r="N26" s="9">
        <v>723.7974</v>
      </c>
      <c r="O26" s="9">
        <v>3238.045</v>
      </c>
      <c r="P26" s="9">
        <v>679.2481</v>
      </c>
      <c r="Q26" s="9">
        <v>3421.06</v>
      </c>
      <c r="R26" s="9">
        <v>681.6618</v>
      </c>
      <c r="S26" s="9">
        <v>3765.41</v>
      </c>
      <c r="T26" s="9">
        <v>660.3304</v>
      </c>
      <c r="U26" s="9">
        <v>2266.251</v>
      </c>
      <c r="V26" s="9">
        <v>656.423</v>
      </c>
      <c r="W26" s="9">
        <v>3781.882</v>
      </c>
      <c r="X26" s="9">
        <v>769.9473</v>
      </c>
      <c r="Y26" s="9">
        <v>3301.82</v>
      </c>
      <c r="Z26" s="9">
        <v>662.0836</v>
      </c>
      <c r="AA26" s="9">
        <v>3379.7</v>
      </c>
      <c r="AB26" s="9">
        <v>776.2105</v>
      </c>
      <c r="AC26" s="9">
        <v>3247.492</v>
      </c>
      <c r="AD26" s="9">
        <v>655.9991</v>
      </c>
      <c r="AE26" s="9">
        <v>3266.927</v>
      </c>
      <c r="AF26" s="9">
        <v>653.6372</v>
      </c>
      <c r="AG26" s="9">
        <v>3280.999</v>
      </c>
      <c r="AH26" s="9">
        <v>725.9289</v>
      </c>
      <c r="AI26" s="9">
        <v>3467.258</v>
      </c>
      <c r="AJ26" s="9">
        <v>725.4071</v>
      </c>
      <c r="AK26" s="9">
        <v>426.3511</v>
      </c>
      <c r="AL26" s="9">
        <v>79.31065</v>
      </c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</row>
    <row r="27" ht="15.75" customHeight="1">
      <c r="A27" s="9">
        <v>4324.971</v>
      </c>
      <c r="B27" s="9">
        <v>873.0149</v>
      </c>
      <c r="C27" s="9">
        <v>4696.4373</v>
      </c>
      <c r="D27" s="9">
        <v>662.8331</v>
      </c>
      <c r="E27" s="9">
        <v>3105.004</v>
      </c>
      <c r="F27" s="9">
        <v>1001.891</v>
      </c>
      <c r="G27" s="9">
        <v>4203.921</v>
      </c>
      <c r="H27" s="9">
        <v>965.2105</v>
      </c>
      <c r="I27" s="9">
        <v>4200.495</v>
      </c>
      <c r="J27" s="9">
        <v>922.2879</v>
      </c>
      <c r="K27" s="9">
        <v>4302.887</v>
      </c>
      <c r="L27" s="9">
        <v>870.2579</v>
      </c>
      <c r="M27" s="9">
        <v>4698.168</v>
      </c>
      <c r="N27" s="9">
        <v>1207.648</v>
      </c>
      <c r="O27" s="9">
        <v>4329.689</v>
      </c>
      <c r="P27" s="9">
        <v>865.4123</v>
      </c>
      <c r="Q27" s="9">
        <v>4315.48</v>
      </c>
      <c r="R27" s="9">
        <v>894.4561</v>
      </c>
      <c r="S27" s="9">
        <v>4637.471</v>
      </c>
      <c r="T27" s="9">
        <v>963.5295</v>
      </c>
      <c r="U27" s="9">
        <v>3075.62</v>
      </c>
      <c r="V27" s="9">
        <v>868.4031</v>
      </c>
      <c r="W27" s="9">
        <v>4239.386</v>
      </c>
      <c r="X27" s="9">
        <v>810.5461</v>
      </c>
      <c r="Y27" s="9">
        <v>4312.511</v>
      </c>
      <c r="Z27" s="9">
        <v>799.854</v>
      </c>
      <c r="AA27" s="9">
        <v>4740.772</v>
      </c>
      <c r="AB27" s="9">
        <v>927.2818</v>
      </c>
      <c r="AC27" s="9">
        <v>4155.26</v>
      </c>
      <c r="AD27" s="9">
        <v>788.4339</v>
      </c>
      <c r="AE27" s="9">
        <v>4505.247</v>
      </c>
      <c r="AF27" s="9">
        <v>860.5212</v>
      </c>
      <c r="AG27" s="9">
        <v>4558.197</v>
      </c>
      <c r="AH27" s="9">
        <v>822.6719</v>
      </c>
      <c r="AI27" s="9">
        <v>4219.512</v>
      </c>
      <c r="AJ27" s="9">
        <v>818.1277</v>
      </c>
      <c r="AK27" s="9">
        <v>425.2015</v>
      </c>
      <c r="AL27" s="9">
        <v>79.243</v>
      </c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</row>
    <row r="28" ht="15.75" customHeight="1">
      <c r="A28" s="9">
        <v>1431.6796</v>
      </c>
      <c r="B28" s="9">
        <v>141.7146</v>
      </c>
      <c r="C28" s="9">
        <v>1044.4216</v>
      </c>
      <c r="D28" s="9">
        <v>106.7125</v>
      </c>
      <c r="E28" s="9">
        <v>875.3407</v>
      </c>
      <c r="F28" s="9">
        <v>274.7394</v>
      </c>
      <c r="G28" s="9">
        <v>1489.404</v>
      </c>
      <c r="H28" s="9">
        <v>189.2489</v>
      </c>
      <c r="I28" s="9">
        <v>1055.444</v>
      </c>
      <c r="J28" s="9">
        <v>183.8435</v>
      </c>
      <c r="K28" s="9">
        <v>964.9641</v>
      </c>
      <c r="L28" s="9">
        <v>177.728</v>
      </c>
      <c r="M28" s="9">
        <v>1695.432</v>
      </c>
      <c r="N28" s="9">
        <v>214.5798</v>
      </c>
      <c r="O28" s="9">
        <v>1687.774</v>
      </c>
      <c r="P28" s="9">
        <v>196.7791</v>
      </c>
      <c r="Q28" s="9">
        <v>1053.163</v>
      </c>
      <c r="R28" s="9">
        <v>250.6273</v>
      </c>
      <c r="S28" s="9">
        <v>1018.836</v>
      </c>
      <c r="T28" s="9">
        <v>212.6946</v>
      </c>
      <c r="U28" s="9">
        <v>1116.191</v>
      </c>
      <c r="V28" s="9">
        <v>217.642</v>
      </c>
      <c r="W28" s="9">
        <v>2265.319</v>
      </c>
      <c r="X28" s="9">
        <v>150.2501</v>
      </c>
      <c r="Y28" s="9">
        <v>1912.473</v>
      </c>
      <c r="Z28" s="9">
        <v>191.4056</v>
      </c>
      <c r="AA28" s="9">
        <v>1500.937</v>
      </c>
      <c r="AB28" s="9">
        <v>253.4702</v>
      </c>
      <c r="AC28" s="9">
        <v>1621.522</v>
      </c>
      <c r="AD28" s="9">
        <v>154.5593</v>
      </c>
      <c r="AE28" s="9">
        <v>1572.508</v>
      </c>
      <c r="AF28" s="9">
        <v>173.0288</v>
      </c>
      <c r="AG28" s="9">
        <v>1604.472</v>
      </c>
      <c r="AH28" s="9">
        <v>152.2815</v>
      </c>
      <c r="AI28" s="9">
        <v>1603.066</v>
      </c>
      <c r="AJ28" s="9">
        <v>186.1053</v>
      </c>
      <c r="AK28" s="9">
        <v>194.8054</v>
      </c>
      <c r="AL28" s="9">
        <v>21.11278</v>
      </c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</row>
    <row r="29" ht="15.75" customHeight="1">
      <c r="A29" s="9">
        <v>2565.4121</v>
      </c>
      <c r="B29" s="9">
        <v>503.2524</v>
      </c>
      <c r="C29" s="9">
        <v>2666.7929</v>
      </c>
      <c r="D29" s="9">
        <v>379.9716</v>
      </c>
      <c r="E29" s="9">
        <v>2012.157</v>
      </c>
      <c r="F29" s="9">
        <v>613.1338</v>
      </c>
      <c r="G29" s="9">
        <v>2735.216</v>
      </c>
      <c r="H29" s="9">
        <v>561.5586</v>
      </c>
      <c r="I29" s="9">
        <v>2724.231</v>
      </c>
      <c r="J29" s="9">
        <v>531.763</v>
      </c>
      <c r="K29" s="9">
        <v>2789.929</v>
      </c>
      <c r="L29" s="9">
        <v>468.7113</v>
      </c>
      <c r="M29" s="9">
        <v>3046.91</v>
      </c>
      <c r="N29" s="9">
        <v>597.2571</v>
      </c>
      <c r="O29" s="9">
        <v>3037.824</v>
      </c>
      <c r="P29" s="9">
        <v>636.6523</v>
      </c>
      <c r="Q29" s="9">
        <v>2674.171</v>
      </c>
      <c r="R29" s="9">
        <v>570.5739</v>
      </c>
      <c r="S29" s="9">
        <v>2882.126</v>
      </c>
      <c r="T29" s="9">
        <v>526.3401</v>
      </c>
      <c r="U29" s="9">
        <v>1907.288</v>
      </c>
      <c r="V29" s="9">
        <v>570.3479</v>
      </c>
      <c r="W29" s="9">
        <v>3396.553</v>
      </c>
      <c r="X29" s="9">
        <v>421.3136</v>
      </c>
      <c r="Y29" s="9">
        <v>2742.483</v>
      </c>
      <c r="Z29" s="9">
        <v>569.967</v>
      </c>
      <c r="AA29" s="9">
        <v>2796.479</v>
      </c>
      <c r="AB29" s="9">
        <v>544.6901</v>
      </c>
      <c r="AC29" s="9">
        <v>2986.376</v>
      </c>
      <c r="AD29" s="9">
        <v>504.2927</v>
      </c>
      <c r="AE29" s="9">
        <v>3295.639</v>
      </c>
      <c r="AF29" s="9">
        <v>490.6031</v>
      </c>
      <c r="AG29" s="9">
        <v>3306.641</v>
      </c>
      <c r="AH29" s="9">
        <v>446.6447</v>
      </c>
      <c r="AI29" s="9">
        <v>2875.39</v>
      </c>
      <c r="AJ29" s="9">
        <v>493.3946</v>
      </c>
      <c r="AK29" s="9">
        <v>293.1909</v>
      </c>
      <c r="AL29" s="9">
        <v>39.96528</v>
      </c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</row>
    <row r="30" ht="15.75" customHeight="1">
      <c r="A30" s="9">
        <v>4012.9236</v>
      </c>
      <c r="B30" s="9">
        <v>838.9453</v>
      </c>
      <c r="C30" s="9">
        <v>4125.8785</v>
      </c>
      <c r="D30" s="9">
        <v>1729.427</v>
      </c>
      <c r="E30" s="9">
        <v>2694.16</v>
      </c>
      <c r="F30" s="9">
        <v>832.282</v>
      </c>
      <c r="G30" s="9">
        <v>4175.787</v>
      </c>
      <c r="H30" s="9">
        <v>853.8874</v>
      </c>
      <c r="I30" s="9">
        <v>3998.59</v>
      </c>
      <c r="J30" s="9">
        <v>911.6857</v>
      </c>
      <c r="K30" s="9">
        <v>4126.055</v>
      </c>
      <c r="L30" s="9">
        <v>906.7473</v>
      </c>
      <c r="M30" s="9">
        <v>4461.565</v>
      </c>
      <c r="N30" s="9">
        <v>891.2579</v>
      </c>
      <c r="O30" s="9">
        <v>4040.388</v>
      </c>
      <c r="P30" s="9">
        <v>889.3295</v>
      </c>
      <c r="Q30" s="9">
        <v>4161.548</v>
      </c>
      <c r="R30" s="9">
        <v>852.6043</v>
      </c>
      <c r="S30" s="9">
        <v>4197.636</v>
      </c>
      <c r="T30" s="9">
        <v>899.5203</v>
      </c>
      <c r="U30" s="9">
        <v>2502.94</v>
      </c>
      <c r="V30" s="9">
        <v>865.3771</v>
      </c>
      <c r="W30" s="9">
        <v>4565.137</v>
      </c>
      <c r="X30" s="9">
        <v>845.6749</v>
      </c>
      <c r="Y30" s="9">
        <v>4050.553</v>
      </c>
      <c r="Z30" s="9">
        <v>837.2202</v>
      </c>
      <c r="AA30" s="9">
        <v>4233.67</v>
      </c>
      <c r="AB30" s="9">
        <v>916.3521</v>
      </c>
      <c r="AC30" s="9">
        <v>4069.528</v>
      </c>
      <c r="AD30" s="9">
        <v>775.5369</v>
      </c>
      <c r="AE30" s="9">
        <v>4304.13</v>
      </c>
      <c r="AF30" s="9">
        <v>869.6894</v>
      </c>
      <c r="AG30" s="9">
        <v>4071.619</v>
      </c>
      <c r="AH30" s="9">
        <v>813.636</v>
      </c>
      <c r="AI30" s="9">
        <v>4069.071</v>
      </c>
      <c r="AJ30" s="9">
        <v>932.1353</v>
      </c>
      <c r="AK30" s="9">
        <v>406.0706</v>
      </c>
      <c r="AL30" s="9">
        <v>79.09262</v>
      </c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</row>
    <row r="31" ht="15.75" customHeight="1">
      <c r="A31" s="9">
        <v>1958.1806</v>
      </c>
      <c r="B31" s="9">
        <v>460.151</v>
      </c>
      <c r="C31" s="9">
        <v>2446.9053</v>
      </c>
      <c r="D31" s="9">
        <v>395.0303</v>
      </c>
      <c r="E31" s="9">
        <v>1931.916</v>
      </c>
      <c r="F31" s="9">
        <v>519.9671</v>
      </c>
      <c r="G31" s="9">
        <v>2458.787</v>
      </c>
      <c r="H31" s="9">
        <v>477.3063</v>
      </c>
      <c r="I31" s="9">
        <v>2315.341</v>
      </c>
      <c r="J31" s="9">
        <v>642.2805</v>
      </c>
      <c r="K31" s="9">
        <v>2582.139</v>
      </c>
      <c r="L31" s="9">
        <v>544.5598</v>
      </c>
      <c r="M31" s="9">
        <v>2498.366</v>
      </c>
      <c r="N31" s="9">
        <v>513.2784</v>
      </c>
      <c r="O31" s="9">
        <v>2533.964</v>
      </c>
      <c r="P31" s="9">
        <v>448.0881</v>
      </c>
      <c r="Q31" s="9">
        <v>1992.975</v>
      </c>
      <c r="R31" s="9">
        <v>482.3823</v>
      </c>
      <c r="S31" s="9">
        <v>2214.956</v>
      </c>
      <c r="T31" s="9">
        <v>508.8839</v>
      </c>
      <c r="U31" s="9">
        <v>1724.248</v>
      </c>
      <c r="V31" s="9">
        <v>485.1956</v>
      </c>
      <c r="W31" s="9">
        <v>2893.36</v>
      </c>
      <c r="X31" s="9">
        <v>520.4779</v>
      </c>
      <c r="Y31" s="9">
        <v>2360.75</v>
      </c>
      <c r="Z31" s="9">
        <v>469.9471</v>
      </c>
      <c r="AA31" s="9">
        <v>2299.055</v>
      </c>
      <c r="AB31" s="9">
        <v>632.4705</v>
      </c>
      <c r="AC31" s="9">
        <v>2369.999</v>
      </c>
      <c r="AD31" s="9">
        <v>445.5345</v>
      </c>
      <c r="AE31" s="9">
        <v>2967.328</v>
      </c>
      <c r="AF31" s="9">
        <v>499.0563</v>
      </c>
      <c r="AG31" s="9">
        <v>2179.932</v>
      </c>
      <c r="AH31" s="9">
        <v>554.0556</v>
      </c>
      <c r="AI31" s="9">
        <v>2578.689</v>
      </c>
      <c r="AJ31" s="9">
        <v>574.8196</v>
      </c>
      <c r="AK31" s="9">
        <v>276.9967</v>
      </c>
      <c r="AL31" s="9">
        <v>38.97099</v>
      </c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</row>
    <row r="32" ht="15.75" customHeight="1">
      <c r="A32" s="9">
        <v>25600.975</v>
      </c>
      <c r="B32" s="9">
        <v>5130.63</v>
      </c>
      <c r="C32" s="9">
        <v>25602.707</v>
      </c>
      <c r="D32" s="9">
        <v>5124.761</v>
      </c>
      <c r="E32" s="9">
        <v>12634.76</v>
      </c>
      <c r="F32" s="9">
        <v>5131.22</v>
      </c>
      <c r="G32" s="9">
        <v>25616.69</v>
      </c>
      <c r="H32" s="9">
        <v>5133.576</v>
      </c>
      <c r="I32" s="9">
        <v>25604.07</v>
      </c>
      <c r="J32" s="9">
        <v>5131.504</v>
      </c>
      <c r="K32" s="9">
        <v>25603.08</v>
      </c>
      <c r="L32" s="9">
        <v>5138.038</v>
      </c>
      <c r="M32" s="9">
        <v>25613.4</v>
      </c>
      <c r="N32" s="9">
        <v>5147.206</v>
      </c>
      <c r="O32" s="9">
        <v>25620.76</v>
      </c>
      <c r="P32" s="9">
        <v>5133.687</v>
      </c>
      <c r="Q32" s="9">
        <v>25583.08</v>
      </c>
      <c r="R32" s="9">
        <v>5131.64</v>
      </c>
      <c r="S32" s="9">
        <v>25582.73</v>
      </c>
      <c r="T32" s="9">
        <v>5135.802</v>
      </c>
      <c r="U32" s="9">
        <v>12691.12</v>
      </c>
      <c r="V32" s="9">
        <v>5131.286</v>
      </c>
      <c r="W32" s="9">
        <v>25604.85</v>
      </c>
      <c r="X32" s="9">
        <v>5132.515</v>
      </c>
      <c r="Y32" s="9">
        <v>25575.41</v>
      </c>
      <c r="Z32" s="9">
        <v>5131.713</v>
      </c>
      <c r="AA32" s="9">
        <v>25599.72</v>
      </c>
      <c r="AB32" s="9">
        <v>5131.953</v>
      </c>
      <c r="AC32" s="9">
        <v>25578.67</v>
      </c>
      <c r="AD32" s="9">
        <v>5130.644</v>
      </c>
      <c r="AE32" s="9">
        <v>25598.69</v>
      </c>
      <c r="AF32" s="9">
        <v>5130.608</v>
      </c>
      <c r="AG32" s="9">
        <v>25601.14</v>
      </c>
      <c r="AH32" s="9">
        <v>5131.036</v>
      </c>
      <c r="AI32" s="9">
        <v>25586.49</v>
      </c>
      <c r="AJ32" s="9">
        <v>5131.486</v>
      </c>
      <c r="AK32" s="9">
        <v>1597.178</v>
      </c>
      <c r="AL32" s="9">
        <v>334.7884</v>
      </c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</row>
    <row r="33" ht="15.75" customHeight="1">
      <c r="A33" s="9">
        <v>25572.665</v>
      </c>
      <c r="B33" s="9">
        <v>5129.411</v>
      </c>
      <c r="C33" s="9">
        <v>25572.053</v>
      </c>
      <c r="D33" s="9">
        <v>5124.568</v>
      </c>
      <c r="E33" s="9">
        <v>12716.05</v>
      </c>
      <c r="F33" s="9">
        <v>5129.531</v>
      </c>
      <c r="G33" s="9">
        <v>25576.35</v>
      </c>
      <c r="H33" s="9">
        <v>5129.673</v>
      </c>
      <c r="I33" s="9">
        <v>25573.79</v>
      </c>
      <c r="J33" s="9">
        <v>5130.684</v>
      </c>
      <c r="K33" s="9">
        <v>25577.85</v>
      </c>
      <c r="L33" s="9">
        <v>5134.183</v>
      </c>
      <c r="M33" s="9">
        <v>25577.29</v>
      </c>
      <c r="N33" s="9">
        <v>5163.793</v>
      </c>
      <c r="O33" s="9">
        <v>25582.47</v>
      </c>
      <c r="P33" s="9">
        <v>5130.205</v>
      </c>
      <c r="Q33" s="9">
        <v>25594.82</v>
      </c>
      <c r="R33" s="9">
        <v>5130.092</v>
      </c>
      <c r="S33" s="9">
        <v>25572.16</v>
      </c>
      <c r="T33" s="9">
        <v>5150.69</v>
      </c>
      <c r="U33" s="9">
        <v>12776.74</v>
      </c>
      <c r="V33" s="9">
        <v>5130.632</v>
      </c>
      <c r="W33" s="9">
        <v>25579.8</v>
      </c>
      <c r="X33" s="9">
        <v>5131.68</v>
      </c>
      <c r="Y33" s="9">
        <v>25586.21</v>
      </c>
      <c r="Z33" s="9">
        <v>5130.004</v>
      </c>
      <c r="AA33" s="9">
        <v>25579.96</v>
      </c>
      <c r="AB33" s="9">
        <v>5133.257</v>
      </c>
      <c r="AC33" s="9">
        <v>25578.44</v>
      </c>
      <c r="AD33" s="9">
        <v>5131.314</v>
      </c>
      <c r="AE33" s="9">
        <v>25576.36</v>
      </c>
      <c r="AF33" s="9">
        <v>5130.082</v>
      </c>
      <c r="AG33" s="9">
        <v>25585.62</v>
      </c>
      <c r="AH33" s="9">
        <v>5150.407</v>
      </c>
      <c r="AI33" s="9">
        <v>25615.79</v>
      </c>
      <c r="AJ33" s="9">
        <v>5130.166</v>
      </c>
      <c r="AK33" s="9">
        <v>1596.56</v>
      </c>
      <c r="AL33" s="9">
        <v>330.7052</v>
      </c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</row>
    <row r="34" ht="15.75" customHeight="1">
      <c r="A34" s="9">
        <v>1931.9773</v>
      </c>
      <c r="B34" s="9">
        <v>294.306</v>
      </c>
      <c r="C34" s="9">
        <v>2068.1913</v>
      </c>
      <c r="D34" s="9">
        <v>193.2903</v>
      </c>
      <c r="E34" s="9">
        <v>1626.642</v>
      </c>
      <c r="F34" s="9">
        <v>315.108</v>
      </c>
      <c r="G34" s="9">
        <v>2419.85</v>
      </c>
      <c r="H34" s="9">
        <v>369.9321</v>
      </c>
      <c r="I34" s="9">
        <v>1641.563</v>
      </c>
      <c r="J34" s="9">
        <v>380.2019</v>
      </c>
      <c r="K34" s="9">
        <v>1944.432</v>
      </c>
      <c r="L34" s="9">
        <v>322.8853</v>
      </c>
      <c r="M34" s="9">
        <v>2152.644</v>
      </c>
      <c r="N34" s="9">
        <v>571.0985</v>
      </c>
      <c r="O34" s="9">
        <v>2340.167</v>
      </c>
      <c r="P34" s="9">
        <v>402.3582</v>
      </c>
      <c r="Q34" s="9">
        <v>2135.192</v>
      </c>
      <c r="R34" s="9">
        <v>403.6007</v>
      </c>
      <c r="S34" s="9">
        <v>1566.924</v>
      </c>
      <c r="T34" s="9">
        <v>472.9078</v>
      </c>
      <c r="U34" s="9">
        <v>1454.153</v>
      </c>
      <c r="V34" s="9">
        <v>398.637</v>
      </c>
      <c r="W34" s="9">
        <v>1824.408</v>
      </c>
      <c r="X34" s="9">
        <v>343.2287</v>
      </c>
      <c r="Y34" s="9">
        <v>1646.552</v>
      </c>
      <c r="Z34" s="9">
        <v>304.7789</v>
      </c>
      <c r="AA34" s="9">
        <v>2164.272</v>
      </c>
      <c r="AB34" s="9">
        <v>495.0626</v>
      </c>
      <c r="AC34" s="9">
        <v>2119.25</v>
      </c>
      <c r="AD34" s="9">
        <v>327.5592</v>
      </c>
      <c r="AE34" s="9">
        <v>2130.95</v>
      </c>
      <c r="AF34" s="9">
        <v>349.2477</v>
      </c>
      <c r="AG34" s="9">
        <v>1615.475</v>
      </c>
      <c r="AH34" s="9">
        <v>299.0062</v>
      </c>
      <c r="AI34" s="9">
        <v>1832.098</v>
      </c>
      <c r="AJ34" s="9">
        <v>406.9305</v>
      </c>
      <c r="AK34" s="9">
        <v>211.9404</v>
      </c>
      <c r="AL34" s="9">
        <v>40.02</v>
      </c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</row>
    <row r="35" ht="15.75" customHeight="1">
      <c r="A35" s="9">
        <v>3168.2223</v>
      </c>
      <c r="B35" s="9">
        <v>192.7173</v>
      </c>
      <c r="C35" s="9">
        <v>5071.5638</v>
      </c>
      <c r="D35" s="9">
        <v>119.1888</v>
      </c>
      <c r="E35" s="9">
        <v>1511.814</v>
      </c>
      <c r="F35" s="9">
        <v>181.7532</v>
      </c>
      <c r="G35" s="9">
        <v>4280.671</v>
      </c>
      <c r="H35" s="9">
        <v>256.7666</v>
      </c>
      <c r="I35" s="9">
        <v>2531.108</v>
      </c>
      <c r="J35" s="9">
        <v>201.1475</v>
      </c>
      <c r="K35" s="9">
        <v>3972.393</v>
      </c>
      <c r="L35" s="9">
        <v>192.9846</v>
      </c>
      <c r="M35" s="9">
        <v>3029.045</v>
      </c>
      <c r="N35" s="9">
        <v>229.2508</v>
      </c>
      <c r="O35" s="9">
        <v>3436.481</v>
      </c>
      <c r="P35" s="9">
        <v>249.2813</v>
      </c>
      <c r="Q35" s="1" t="s">
        <v>85</v>
      </c>
      <c r="R35" s="1" t="s">
        <v>85</v>
      </c>
      <c r="S35" s="9">
        <v>4038.568</v>
      </c>
      <c r="T35" s="9">
        <v>269.3213</v>
      </c>
      <c r="U35" s="9">
        <v>1814.685</v>
      </c>
      <c r="V35" s="9">
        <v>244.1815</v>
      </c>
      <c r="W35" s="9">
        <v>2412.735</v>
      </c>
      <c r="X35" s="9">
        <v>208.5736</v>
      </c>
      <c r="Y35" s="9">
        <v>2574.828</v>
      </c>
      <c r="Z35" s="9">
        <v>312.9258</v>
      </c>
      <c r="AA35" s="9">
        <v>3391.121</v>
      </c>
      <c r="AB35" s="9">
        <v>279.9947</v>
      </c>
      <c r="AC35" s="9">
        <v>3180.421</v>
      </c>
      <c r="AD35" s="9">
        <v>249.0126</v>
      </c>
      <c r="AE35" s="9">
        <v>4518.875</v>
      </c>
      <c r="AF35" s="9">
        <v>168.1535</v>
      </c>
      <c r="AG35" s="9">
        <v>3305.122</v>
      </c>
      <c r="AH35" s="9">
        <v>198.3874</v>
      </c>
      <c r="AI35" s="9">
        <v>3185.166</v>
      </c>
      <c r="AJ35" s="9">
        <v>281.0019</v>
      </c>
      <c r="AK35" s="9">
        <v>200.0682</v>
      </c>
      <c r="AL35" s="9">
        <v>22.28594</v>
      </c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</row>
    <row r="36" ht="15.75" customHeight="1">
      <c r="A36" s="9">
        <v>1613.955</v>
      </c>
      <c r="B36" s="9">
        <v>207.1673</v>
      </c>
      <c r="C36" s="9">
        <v>3255.135</v>
      </c>
      <c r="D36" s="9">
        <v>165.5325</v>
      </c>
      <c r="E36" s="9">
        <v>1435.503</v>
      </c>
      <c r="F36" s="9">
        <v>250.3471</v>
      </c>
      <c r="G36" s="9">
        <v>2902.418</v>
      </c>
      <c r="H36" s="9">
        <v>351.9869</v>
      </c>
      <c r="I36" s="9">
        <v>1585.49</v>
      </c>
      <c r="J36" s="9">
        <v>287.9299</v>
      </c>
      <c r="K36" s="9">
        <v>3293.671</v>
      </c>
      <c r="L36" s="9">
        <v>207.0277</v>
      </c>
      <c r="M36" s="9">
        <v>2420.083</v>
      </c>
      <c r="N36" s="9">
        <v>239.5813</v>
      </c>
      <c r="O36" s="9">
        <v>2172.666</v>
      </c>
      <c r="P36" s="9">
        <v>326.4198</v>
      </c>
      <c r="Q36" s="9">
        <v>2810.997</v>
      </c>
      <c r="R36" s="9">
        <v>177.8925</v>
      </c>
      <c r="S36" s="9">
        <v>4247.924</v>
      </c>
      <c r="T36" s="9">
        <v>318.6529</v>
      </c>
      <c r="U36" s="9">
        <v>1338.557</v>
      </c>
      <c r="V36" s="9">
        <v>225.6318</v>
      </c>
      <c r="W36" s="9">
        <v>2273.962</v>
      </c>
      <c r="X36" s="9">
        <v>240.373</v>
      </c>
      <c r="Y36" s="9">
        <v>1925.01</v>
      </c>
      <c r="Z36" s="9">
        <v>245.4357</v>
      </c>
      <c r="AA36" s="9">
        <v>3359.881</v>
      </c>
      <c r="AB36" s="9">
        <v>314.2033</v>
      </c>
      <c r="AC36" s="9">
        <v>2483.303</v>
      </c>
      <c r="AD36" s="9">
        <v>217.1391</v>
      </c>
      <c r="AE36" s="9">
        <v>2178.736</v>
      </c>
      <c r="AF36" s="9">
        <v>235.8963</v>
      </c>
      <c r="AG36" s="9">
        <v>2407.591</v>
      </c>
      <c r="AH36" s="9">
        <v>208.5303</v>
      </c>
      <c r="AI36" s="9">
        <v>2233.43</v>
      </c>
      <c r="AJ36" s="9">
        <v>278.007</v>
      </c>
      <c r="AK36" s="9">
        <v>194.6567</v>
      </c>
      <c r="AL36" s="9">
        <v>20.5726</v>
      </c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</row>
    <row r="37" ht="15.75" customHeight="1">
      <c r="A37" s="9">
        <v>1873.1711</v>
      </c>
      <c r="B37" s="9">
        <v>328.861</v>
      </c>
      <c r="C37" s="9">
        <v>2278.1509</v>
      </c>
      <c r="D37" s="9">
        <v>242.2356</v>
      </c>
      <c r="E37" s="9">
        <v>1207.695</v>
      </c>
      <c r="F37" s="9">
        <v>341.9168</v>
      </c>
      <c r="G37" s="9">
        <v>1867.267</v>
      </c>
      <c r="H37" s="9">
        <v>466.5096</v>
      </c>
      <c r="I37" s="9">
        <v>1382.326</v>
      </c>
      <c r="J37" s="9">
        <v>381.6784</v>
      </c>
      <c r="K37" s="9">
        <v>1876.847</v>
      </c>
      <c r="L37" s="9">
        <v>339.0748</v>
      </c>
      <c r="M37" s="9">
        <v>2606.585</v>
      </c>
      <c r="N37" s="9">
        <v>570.0218</v>
      </c>
      <c r="O37" s="9">
        <v>1859.117</v>
      </c>
      <c r="P37" s="9">
        <v>438.9823</v>
      </c>
      <c r="Q37" s="9">
        <v>1856.506</v>
      </c>
      <c r="R37" s="9">
        <v>309.3865</v>
      </c>
      <c r="S37" s="9">
        <v>1567.765</v>
      </c>
      <c r="T37" s="9">
        <v>413.3937</v>
      </c>
      <c r="U37" s="9">
        <v>1326.005</v>
      </c>
      <c r="V37" s="9">
        <v>358.4348</v>
      </c>
      <c r="W37" s="9">
        <v>2000.043</v>
      </c>
      <c r="X37" s="9">
        <v>316.4277</v>
      </c>
      <c r="Y37" s="9">
        <v>1727.14</v>
      </c>
      <c r="Z37" s="9">
        <v>285.7533</v>
      </c>
      <c r="AA37" s="9">
        <v>1716.565</v>
      </c>
      <c r="AB37" s="9">
        <v>404.5516</v>
      </c>
      <c r="AC37" s="9">
        <v>1778.739</v>
      </c>
      <c r="AD37" s="9">
        <v>286.8708</v>
      </c>
      <c r="AE37" s="9">
        <v>2007.211</v>
      </c>
      <c r="AF37" s="9">
        <v>273.5312</v>
      </c>
      <c r="AG37" s="9">
        <v>1605.962</v>
      </c>
      <c r="AH37" s="9">
        <v>310.5615</v>
      </c>
      <c r="AI37" s="9">
        <v>1859.642</v>
      </c>
      <c r="AJ37" s="9">
        <v>344.7564</v>
      </c>
      <c r="AK37" s="9">
        <v>195.3337</v>
      </c>
      <c r="AL37" s="9">
        <v>36.46629</v>
      </c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</row>
    <row r="38" ht="15.75" customHeight="1">
      <c r="A38" s="9">
        <v>2060.7414</v>
      </c>
      <c r="B38" s="9">
        <v>301.3985</v>
      </c>
      <c r="C38" s="9">
        <v>2861.453</v>
      </c>
      <c r="D38" s="9">
        <v>241.3444</v>
      </c>
      <c r="E38" s="9">
        <v>1394.273</v>
      </c>
      <c r="F38" s="9">
        <v>346.9422</v>
      </c>
      <c r="G38" s="9">
        <v>2213.328</v>
      </c>
      <c r="H38" s="9">
        <v>422.7474</v>
      </c>
      <c r="I38" s="9">
        <v>2054.22</v>
      </c>
      <c r="J38" s="9">
        <v>396.3367</v>
      </c>
      <c r="K38" s="9">
        <v>2871.014</v>
      </c>
      <c r="L38" s="9">
        <v>316.2573</v>
      </c>
      <c r="M38" s="9">
        <v>2540.545</v>
      </c>
      <c r="N38" s="9">
        <v>468.2192</v>
      </c>
      <c r="O38" s="9">
        <v>2298.68</v>
      </c>
      <c r="P38" s="9">
        <v>425.2678</v>
      </c>
      <c r="Q38" s="9">
        <v>2018.546</v>
      </c>
      <c r="R38" s="9">
        <v>305.0756</v>
      </c>
      <c r="S38" s="9">
        <v>2579.242</v>
      </c>
      <c r="T38" s="9">
        <v>372.1356</v>
      </c>
      <c r="U38" s="9">
        <v>1389.135</v>
      </c>
      <c r="V38" s="9">
        <v>342.2418</v>
      </c>
      <c r="W38" s="9">
        <v>2276.818</v>
      </c>
      <c r="X38" s="9">
        <v>342.5355</v>
      </c>
      <c r="Y38" s="9">
        <v>2127.725</v>
      </c>
      <c r="Z38" s="9">
        <v>337.5677</v>
      </c>
      <c r="AA38" s="9">
        <v>2377.985</v>
      </c>
      <c r="AB38" s="9">
        <v>453.1141</v>
      </c>
      <c r="AC38" s="9">
        <v>2136.016</v>
      </c>
      <c r="AD38" s="9">
        <v>388.3214</v>
      </c>
      <c r="AE38" s="9">
        <v>2455.265</v>
      </c>
      <c r="AF38" s="9">
        <v>357.828</v>
      </c>
      <c r="AG38" s="9">
        <v>2098.808</v>
      </c>
      <c r="AH38" s="9">
        <v>289.4184</v>
      </c>
      <c r="AI38" s="9">
        <v>2269.201</v>
      </c>
      <c r="AJ38" s="9">
        <v>352.472</v>
      </c>
      <c r="AK38" s="9">
        <v>195.4215</v>
      </c>
      <c r="AL38" s="9">
        <v>36.69045</v>
      </c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</row>
    <row r="39" ht="15.75" customHeight="1">
      <c r="A39" s="9">
        <v>1585.8175</v>
      </c>
      <c r="B39" s="9">
        <v>278.3557</v>
      </c>
      <c r="C39" s="9">
        <v>1738.6287</v>
      </c>
      <c r="D39" s="9">
        <v>294.2564</v>
      </c>
      <c r="E39" s="9">
        <v>1181.301</v>
      </c>
      <c r="F39" s="9">
        <v>346.8851</v>
      </c>
      <c r="G39" s="9">
        <v>1962.742</v>
      </c>
      <c r="H39" s="9">
        <v>412.7335</v>
      </c>
      <c r="I39" s="9">
        <v>1643.259</v>
      </c>
      <c r="J39" s="9">
        <v>370.6589</v>
      </c>
      <c r="K39" s="9">
        <v>2270.587</v>
      </c>
      <c r="L39" s="9">
        <v>339.0351</v>
      </c>
      <c r="M39" s="9">
        <v>2634.957</v>
      </c>
      <c r="N39" s="9">
        <v>568.0434</v>
      </c>
      <c r="O39" s="9">
        <v>2009.505</v>
      </c>
      <c r="P39" s="9">
        <v>468.4088</v>
      </c>
      <c r="Q39" s="9">
        <v>1931.898</v>
      </c>
      <c r="R39" s="9">
        <v>320.9714</v>
      </c>
      <c r="S39" s="9">
        <v>2753.168</v>
      </c>
      <c r="T39" s="9">
        <v>428.2929</v>
      </c>
      <c r="U39" s="9">
        <v>1456.99</v>
      </c>
      <c r="V39" s="9">
        <v>337.9391</v>
      </c>
      <c r="W39" s="9">
        <v>2138.64</v>
      </c>
      <c r="X39" s="9">
        <v>319.501</v>
      </c>
      <c r="Y39" s="9">
        <v>1524.419</v>
      </c>
      <c r="Z39" s="9">
        <v>330.4597</v>
      </c>
      <c r="AA39" s="9">
        <v>1686.46</v>
      </c>
      <c r="AB39" s="9">
        <v>491.1661</v>
      </c>
      <c r="AC39" s="9">
        <v>1732.07</v>
      </c>
      <c r="AD39" s="9">
        <v>456.4134</v>
      </c>
      <c r="AE39" s="9">
        <v>1763.448</v>
      </c>
      <c r="AF39" s="9">
        <v>318.6833</v>
      </c>
      <c r="AG39" s="9">
        <v>1545.501</v>
      </c>
      <c r="AH39" s="9">
        <v>300.8993</v>
      </c>
      <c r="AI39" s="9">
        <v>1896.408</v>
      </c>
      <c r="AJ39" s="9">
        <v>302.4477</v>
      </c>
      <c r="AK39" s="9">
        <v>199.2101</v>
      </c>
      <c r="AL39" s="9">
        <v>35.85185</v>
      </c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</row>
    <row r="40" ht="15.75" customHeight="1">
      <c r="A40" s="9">
        <v>917.92515</v>
      </c>
      <c r="B40" s="9">
        <v>332.1147</v>
      </c>
      <c r="C40" s="9">
        <v>1198.3141</v>
      </c>
      <c r="D40" s="9">
        <v>217.503</v>
      </c>
      <c r="E40" s="9">
        <v>755.4923</v>
      </c>
      <c r="F40" s="9">
        <v>333.0972</v>
      </c>
      <c r="G40" s="9">
        <v>1220.883</v>
      </c>
      <c r="H40" s="9">
        <v>395.8445</v>
      </c>
      <c r="I40" s="9">
        <v>1163.868</v>
      </c>
      <c r="J40" s="9">
        <v>423.241</v>
      </c>
      <c r="K40" s="9">
        <v>1392.099</v>
      </c>
      <c r="L40" s="9">
        <v>314.0457</v>
      </c>
      <c r="M40" s="9">
        <v>1760.353</v>
      </c>
      <c r="N40" s="9">
        <v>436.551</v>
      </c>
      <c r="O40" s="9">
        <v>1734.581</v>
      </c>
      <c r="P40" s="9">
        <v>447.014</v>
      </c>
      <c r="Q40" s="9">
        <v>1149.381</v>
      </c>
      <c r="R40" s="9">
        <v>353.3541</v>
      </c>
      <c r="S40" s="9">
        <v>1496.669</v>
      </c>
      <c r="T40" s="9">
        <v>404.0979</v>
      </c>
      <c r="U40" s="9">
        <v>1058.596</v>
      </c>
      <c r="V40" s="9">
        <v>309.6854</v>
      </c>
      <c r="W40" s="9">
        <v>2003.186</v>
      </c>
      <c r="X40" s="9">
        <v>318.7081</v>
      </c>
      <c r="Y40" s="9">
        <v>1237.817</v>
      </c>
      <c r="Z40" s="9">
        <v>364.7127</v>
      </c>
      <c r="AA40" s="9">
        <v>1591.926</v>
      </c>
      <c r="AB40" s="9">
        <v>386.2789</v>
      </c>
      <c r="AC40" s="9">
        <v>1511.184</v>
      </c>
      <c r="AD40" s="9">
        <v>336.0927</v>
      </c>
      <c r="AE40" s="9">
        <v>1481.983</v>
      </c>
      <c r="AF40" s="9">
        <v>339.3625</v>
      </c>
      <c r="AG40" s="9">
        <v>1336.741</v>
      </c>
      <c r="AH40" s="9">
        <v>322.8927</v>
      </c>
      <c r="AI40" s="9">
        <v>1451.189</v>
      </c>
      <c r="AJ40" s="9">
        <v>396.6612</v>
      </c>
      <c r="AK40" s="9">
        <v>200.3058</v>
      </c>
      <c r="AL40" s="9">
        <v>26.23844</v>
      </c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</row>
    <row r="41" ht="15.75" customHeight="1">
      <c r="A41" s="9">
        <v>1133.6261</v>
      </c>
      <c r="B41" s="9">
        <v>351.9733</v>
      </c>
      <c r="C41" s="9">
        <v>1528.4317</v>
      </c>
      <c r="D41" s="9">
        <v>241.4854</v>
      </c>
      <c r="E41" s="9">
        <v>1174.256</v>
      </c>
      <c r="F41" s="9">
        <v>362.4461</v>
      </c>
      <c r="G41" s="9">
        <v>1579.24</v>
      </c>
      <c r="H41" s="9">
        <v>358.7573</v>
      </c>
      <c r="I41" s="9">
        <v>1292.293</v>
      </c>
      <c r="J41" s="9">
        <v>444.1775</v>
      </c>
      <c r="K41" s="9">
        <v>1571.155</v>
      </c>
      <c r="L41" s="9">
        <v>313.1468</v>
      </c>
      <c r="M41" s="9">
        <v>1410.829</v>
      </c>
      <c r="N41" s="9">
        <v>484.8594</v>
      </c>
      <c r="O41" s="9">
        <v>1529.482</v>
      </c>
      <c r="P41" s="9">
        <v>433.1853</v>
      </c>
      <c r="Q41" s="9">
        <v>1400.682</v>
      </c>
      <c r="R41" s="9">
        <v>322.6406</v>
      </c>
      <c r="S41" s="9">
        <v>1366.054</v>
      </c>
      <c r="T41" s="9">
        <v>506.2702</v>
      </c>
      <c r="U41" s="9">
        <v>1218.812</v>
      </c>
      <c r="V41" s="9">
        <v>379.3255</v>
      </c>
      <c r="W41" s="9">
        <v>1433.616</v>
      </c>
      <c r="X41" s="9">
        <v>354.944</v>
      </c>
      <c r="Y41" s="9">
        <v>1437.058</v>
      </c>
      <c r="Z41" s="9">
        <v>333.0151</v>
      </c>
      <c r="AA41" s="9">
        <v>1199.406</v>
      </c>
      <c r="AB41" s="9">
        <v>537.6064</v>
      </c>
      <c r="AC41" s="9">
        <v>1351.83</v>
      </c>
      <c r="AD41" s="9">
        <v>360.9432</v>
      </c>
      <c r="AE41" s="9">
        <v>1697.392</v>
      </c>
      <c r="AF41" s="9">
        <v>325.0971</v>
      </c>
      <c r="AG41" s="9">
        <v>1443.71</v>
      </c>
      <c r="AH41" s="9">
        <v>334.8215</v>
      </c>
      <c r="AI41" s="9">
        <v>1569.996</v>
      </c>
      <c r="AJ41" s="9">
        <v>361.3315</v>
      </c>
      <c r="AK41" s="9">
        <v>210.8542</v>
      </c>
      <c r="AL41" s="9">
        <v>38.80853</v>
      </c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</row>
    <row r="42" ht="15.75" customHeight="1">
      <c r="A42" s="9">
        <v>1434.8817</v>
      </c>
      <c r="B42" s="9">
        <v>309.9005</v>
      </c>
      <c r="C42" s="9">
        <v>571.58575</v>
      </c>
      <c r="D42" s="9">
        <v>145.1894</v>
      </c>
      <c r="E42" s="9">
        <v>760.6957</v>
      </c>
      <c r="F42" s="9">
        <v>240.0112</v>
      </c>
      <c r="G42" s="9">
        <v>574.4343</v>
      </c>
      <c r="H42" s="9">
        <v>306.6797</v>
      </c>
      <c r="I42" s="9">
        <v>785.2475</v>
      </c>
      <c r="J42" s="9">
        <v>279.5997</v>
      </c>
      <c r="K42" s="9">
        <v>1100.958</v>
      </c>
      <c r="L42" s="9">
        <v>237.9479</v>
      </c>
      <c r="M42" s="9">
        <v>942.9576</v>
      </c>
      <c r="N42" s="9">
        <v>354.1169</v>
      </c>
      <c r="O42" s="9">
        <v>1047.958</v>
      </c>
      <c r="P42" s="9">
        <v>321.3092</v>
      </c>
      <c r="Q42" s="9">
        <v>548.4707</v>
      </c>
      <c r="R42" s="9">
        <v>285.911</v>
      </c>
      <c r="S42" s="9">
        <v>574.0161</v>
      </c>
      <c r="T42" s="9">
        <v>316.7769</v>
      </c>
      <c r="U42" s="9">
        <v>602.6199</v>
      </c>
      <c r="V42" s="9">
        <v>183.6391</v>
      </c>
      <c r="W42" s="9">
        <v>716.8173</v>
      </c>
      <c r="X42" s="9">
        <v>182.8772</v>
      </c>
      <c r="Y42" s="9">
        <v>618.8678</v>
      </c>
      <c r="Z42" s="9">
        <v>242.4268</v>
      </c>
      <c r="AA42" s="9">
        <v>683.3993</v>
      </c>
      <c r="AB42" s="9">
        <v>319.8595</v>
      </c>
      <c r="AC42" s="9">
        <v>929.1789</v>
      </c>
      <c r="AD42" s="9">
        <v>253.0183</v>
      </c>
      <c r="AE42" s="9">
        <v>1065.727</v>
      </c>
      <c r="AF42" s="9">
        <v>293.4232</v>
      </c>
      <c r="AG42" s="9">
        <v>655.4373</v>
      </c>
      <c r="AH42" s="9">
        <v>190.2115</v>
      </c>
      <c r="AI42" s="9">
        <v>711.08</v>
      </c>
      <c r="AJ42" s="9">
        <v>276.7581</v>
      </c>
      <c r="AK42" s="9">
        <v>192.7338</v>
      </c>
      <c r="AL42" s="9">
        <v>19.26727</v>
      </c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</row>
    <row r="43" ht="15.75" customHeight="1">
      <c r="A43" s="9">
        <v>1820.1082</v>
      </c>
      <c r="B43" s="9">
        <v>274.2012</v>
      </c>
      <c r="C43" s="9">
        <v>1094.7717</v>
      </c>
      <c r="D43" s="9">
        <v>150.9853</v>
      </c>
      <c r="E43" s="9">
        <v>961.6361</v>
      </c>
      <c r="F43" s="9">
        <v>232.2376</v>
      </c>
      <c r="G43" s="9">
        <v>1305.274</v>
      </c>
      <c r="H43" s="9">
        <v>323.265</v>
      </c>
      <c r="I43" s="9">
        <v>1182.496</v>
      </c>
      <c r="J43" s="9">
        <v>214.117</v>
      </c>
      <c r="K43" s="9">
        <v>1172.252</v>
      </c>
      <c r="L43" s="9">
        <v>186.9215</v>
      </c>
      <c r="M43" s="9">
        <v>1281.533</v>
      </c>
      <c r="N43" s="9">
        <v>447.8868</v>
      </c>
      <c r="O43" s="9">
        <v>1851.139</v>
      </c>
      <c r="P43" s="9">
        <v>267.6957</v>
      </c>
      <c r="Q43" s="9">
        <v>2034.42</v>
      </c>
      <c r="R43" s="9">
        <v>258.8948</v>
      </c>
      <c r="S43" s="9">
        <v>1597.54</v>
      </c>
      <c r="T43" s="9">
        <v>233.8304</v>
      </c>
      <c r="U43" s="9">
        <v>1132.395</v>
      </c>
      <c r="V43" s="9">
        <v>205.6532</v>
      </c>
      <c r="W43" s="9">
        <v>1130.229</v>
      </c>
      <c r="X43" s="9">
        <v>274.1496</v>
      </c>
      <c r="Y43" s="9">
        <v>2151.256</v>
      </c>
      <c r="Z43" s="9">
        <v>220.152</v>
      </c>
      <c r="AA43" s="9">
        <v>1357.075</v>
      </c>
      <c r="AB43" s="9">
        <v>250.821</v>
      </c>
      <c r="AC43" s="9">
        <v>1509.288</v>
      </c>
      <c r="AD43" s="9">
        <v>211.3313</v>
      </c>
      <c r="AE43" s="9">
        <v>2314.939</v>
      </c>
      <c r="AF43" s="9">
        <v>207.8813</v>
      </c>
      <c r="AG43" s="9">
        <v>2001.224</v>
      </c>
      <c r="AH43" s="9">
        <v>220.1831</v>
      </c>
      <c r="AI43" s="9">
        <v>1071.467</v>
      </c>
      <c r="AJ43" s="9">
        <v>258.404</v>
      </c>
      <c r="AK43" s="9">
        <v>194.136</v>
      </c>
      <c r="AL43" s="9">
        <v>18.24112</v>
      </c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</row>
    <row r="44" ht="15.75" customHeight="1">
      <c r="A44" s="9">
        <v>1882.2335</v>
      </c>
      <c r="B44" s="9">
        <v>287.6648</v>
      </c>
      <c r="C44" s="9">
        <v>1633.2116</v>
      </c>
      <c r="D44" s="9">
        <v>215.7328</v>
      </c>
      <c r="E44" s="9">
        <v>855.1561</v>
      </c>
      <c r="F44" s="9">
        <v>301.8737</v>
      </c>
      <c r="G44" s="9">
        <v>1432.953</v>
      </c>
      <c r="H44" s="9">
        <v>380.6516</v>
      </c>
      <c r="I44" s="9">
        <v>1269.637</v>
      </c>
      <c r="J44" s="9">
        <v>349.858</v>
      </c>
      <c r="K44" s="9">
        <v>1422.448</v>
      </c>
      <c r="L44" s="9">
        <v>336.3777</v>
      </c>
      <c r="M44" s="9">
        <v>1008.495</v>
      </c>
      <c r="N44" s="9">
        <v>433.3494</v>
      </c>
      <c r="O44" s="9">
        <v>1123.238</v>
      </c>
      <c r="P44" s="9">
        <v>381.1911</v>
      </c>
      <c r="Q44" s="9">
        <v>1150.065</v>
      </c>
      <c r="R44" s="9">
        <v>362.0734</v>
      </c>
      <c r="S44" s="9">
        <v>1299.316</v>
      </c>
      <c r="T44" s="9">
        <v>400.9708</v>
      </c>
      <c r="U44" s="9">
        <v>830.2643</v>
      </c>
      <c r="V44" s="9">
        <v>296.6688</v>
      </c>
      <c r="W44" s="9">
        <v>1349.251</v>
      </c>
      <c r="X44" s="9">
        <v>289.7239</v>
      </c>
      <c r="Y44" s="9">
        <v>2633.124</v>
      </c>
      <c r="Z44" s="9">
        <v>283.8271</v>
      </c>
      <c r="AA44" s="9">
        <v>1534.255</v>
      </c>
      <c r="AB44" s="9">
        <v>450.4888</v>
      </c>
      <c r="AC44" s="9">
        <v>1472.648</v>
      </c>
      <c r="AD44" s="9">
        <v>299.1836</v>
      </c>
      <c r="AE44" s="9">
        <v>1260.054</v>
      </c>
      <c r="AF44" s="9">
        <v>370.0401</v>
      </c>
      <c r="AG44" s="9">
        <v>1092.861</v>
      </c>
      <c r="AH44" s="9">
        <v>346.2028</v>
      </c>
      <c r="AI44" s="9">
        <v>1194.676</v>
      </c>
      <c r="AJ44" s="9">
        <v>329.7012</v>
      </c>
      <c r="AK44" s="9">
        <v>199.2555</v>
      </c>
      <c r="AL44" s="9">
        <v>23.84587</v>
      </c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</row>
    <row r="45" ht="15.75" customHeight="1">
      <c r="A45" s="9">
        <v>3246.6268</v>
      </c>
      <c r="B45" s="9">
        <v>265.5764</v>
      </c>
      <c r="C45" s="9">
        <v>2508.885</v>
      </c>
      <c r="D45" s="9">
        <v>234.7672</v>
      </c>
      <c r="E45" s="9">
        <v>1117.616</v>
      </c>
      <c r="F45" s="9">
        <v>235.9491</v>
      </c>
      <c r="G45" s="9">
        <v>1377.351</v>
      </c>
      <c r="H45" s="9">
        <v>304.4858</v>
      </c>
      <c r="I45" s="9">
        <v>1271.97</v>
      </c>
      <c r="J45" s="9">
        <v>230.4765</v>
      </c>
      <c r="K45" s="9">
        <v>1777.817</v>
      </c>
      <c r="L45" s="9">
        <v>243.4847</v>
      </c>
      <c r="M45" s="9">
        <v>1328.843</v>
      </c>
      <c r="N45" s="9">
        <v>323.8947</v>
      </c>
      <c r="O45" s="9">
        <v>1548.415</v>
      </c>
      <c r="P45" s="9">
        <v>316.395</v>
      </c>
      <c r="Q45" s="9">
        <v>1284.555</v>
      </c>
      <c r="R45" s="9">
        <v>205.9399</v>
      </c>
      <c r="S45" s="9">
        <v>1576.35</v>
      </c>
      <c r="T45" s="9">
        <v>333.484</v>
      </c>
      <c r="U45" s="9">
        <v>1310.918</v>
      </c>
      <c r="V45" s="9">
        <v>231.0024</v>
      </c>
      <c r="W45" s="9">
        <v>1693.604</v>
      </c>
      <c r="X45" s="9">
        <v>224.4665</v>
      </c>
      <c r="Y45" s="9">
        <v>1951.559</v>
      </c>
      <c r="Z45" s="9">
        <v>226.0051</v>
      </c>
      <c r="AA45" s="9">
        <v>1462.047</v>
      </c>
      <c r="AB45" s="9">
        <v>345.0524</v>
      </c>
      <c r="AC45" s="9">
        <v>1434.297</v>
      </c>
      <c r="AD45" s="9">
        <v>306.3633</v>
      </c>
      <c r="AE45" s="9">
        <v>1644.335</v>
      </c>
      <c r="AF45" s="9">
        <v>257.1378</v>
      </c>
      <c r="AG45" s="9">
        <v>1695.616</v>
      </c>
      <c r="AH45" s="9">
        <v>224.639</v>
      </c>
      <c r="AI45" s="9">
        <v>1027.279</v>
      </c>
      <c r="AJ45" s="9">
        <v>235.7652</v>
      </c>
      <c r="AK45" s="9">
        <v>200.6898</v>
      </c>
      <c r="AL45" s="9">
        <v>22.79549</v>
      </c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</row>
    <row r="46" ht="15.75" customHeight="1">
      <c r="A46" s="9">
        <v>1960.1516</v>
      </c>
      <c r="B46" s="9">
        <v>138.0368</v>
      </c>
      <c r="C46" s="9">
        <v>1519.0693</v>
      </c>
      <c r="D46" s="9">
        <v>89.37205</v>
      </c>
      <c r="E46" s="9">
        <v>671.9526</v>
      </c>
      <c r="F46" s="9">
        <v>141.6785</v>
      </c>
      <c r="G46" s="9">
        <v>1404.515</v>
      </c>
      <c r="H46" s="9">
        <v>182.4164</v>
      </c>
      <c r="I46" s="9">
        <v>962.078</v>
      </c>
      <c r="J46" s="9">
        <v>141.7866</v>
      </c>
      <c r="K46" s="9">
        <v>1806.061</v>
      </c>
      <c r="L46" s="9">
        <v>168.7211</v>
      </c>
      <c r="M46" s="9">
        <v>625.5598</v>
      </c>
      <c r="N46" s="9">
        <v>177.8491</v>
      </c>
      <c r="O46" s="9">
        <v>1220.075</v>
      </c>
      <c r="P46" s="9">
        <v>213.1393</v>
      </c>
      <c r="Q46" s="9">
        <v>1249.211</v>
      </c>
      <c r="R46" s="9">
        <v>128.8449</v>
      </c>
      <c r="S46" s="9">
        <v>1420.787</v>
      </c>
      <c r="T46" s="9">
        <v>210.5465</v>
      </c>
      <c r="U46" s="9">
        <v>859.5368</v>
      </c>
      <c r="V46" s="9">
        <v>126.2698</v>
      </c>
      <c r="W46" s="9">
        <v>1188.928</v>
      </c>
      <c r="X46" s="9">
        <v>163.9435</v>
      </c>
      <c r="Y46" s="9">
        <v>1331.727</v>
      </c>
      <c r="Z46" s="9">
        <v>158.5809</v>
      </c>
      <c r="AA46" s="9">
        <v>1216.453</v>
      </c>
      <c r="AB46" s="9">
        <v>156.5415</v>
      </c>
      <c r="AC46" s="9">
        <v>946.6436</v>
      </c>
      <c r="AD46" s="9">
        <v>132.9955</v>
      </c>
      <c r="AE46" s="9">
        <v>1608.847</v>
      </c>
      <c r="AF46" s="9">
        <v>182.4709</v>
      </c>
      <c r="AG46" s="9">
        <v>735.3483</v>
      </c>
      <c r="AH46" s="9">
        <v>120.5541</v>
      </c>
      <c r="AI46" s="9">
        <v>966.2746</v>
      </c>
      <c r="AJ46" s="9">
        <v>122.3576</v>
      </c>
      <c r="AK46" s="9">
        <v>195.6778</v>
      </c>
      <c r="AL46" s="9">
        <v>20.38503</v>
      </c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</row>
    <row r="47" ht="15.75" customHeight="1">
      <c r="A47" s="9">
        <v>2240.5347</v>
      </c>
      <c r="B47" s="9">
        <v>239.8646</v>
      </c>
      <c r="C47" s="9">
        <v>2600.3697</v>
      </c>
      <c r="D47" s="9">
        <v>109.9067</v>
      </c>
      <c r="E47" s="9">
        <v>1538.443</v>
      </c>
      <c r="F47" s="9">
        <v>267.1913</v>
      </c>
      <c r="G47" s="9">
        <v>2149.46</v>
      </c>
      <c r="H47" s="9">
        <v>307.1415</v>
      </c>
      <c r="I47" s="9">
        <v>1449.917</v>
      </c>
      <c r="J47" s="9">
        <v>306.9903</v>
      </c>
      <c r="K47" s="9">
        <v>3421.049</v>
      </c>
      <c r="L47" s="9">
        <v>274.7229</v>
      </c>
      <c r="M47" s="9">
        <v>1648.509</v>
      </c>
      <c r="N47" s="9">
        <v>379.2385</v>
      </c>
      <c r="O47" s="9">
        <v>2510.53</v>
      </c>
      <c r="P47" s="9">
        <v>301.1318</v>
      </c>
      <c r="Q47" s="9">
        <v>1580.865</v>
      </c>
      <c r="R47" s="9">
        <v>227.3869</v>
      </c>
      <c r="S47" s="9">
        <v>1803.217</v>
      </c>
      <c r="T47" s="9">
        <v>293.0747</v>
      </c>
      <c r="U47" s="9">
        <v>1714.606</v>
      </c>
      <c r="V47" s="9">
        <v>241.9092</v>
      </c>
      <c r="W47" s="9">
        <v>2261.958</v>
      </c>
      <c r="X47" s="9">
        <v>229.4259</v>
      </c>
      <c r="Y47" s="9">
        <v>2635.452</v>
      </c>
      <c r="Z47" s="9">
        <v>259.1168</v>
      </c>
      <c r="AA47" s="9">
        <v>1846.887</v>
      </c>
      <c r="AB47" s="9">
        <v>330.4929</v>
      </c>
      <c r="AC47" s="9">
        <v>2518.233</v>
      </c>
      <c r="AD47" s="9">
        <v>286.8538</v>
      </c>
      <c r="AE47" s="9">
        <v>1824.587</v>
      </c>
      <c r="AF47" s="9">
        <v>258.1684</v>
      </c>
      <c r="AG47" s="9">
        <v>1988.788</v>
      </c>
      <c r="AH47" s="9">
        <v>248.8641</v>
      </c>
      <c r="AI47" s="9">
        <v>2280.421</v>
      </c>
      <c r="AJ47" s="9">
        <v>292.2294</v>
      </c>
      <c r="AK47" s="9">
        <v>198.0255</v>
      </c>
      <c r="AL47" s="9">
        <v>22.96459</v>
      </c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</row>
    <row r="48" ht="15.75" customHeight="1">
      <c r="A48" s="9">
        <v>2633.0746</v>
      </c>
      <c r="B48" s="9">
        <v>772.5837</v>
      </c>
      <c r="C48" s="9">
        <v>2104.5801</v>
      </c>
      <c r="D48" s="9">
        <v>669.457</v>
      </c>
      <c r="E48" s="9">
        <v>1938.034</v>
      </c>
      <c r="F48" s="9">
        <v>831.8525</v>
      </c>
      <c r="G48" s="9">
        <v>2325.964</v>
      </c>
      <c r="H48" s="9">
        <v>879.1036</v>
      </c>
      <c r="I48" s="9">
        <v>2344.741</v>
      </c>
      <c r="J48" s="9">
        <v>829.2819</v>
      </c>
      <c r="K48" s="9">
        <v>2508.473</v>
      </c>
      <c r="L48" s="9">
        <v>845.1753</v>
      </c>
      <c r="M48" s="9">
        <v>2159.175</v>
      </c>
      <c r="N48" s="9">
        <v>889.9347</v>
      </c>
      <c r="O48" s="9">
        <v>2220.644</v>
      </c>
      <c r="P48" s="9">
        <v>821.6545</v>
      </c>
      <c r="Q48" s="9">
        <v>2307.846</v>
      </c>
      <c r="R48" s="9">
        <v>860.1288</v>
      </c>
      <c r="S48" s="9">
        <v>2458.585</v>
      </c>
      <c r="T48" s="9">
        <v>968.9745</v>
      </c>
      <c r="U48" s="9">
        <v>1934.636</v>
      </c>
      <c r="V48" s="9">
        <v>755.2139</v>
      </c>
      <c r="W48" s="9">
        <v>2423.97</v>
      </c>
      <c r="X48" s="9">
        <v>809.4025</v>
      </c>
      <c r="Y48" s="9">
        <v>2216.246</v>
      </c>
      <c r="Z48" s="9">
        <v>741.7317</v>
      </c>
      <c r="AA48" s="9">
        <v>2486.07</v>
      </c>
      <c r="AB48" s="9">
        <v>887.2365</v>
      </c>
      <c r="AC48" s="9">
        <v>2044.907</v>
      </c>
      <c r="AD48" s="9">
        <v>791.4212</v>
      </c>
      <c r="AE48" s="9">
        <v>2377.097</v>
      </c>
      <c r="AF48" s="9">
        <v>829.5831</v>
      </c>
      <c r="AG48" s="9">
        <v>2516.634</v>
      </c>
      <c r="AH48" s="9">
        <v>775.5627</v>
      </c>
      <c r="AI48" s="9">
        <v>2203.99</v>
      </c>
      <c r="AJ48" s="9">
        <v>741.9867</v>
      </c>
      <c r="AK48" s="9">
        <v>407.169</v>
      </c>
      <c r="AL48" s="9">
        <v>52.94574</v>
      </c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</row>
    <row r="49" ht="15.75" customHeight="1">
      <c r="A49" s="9">
        <v>415.46983</v>
      </c>
      <c r="B49" s="9">
        <v>84.83831</v>
      </c>
      <c r="C49" s="9">
        <v>409.39584</v>
      </c>
      <c r="D49" s="9">
        <v>81.29754</v>
      </c>
      <c r="E49" s="9">
        <v>414.4863</v>
      </c>
      <c r="F49" s="9">
        <v>83.50788</v>
      </c>
      <c r="G49" s="9">
        <v>413.9422</v>
      </c>
      <c r="H49" s="9">
        <v>83.49704</v>
      </c>
      <c r="I49" s="9">
        <v>412.7752</v>
      </c>
      <c r="J49" s="9">
        <v>87.17334</v>
      </c>
      <c r="K49" s="9">
        <v>417.0383</v>
      </c>
      <c r="L49" s="9">
        <v>86.77605</v>
      </c>
      <c r="M49" s="9">
        <v>408.8946</v>
      </c>
      <c r="N49" s="9">
        <v>151.7944</v>
      </c>
      <c r="O49" s="9">
        <v>407.9848</v>
      </c>
      <c r="P49" s="9">
        <v>92.76015</v>
      </c>
      <c r="Q49" s="9">
        <v>404.4867</v>
      </c>
      <c r="R49" s="9">
        <v>86.32634</v>
      </c>
      <c r="S49" s="9">
        <v>415.901</v>
      </c>
      <c r="T49" s="9">
        <v>94.92377</v>
      </c>
      <c r="U49" s="9">
        <v>416.2913</v>
      </c>
      <c r="V49" s="9">
        <v>83.89966</v>
      </c>
      <c r="W49" s="9">
        <v>414.9812</v>
      </c>
      <c r="X49" s="9">
        <v>83.85566</v>
      </c>
      <c r="Y49" s="9">
        <v>406.0198</v>
      </c>
      <c r="Z49" s="9">
        <v>83.56474</v>
      </c>
      <c r="AA49" s="9">
        <v>415.4955</v>
      </c>
      <c r="AB49" s="9">
        <v>167.8912</v>
      </c>
      <c r="AC49" s="9">
        <v>417.9654</v>
      </c>
      <c r="AD49" s="9">
        <v>85.17272</v>
      </c>
      <c r="AE49" s="9">
        <v>407.5386</v>
      </c>
      <c r="AF49" s="9">
        <v>83.84777</v>
      </c>
      <c r="AG49" s="9">
        <v>409.5082</v>
      </c>
      <c r="AH49" s="9">
        <v>83.60014</v>
      </c>
      <c r="AI49" s="9">
        <v>406.1419</v>
      </c>
      <c r="AJ49" s="9">
        <v>81.99346</v>
      </c>
      <c r="AK49" s="9">
        <v>194.4825</v>
      </c>
      <c r="AL49" s="9">
        <v>18.24752</v>
      </c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</row>
    <row r="50" ht="15.75" customHeight="1">
      <c r="A50" s="9">
        <v>1917.613</v>
      </c>
      <c r="B50" s="9">
        <v>269.1899</v>
      </c>
      <c r="C50" s="9">
        <v>1600.0229</v>
      </c>
      <c r="D50" s="9">
        <v>134.1714</v>
      </c>
      <c r="E50" s="9">
        <v>1404.26</v>
      </c>
      <c r="F50" s="9">
        <v>240.4348</v>
      </c>
      <c r="G50" s="9">
        <v>2258.606</v>
      </c>
      <c r="H50" s="9">
        <v>291.4409</v>
      </c>
      <c r="I50" s="9">
        <v>1341.278</v>
      </c>
      <c r="J50" s="9">
        <v>225.2558</v>
      </c>
      <c r="K50" s="9">
        <v>2356.881</v>
      </c>
      <c r="L50" s="9">
        <v>311.5193</v>
      </c>
      <c r="M50" s="9">
        <v>1867.958</v>
      </c>
      <c r="N50" s="9">
        <v>393.8438</v>
      </c>
      <c r="O50" s="9">
        <v>2194.028</v>
      </c>
      <c r="P50" s="9">
        <v>273.8448</v>
      </c>
      <c r="Q50" s="9">
        <v>1967.819</v>
      </c>
      <c r="R50" s="9">
        <v>314.9175</v>
      </c>
      <c r="S50" s="9">
        <v>1854.546</v>
      </c>
      <c r="T50" s="9">
        <v>357.4897</v>
      </c>
      <c r="U50" s="9">
        <v>1447.847</v>
      </c>
      <c r="V50" s="9">
        <v>239.6311</v>
      </c>
      <c r="W50" s="9">
        <v>1735.534</v>
      </c>
      <c r="X50" s="9">
        <v>269.428</v>
      </c>
      <c r="Y50" s="9">
        <v>1732.593</v>
      </c>
      <c r="Z50" s="9">
        <v>244.5676</v>
      </c>
      <c r="AA50" s="9">
        <v>1785.414</v>
      </c>
      <c r="AB50" s="9">
        <v>345.4835</v>
      </c>
      <c r="AC50" s="9">
        <v>1746.709</v>
      </c>
      <c r="AD50" s="9">
        <v>210.5578</v>
      </c>
      <c r="AE50" s="9">
        <v>2669.478</v>
      </c>
      <c r="AF50" s="9">
        <v>239.9379</v>
      </c>
      <c r="AG50" s="9">
        <v>2219.104</v>
      </c>
      <c r="AH50" s="9">
        <v>260.4956</v>
      </c>
      <c r="AI50" s="9">
        <v>2365.331</v>
      </c>
      <c r="AJ50" s="9">
        <v>242.7806</v>
      </c>
      <c r="AK50" s="9">
        <v>240.3654</v>
      </c>
      <c r="AL50" s="9">
        <v>22.39119</v>
      </c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</row>
    <row r="51" ht="15.75" customHeight="1">
      <c r="A51" s="9">
        <v>1604.3559</v>
      </c>
      <c r="B51" s="9">
        <v>266.5419</v>
      </c>
      <c r="C51" s="9">
        <v>2735.0399</v>
      </c>
      <c r="D51" s="9">
        <v>168.7147</v>
      </c>
      <c r="E51" s="9">
        <v>1874.409</v>
      </c>
      <c r="F51" s="9">
        <v>252.2803</v>
      </c>
      <c r="G51" s="9">
        <v>2541.667</v>
      </c>
      <c r="H51" s="9">
        <v>249.5254</v>
      </c>
      <c r="I51" s="9">
        <v>1838.709</v>
      </c>
      <c r="J51" s="9">
        <v>232.8182</v>
      </c>
      <c r="K51" s="9">
        <v>2849.04</v>
      </c>
      <c r="L51" s="9">
        <v>322.688</v>
      </c>
      <c r="M51" s="9">
        <v>1514.313</v>
      </c>
      <c r="N51" s="9">
        <v>255.5154</v>
      </c>
      <c r="O51" s="9">
        <v>2113.48</v>
      </c>
      <c r="P51" s="9">
        <v>221.2204</v>
      </c>
      <c r="Q51" s="9">
        <v>1965.436</v>
      </c>
      <c r="R51" s="9">
        <v>225.8791</v>
      </c>
      <c r="S51" s="9">
        <v>2352.196</v>
      </c>
      <c r="T51" s="9">
        <v>329.9903</v>
      </c>
      <c r="U51" s="9">
        <v>1655.423</v>
      </c>
      <c r="V51" s="9">
        <v>255.1807</v>
      </c>
      <c r="W51" s="9">
        <v>1794.593</v>
      </c>
      <c r="X51" s="9">
        <v>210.7524</v>
      </c>
      <c r="Y51" s="9">
        <v>2163.459</v>
      </c>
      <c r="Z51" s="9">
        <v>177.3135</v>
      </c>
      <c r="AA51" s="9">
        <v>2593.958</v>
      </c>
      <c r="AB51" s="9">
        <v>372.4994</v>
      </c>
      <c r="AC51" s="9">
        <v>1756.654</v>
      </c>
      <c r="AD51" s="9">
        <v>153.1567</v>
      </c>
      <c r="AE51" s="9">
        <v>2154.963</v>
      </c>
      <c r="AF51" s="9">
        <v>224.3366</v>
      </c>
      <c r="AG51" s="9">
        <v>2507.225</v>
      </c>
      <c r="AH51" s="9">
        <v>198.2385</v>
      </c>
      <c r="AI51" s="9">
        <v>2067.833</v>
      </c>
      <c r="AJ51" s="9">
        <v>200.401</v>
      </c>
      <c r="AK51" s="9">
        <v>267.0653</v>
      </c>
      <c r="AL51" s="9">
        <v>23.41538</v>
      </c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</row>
    <row r="52" ht="15.75" customHeight="1">
      <c r="A52" s="9">
        <v>2653.0359</v>
      </c>
      <c r="B52" s="9">
        <v>231.5503</v>
      </c>
      <c r="C52" s="9">
        <v>4311.4425</v>
      </c>
      <c r="D52" s="9">
        <v>239.8133</v>
      </c>
      <c r="E52" s="9">
        <v>1407.19</v>
      </c>
      <c r="F52" s="9">
        <v>172.1405</v>
      </c>
      <c r="G52" s="9">
        <v>2084.222</v>
      </c>
      <c r="H52" s="9">
        <v>204.301</v>
      </c>
      <c r="I52" s="9">
        <v>2640.414</v>
      </c>
      <c r="J52" s="9">
        <v>273.8274</v>
      </c>
      <c r="K52" s="9">
        <v>3672.622</v>
      </c>
      <c r="L52" s="9">
        <v>272.9082</v>
      </c>
      <c r="M52" s="9">
        <v>2491.201</v>
      </c>
      <c r="N52" s="9">
        <v>274.3824</v>
      </c>
      <c r="O52" s="9">
        <v>2331.06</v>
      </c>
      <c r="P52" s="9">
        <v>238.6856</v>
      </c>
      <c r="Q52" s="9">
        <v>2583.488</v>
      </c>
      <c r="R52" s="9">
        <v>218.04</v>
      </c>
      <c r="S52" s="9">
        <v>2582.83</v>
      </c>
      <c r="T52" s="9">
        <v>187.9875</v>
      </c>
      <c r="U52" s="9">
        <v>1680.859</v>
      </c>
      <c r="V52" s="9">
        <v>248.7567</v>
      </c>
      <c r="W52" s="9">
        <v>2170.38</v>
      </c>
      <c r="X52" s="9">
        <v>200.0939</v>
      </c>
      <c r="Y52" s="9">
        <v>1993.632</v>
      </c>
      <c r="Z52" s="9">
        <v>228.1305</v>
      </c>
      <c r="AA52" s="9">
        <v>2619.008</v>
      </c>
      <c r="AB52" s="9">
        <v>282.8866</v>
      </c>
      <c r="AC52" s="9">
        <v>2443.325</v>
      </c>
      <c r="AD52" s="9">
        <v>194.4989</v>
      </c>
      <c r="AE52" s="9">
        <v>1777.352</v>
      </c>
      <c r="AF52" s="9">
        <v>130.6025</v>
      </c>
      <c r="AG52" s="9">
        <v>3028.573</v>
      </c>
      <c r="AH52" s="9">
        <v>207.3989</v>
      </c>
      <c r="AI52" s="9">
        <v>1504.305</v>
      </c>
      <c r="AJ52" s="9">
        <v>126.8245</v>
      </c>
      <c r="AK52" s="9">
        <v>217.1997</v>
      </c>
      <c r="AL52" s="9">
        <v>22.9709</v>
      </c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</row>
    <row r="53" ht="15.75" customHeight="1">
      <c r="A53" s="9">
        <v>2338.16</v>
      </c>
      <c r="B53" s="9">
        <v>791.0093</v>
      </c>
      <c r="C53" s="9">
        <v>2227.5254</v>
      </c>
      <c r="D53" s="9">
        <v>1647.893</v>
      </c>
      <c r="E53" s="9">
        <v>1956.274</v>
      </c>
      <c r="F53" s="9">
        <v>820.3083</v>
      </c>
      <c r="G53" s="9">
        <v>2648.821</v>
      </c>
      <c r="H53" s="9">
        <v>941.2057</v>
      </c>
      <c r="I53" s="9">
        <v>2137.103</v>
      </c>
      <c r="J53" s="9">
        <v>943.2324</v>
      </c>
      <c r="K53" s="9">
        <v>2740.546</v>
      </c>
      <c r="L53" s="9">
        <v>882.7703</v>
      </c>
      <c r="M53" s="9">
        <v>2586.387</v>
      </c>
      <c r="N53" s="9">
        <v>912.5543</v>
      </c>
      <c r="O53" s="9">
        <v>2724.926</v>
      </c>
      <c r="P53" s="9">
        <v>878.8758</v>
      </c>
      <c r="Q53" s="9">
        <v>2678.074</v>
      </c>
      <c r="R53" s="9">
        <v>843.0622</v>
      </c>
      <c r="S53" s="9">
        <v>1970.875</v>
      </c>
      <c r="T53" s="9">
        <v>1019.453</v>
      </c>
      <c r="U53" s="9">
        <v>1998.341</v>
      </c>
      <c r="V53" s="9">
        <v>894.0318</v>
      </c>
      <c r="W53" s="9">
        <v>2773.32</v>
      </c>
      <c r="X53" s="9">
        <v>919.9424</v>
      </c>
      <c r="Y53" s="9">
        <v>1961.789</v>
      </c>
      <c r="Z53" s="9">
        <v>767.9916</v>
      </c>
      <c r="AA53" s="9">
        <v>2459.66</v>
      </c>
      <c r="AB53" s="9">
        <v>932.7671</v>
      </c>
      <c r="AC53" s="9">
        <v>2096.457</v>
      </c>
      <c r="AD53" s="9">
        <v>800.0779</v>
      </c>
      <c r="AE53" s="9">
        <v>2072.551</v>
      </c>
      <c r="AF53" s="9">
        <v>917.1372</v>
      </c>
      <c r="AG53" s="9">
        <v>2454.689</v>
      </c>
      <c r="AH53" s="9">
        <v>865.4947</v>
      </c>
      <c r="AI53" s="9">
        <v>3073.778</v>
      </c>
      <c r="AJ53" s="9">
        <v>799.3403</v>
      </c>
      <c r="AK53" s="9">
        <v>446.2987</v>
      </c>
      <c r="AL53" s="9">
        <v>51.75365</v>
      </c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</row>
    <row r="54" ht="15.75" customHeight="1">
      <c r="A54" s="9">
        <v>2849.044</v>
      </c>
      <c r="B54" s="9">
        <v>774.2194</v>
      </c>
      <c r="C54" s="9">
        <v>2988.1965</v>
      </c>
      <c r="D54" s="9">
        <v>1601.002</v>
      </c>
      <c r="E54" s="9">
        <v>1783.512</v>
      </c>
      <c r="F54" s="9">
        <v>711.4911</v>
      </c>
      <c r="G54" s="9">
        <v>2964.068</v>
      </c>
      <c r="H54" s="9">
        <v>793.7078</v>
      </c>
      <c r="I54" s="9">
        <v>2700.473</v>
      </c>
      <c r="J54" s="9">
        <v>861.9224</v>
      </c>
      <c r="K54" s="9">
        <v>1779.532</v>
      </c>
      <c r="L54" s="9">
        <v>793.5235</v>
      </c>
      <c r="M54" s="9">
        <v>2389.119</v>
      </c>
      <c r="N54" s="9">
        <v>834.6867</v>
      </c>
      <c r="O54" s="9">
        <v>3232.368</v>
      </c>
      <c r="P54" s="9">
        <v>695.636</v>
      </c>
      <c r="Q54" s="9">
        <v>1943.367</v>
      </c>
      <c r="R54" s="9">
        <v>790.8146</v>
      </c>
      <c r="S54" s="9">
        <v>1917.931</v>
      </c>
      <c r="T54" s="9">
        <v>935.9053</v>
      </c>
      <c r="U54" s="9">
        <v>1878.904</v>
      </c>
      <c r="V54" s="9">
        <v>795.6465</v>
      </c>
      <c r="W54" s="9">
        <v>3324.093</v>
      </c>
      <c r="X54" s="9">
        <v>833.9161</v>
      </c>
      <c r="Y54" s="9">
        <v>1957.879</v>
      </c>
      <c r="Z54" s="9">
        <v>717.7853</v>
      </c>
      <c r="AA54" s="9">
        <v>2290.576</v>
      </c>
      <c r="AB54" s="9">
        <v>797.8288</v>
      </c>
      <c r="AC54" s="9">
        <v>2519.871</v>
      </c>
      <c r="AD54" s="9">
        <v>793.4727</v>
      </c>
      <c r="AE54" s="9">
        <v>2778.573</v>
      </c>
      <c r="AF54" s="9">
        <v>831.2973</v>
      </c>
      <c r="AG54" s="9">
        <v>3047.113</v>
      </c>
      <c r="AH54" s="9">
        <v>782.1345</v>
      </c>
      <c r="AI54" s="9">
        <v>2933.249</v>
      </c>
      <c r="AJ54" s="9">
        <v>751.3988</v>
      </c>
      <c r="AK54" s="9">
        <v>428.2072</v>
      </c>
      <c r="AL54" s="9">
        <v>67.63965</v>
      </c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</row>
    <row r="55" ht="15.75" customHeight="1">
      <c r="A55" s="9">
        <v>3518.7072</v>
      </c>
      <c r="B55" s="9">
        <v>826.1243</v>
      </c>
      <c r="C55" s="9">
        <v>3694.0535</v>
      </c>
      <c r="D55" s="9">
        <v>1995.322</v>
      </c>
      <c r="E55" s="9">
        <v>2653.669</v>
      </c>
      <c r="F55" s="9">
        <v>826.7251</v>
      </c>
      <c r="G55" s="9">
        <v>3835.568</v>
      </c>
      <c r="H55" s="9">
        <v>871.6136</v>
      </c>
      <c r="I55" s="9">
        <v>3540.975</v>
      </c>
      <c r="J55" s="9">
        <v>867.6808</v>
      </c>
      <c r="K55" s="9">
        <v>3790.179</v>
      </c>
      <c r="L55" s="9">
        <v>789.1797</v>
      </c>
      <c r="M55" s="9">
        <v>3949.984</v>
      </c>
      <c r="N55" s="9">
        <v>1307.054</v>
      </c>
      <c r="O55" s="9">
        <v>3852.415</v>
      </c>
      <c r="P55" s="9">
        <v>831.8387</v>
      </c>
      <c r="Q55" s="9">
        <v>3589.493</v>
      </c>
      <c r="R55" s="9">
        <v>823.8417</v>
      </c>
      <c r="S55" s="9">
        <v>3698.415</v>
      </c>
      <c r="T55" s="9">
        <v>860.8175</v>
      </c>
      <c r="U55" s="9">
        <v>2732.027</v>
      </c>
      <c r="V55" s="9">
        <v>847.3637</v>
      </c>
      <c r="W55" s="9">
        <v>3932.462</v>
      </c>
      <c r="X55" s="9">
        <v>839.3011</v>
      </c>
      <c r="Y55" s="9">
        <v>3585.148</v>
      </c>
      <c r="Z55" s="9">
        <v>795.4773</v>
      </c>
      <c r="AA55" s="9">
        <v>3782.868</v>
      </c>
      <c r="AB55" s="9">
        <v>1335.158</v>
      </c>
      <c r="AC55" s="9">
        <v>3653.851</v>
      </c>
      <c r="AD55" s="9">
        <v>773.8194</v>
      </c>
      <c r="AE55" s="9">
        <v>3710.573</v>
      </c>
      <c r="AF55" s="9">
        <v>855.6274</v>
      </c>
      <c r="AG55" s="9">
        <v>3751.961</v>
      </c>
      <c r="AH55" s="9">
        <v>785.0208</v>
      </c>
      <c r="AI55" s="9">
        <v>3664.215</v>
      </c>
      <c r="AJ55" s="9">
        <v>906.3403</v>
      </c>
      <c r="AK55" s="9">
        <v>448.6467</v>
      </c>
      <c r="AL55" s="9">
        <v>78.65985</v>
      </c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</row>
    <row r="56" ht="15.75" customHeight="1">
      <c r="A56" s="9">
        <v>3022.3839</v>
      </c>
      <c r="B56" s="9">
        <v>764.0959</v>
      </c>
      <c r="C56" s="9">
        <v>2693.9995</v>
      </c>
      <c r="D56" s="9">
        <v>1552.195</v>
      </c>
      <c r="E56" s="9">
        <v>1968.269</v>
      </c>
      <c r="F56" s="9">
        <v>723.6601</v>
      </c>
      <c r="G56" s="9">
        <v>3738.051</v>
      </c>
      <c r="H56" s="9">
        <v>855.0323</v>
      </c>
      <c r="I56" s="9">
        <v>2960.631</v>
      </c>
      <c r="J56" s="9">
        <v>785.5617</v>
      </c>
      <c r="K56" s="9">
        <v>2640.603</v>
      </c>
      <c r="L56" s="9">
        <v>762.7599</v>
      </c>
      <c r="M56" s="9">
        <v>3852.827</v>
      </c>
      <c r="N56" s="9">
        <v>881.887</v>
      </c>
      <c r="O56" s="9">
        <v>3802.525</v>
      </c>
      <c r="P56" s="9">
        <v>813.7349</v>
      </c>
      <c r="Q56" s="9">
        <v>1938.654</v>
      </c>
      <c r="R56" s="9">
        <v>752.1317</v>
      </c>
      <c r="S56" s="9">
        <v>2817.917</v>
      </c>
      <c r="T56" s="9">
        <v>1058.813</v>
      </c>
      <c r="U56" s="9">
        <v>2160.746</v>
      </c>
      <c r="V56" s="9">
        <v>756.4662</v>
      </c>
      <c r="W56" s="9">
        <v>3558.865</v>
      </c>
      <c r="X56" s="9">
        <v>805.5896</v>
      </c>
      <c r="Y56" s="9">
        <v>2032.413</v>
      </c>
      <c r="Z56" s="9">
        <v>764.0147</v>
      </c>
      <c r="AA56" s="9">
        <v>2481.065</v>
      </c>
      <c r="AB56" s="9">
        <v>833.8916</v>
      </c>
      <c r="AC56" s="9">
        <v>2999.135</v>
      </c>
      <c r="AD56" s="9">
        <v>778.3388</v>
      </c>
      <c r="AE56" s="9">
        <v>3285.118</v>
      </c>
      <c r="AF56" s="9">
        <v>885.7259</v>
      </c>
      <c r="AG56" s="9">
        <v>3268.609</v>
      </c>
      <c r="AH56" s="9">
        <v>771.9218</v>
      </c>
      <c r="AI56" s="9">
        <v>3602.222</v>
      </c>
      <c r="AJ56" s="9">
        <v>771.8454</v>
      </c>
      <c r="AK56" s="9">
        <v>436.8555</v>
      </c>
      <c r="AL56" s="9">
        <v>70.49415</v>
      </c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</row>
    <row r="57" ht="15.75" customHeight="1">
      <c r="A57" s="9">
        <v>3684.3354</v>
      </c>
      <c r="B57" s="9">
        <v>837.3185</v>
      </c>
      <c r="C57" s="9">
        <v>4119.1131</v>
      </c>
      <c r="D57" s="9">
        <v>649.824</v>
      </c>
      <c r="E57" s="9">
        <v>2465.097</v>
      </c>
      <c r="F57" s="9">
        <v>778.7088</v>
      </c>
      <c r="G57" s="9">
        <v>4093.253</v>
      </c>
      <c r="H57" s="9">
        <v>857.1466</v>
      </c>
      <c r="I57" s="9">
        <v>3840.128</v>
      </c>
      <c r="J57" s="9">
        <v>948.3943</v>
      </c>
      <c r="K57" s="9">
        <v>4160.412</v>
      </c>
      <c r="L57" s="9">
        <v>848.3672</v>
      </c>
      <c r="M57" s="9">
        <v>4184.471</v>
      </c>
      <c r="N57" s="9">
        <v>964.6692</v>
      </c>
      <c r="O57" s="9">
        <v>4030.773</v>
      </c>
      <c r="P57" s="9">
        <v>907.6863</v>
      </c>
      <c r="Q57" s="9">
        <v>3979.304</v>
      </c>
      <c r="R57" s="9">
        <v>805.0879</v>
      </c>
      <c r="S57" s="9">
        <v>3934.359</v>
      </c>
      <c r="T57" s="9">
        <v>1091.211</v>
      </c>
      <c r="U57" s="9">
        <v>2656.221</v>
      </c>
      <c r="V57" s="9">
        <v>791.0633</v>
      </c>
      <c r="W57" s="9">
        <v>3940.384</v>
      </c>
      <c r="X57" s="9">
        <v>812.0573</v>
      </c>
      <c r="Y57" s="9">
        <v>3733.831</v>
      </c>
      <c r="Z57" s="9">
        <v>819.7026</v>
      </c>
      <c r="AA57" s="9">
        <v>3946.851</v>
      </c>
      <c r="AB57" s="9">
        <v>885.0018</v>
      </c>
      <c r="AC57" s="9">
        <v>3788.847</v>
      </c>
      <c r="AD57" s="9">
        <v>835.3557</v>
      </c>
      <c r="AE57" s="9">
        <v>4008.831</v>
      </c>
      <c r="AF57" s="9">
        <v>930.0053</v>
      </c>
      <c r="AG57" s="9">
        <v>3876.292</v>
      </c>
      <c r="AH57" s="9">
        <v>758.0908</v>
      </c>
      <c r="AI57" s="9">
        <v>3823.891</v>
      </c>
      <c r="AJ57" s="9">
        <v>901.6099</v>
      </c>
      <c r="AK57" s="9">
        <v>455.0244</v>
      </c>
      <c r="AL57" s="9">
        <v>80.60449</v>
      </c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</row>
    <row r="58" ht="15.75" customHeight="1">
      <c r="A58" s="9">
        <v>2089.6981</v>
      </c>
      <c r="B58" s="9">
        <v>323.808</v>
      </c>
      <c r="C58" s="9">
        <v>2973.8451</v>
      </c>
      <c r="D58" s="9">
        <v>211.2714</v>
      </c>
      <c r="E58" s="9">
        <v>1586.749</v>
      </c>
      <c r="F58" s="9">
        <v>298.8144</v>
      </c>
      <c r="G58" s="9">
        <v>2825.395</v>
      </c>
      <c r="H58" s="9">
        <v>412.2157</v>
      </c>
      <c r="I58" s="9">
        <v>2128.263</v>
      </c>
      <c r="J58" s="9">
        <v>419.4707</v>
      </c>
      <c r="K58" s="9">
        <v>2669.72</v>
      </c>
      <c r="L58" s="9">
        <v>298.5369</v>
      </c>
      <c r="M58" s="9">
        <v>2611.702</v>
      </c>
      <c r="N58" s="9">
        <v>448.5121</v>
      </c>
      <c r="O58" s="9">
        <v>2861.294</v>
      </c>
      <c r="P58" s="9">
        <v>360.2493</v>
      </c>
      <c r="Q58" s="9">
        <v>2732.26</v>
      </c>
      <c r="R58" s="9">
        <v>322.6731</v>
      </c>
      <c r="S58" s="9">
        <v>2276.444</v>
      </c>
      <c r="T58" s="9">
        <v>501.6791</v>
      </c>
      <c r="U58" s="9">
        <v>1657.262</v>
      </c>
      <c r="V58" s="9">
        <v>275.263</v>
      </c>
      <c r="W58" s="9">
        <v>2238.858</v>
      </c>
      <c r="X58" s="9">
        <v>396.9811</v>
      </c>
      <c r="Y58" s="9">
        <v>1984.091</v>
      </c>
      <c r="Z58" s="9">
        <v>336.9327</v>
      </c>
      <c r="AA58" s="9">
        <v>2111.537</v>
      </c>
      <c r="AB58" s="9">
        <v>345.1187</v>
      </c>
      <c r="AC58" s="9">
        <v>2068.411</v>
      </c>
      <c r="AD58" s="9">
        <v>325.7585</v>
      </c>
      <c r="AE58" s="9">
        <v>2619.38</v>
      </c>
      <c r="AF58" s="9">
        <v>332.6994</v>
      </c>
      <c r="AG58" s="9">
        <v>2094.994</v>
      </c>
      <c r="AH58" s="9">
        <v>299.9391</v>
      </c>
      <c r="AI58" s="9">
        <v>2204.297</v>
      </c>
      <c r="AJ58" s="9">
        <v>316.7233</v>
      </c>
      <c r="AK58" s="9">
        <v>239.0674</v>
      </c>
      <c r="AL58" s="9">
        <v>26.15495</v>
      </c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</row>
    <row r="59" ht="15.75" customHeight="1">
      <c r="A59" s="9">
        <v>697.69629</v>
      </c>
      <c r="B59" s="9">
        <v>185.4343</v>
      </c>
      <c r="C59" s="9">
        <v>1681.7899</v>
      </c>
      <c r="D59" s="9">
        <v>119.7356</v>
      </c>
      <c r="E59" s="9">
        <v>1127.265</v>
      </c>
      <c r="F59" s="9">
        <v>169.5843</v>
      </c>
      <c r="G59" s="9">
        <v>1343.966</v>
      </c>
      <c r="H59" s="9">
        <v>214.482</v>
      </c>
      <c r="I59" s="9">
        <v>1726.507</v>
      </c>
      <c r="J59" s="9">
        <v>206.4008</v>
      </c>
      <c r="K59" s="9">
        <v>1328.15</v>
      </c>
      <c r="L59" s="9">
        <v>189.5108</v>
      </c>
      <c r="M59" s="9">
        <v>702.8586</v>
      </c>
      <c r="N59" s="9">
        <v>196.4869</v>
      </c>
      <c r="O59" s="9">
        <v>1453.546</v>
      </c>
      <c r="P59" s="9">
        <v>180.1144</v>
      </c>
      <c r="Q59" s="9">
        <v>1088.806</v>
      </c>
      <c r="R59" s="9">
        <v>153.3288</v>
      </c>
      <c r="S59" s="9">
        <v>902.8981</v>
      </c>
      <c r="T59" s="9">
        <v>259.2451</v>
      </c>
      <c r="U59" s="9">
        <v>1420.308</v>
      </c>
      <c r="V59" s="9">
        <v>226.5097</v>
      </c>
      <c r="W59" s="9">
        <v>2670.425</v>
      </c>
      <c r="X59" s="9">
        <v>190.4059</v>
      </c>
      <c r="Y59" s="9">
        <v>1074.194</v>
      </c>
      <c r="Z59" s="9">
        <v>165.5825</v>
      </c>
      <c r="AA59" s="9">
        <v>802.5082</v>
      </c>
      <c r="AB59" s="9">
        <v>192.9731</v>
      </c>
      <c r="AC59" s="9">
        <v>2381.683</v>
      </c>
      <c r="AD59" s="9">
        <v>203.3175</v>
      </c>
      <c r="AE59" s="9">
        <v>2153.553</v>
      </c>
      <c r="AF59" s="9">
        <v>175.2996</v>
      </c>
      <c r="AG59" s="9">
        <v>666.1912</v>
      </c>
      <c r="AH59" s="9">
        <v>159.4911</v>
      </c>
      <c r="AI59" s="9">
        <v>1629.536</v>
      </c>
      <c r="AJ59" s="9">
        <v>218.8689</v>
      </c>
      <c r="AK59" s="9">
        <v>206.9184</v>
      </c>
      <c r="AL59" s="9">
        <v>20.53387</v>
      </c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</row>
    <row r="60" ht="15.75" customHeight="1">
      <c r="A60" s="9">
        <v>1340.518</v>
      </c>
      <c r="B60" s="9">
        <v>134.9118</v>
      </c>
      <c r="C60" s="9">
        <v>1561.8317</v>
      </c>
      <c r="D60" s="9">
        <v>176.3477</v>
      </c>
      <c r="E60" s="9">
        <v>412.4409</v>
      </c>
      <c r="F60" s="9">
        <v>102.3627</v>
      </c>
      <c r="G60" s="9">
        <v>634.0338</v>
      </c>
      <c r="H60" s="9">
        <v>96.43008</v>
      </c>
      <c r="I60" s="9">
        <v>1196.313</v>
      </c>
      <c r="J60" s="9">
        <v>209.0054</v>
      </c>
      <c r="K60" s="9">
        <v>1304.225</v>
      </c>
      <c r="L60" s="9">
        <v>154.0226</v>
      </c>
      <c r="M60" s="9">
        <v>543.6267</v>
      </c>
      <c r="N60" s="9">
        <v>107.6681</v>
      </c>
      <c r="O60" s="9">
        <v>1610.951</v>
      </c>
      <c r="P60" s="9">
        <v>105.3588</v>
      </c>
      <c r="Q60" s="9">
        <v>1278.213</v>
      </c>
      <c r="R60" s="9">
        <v>171.9114</v>
      </c>
      <c r="S60" s="9">
        <v>1127.15</v>
      </c>
      <c r="T60" s="9">
        <v>163.9715</v>
      </c>
      <c r="U60" s="9">
        <v>493.7327</v>
      </c>
      <c r="V60" s="9">
        <v>88.09541</v>
      </c>
      <c r="W60" s="9">
        <v>616.5543</v>
      </c>
      <c r="X60" s="9">
        <v>104.7357</v>
      </c>
      <c r="Y60" s="9">
        <v>688.0418</v>
      </c>
      <c r="Z60" s="9">
        <v>113.589</v>
      </c>
      <c r="AA60" s="9">
        <v>1490.789</v>
      </c>
      <c r="AB60" s="9">
        <v>188.3426</v>
      </c>
      <c r="AC60" s="9">
        <v>590.3193</v>
      </c>
      <c r="AD60" s="9">
        <v>100.7822</v>
      </c>
      <c r="AE60" s="9">
        <v>745.1917</v>
      </c>
      <c r="AF60" s="9">
        <v>120.347</v>
      </c>
      <c r="AG60" s="9">
        <v>1131.138</v>
      </c>
      <c r="AH60" s="9">
        <v>132.7533</v>
      </c>
      <c r="AI60" s="9">
        <v>550.5337</v>
      </c>
      <c r="AJ60" s="9">
        <v>109.522</v>
      </c>
      <c r="AK60" s="9">
        <v>202.3033</v>
      </c>
      <c r="AL60" s="9">
        <v>20.43543</v>
      </c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</row>
    <row r="61" ht="15.75" customHeight="1">
      <c r="A61" s="9">
        <v>2004.6113</v>
      </c>
      <c r="B61" s="9">
        <v>511.7213</v>
      </c>
      <c r="C61" s="9">
        <v>2156.0761</v>
      </c>
      <c r="D61" s="9">
        <v>371.9827</v>
      </c>
      <c r="E61" s="9">
        <v>1374.979</v>
      </c>
      <c r="F61" s="9">
        <v>543.1824</v>
      </c>
      <c r="G61" s="9">
        <v>2443.188</v>
      </c>
      <c r="H61" s="9">
        <v>529.0225</v>
      </c>
      <c r="I61" s="9">
        <v>1983.598</v>
      </c>
      <c r="J61" s="9">
        <v>511.0112</v>
      </c>
      <c r="K61" s="9">
        <v>2257.817</v>
      </c>
      <c r="L61" s="9">
        <v>480.3567</v>
      </c>
      <c r="M61" s="9">
        <v>2227.128</v>
      </c>
      <c r="N61" s="9">
        <v>582.9254</v>
      </c>
      <c r="O61" s="9">
        <v>2289.66</v>
      </c>
      <c r="P61" s="9">
        <v>481.1672</v>
      </c>
      <c r="Q61" s="9">
        <v>2475.157</v>
      </c>
      <c r="R61" s="9">
        <v>542.9468</v>
      </c>
      <c r="S61" s="9">
        <v>2310.173</v>
      </c>
      <c r="T61" s="9">
        <v>582.5084</v>
      </c>
      <c r="U61" s="9">
        <v>1374.58</v>
      </c>
      <c r="V61" s="9">
        <v>450.4648</v>
      </c>
      <c r="W61" s="9">
        <v>2494.873</v>
      </c>
      <c r="X61" s="9">
        <v>465.0987</v>
      </c>
      <c r="Y61" s="9">
        <v>2170.132</v>
      </c>
      <c r="Z61" s="9">
        <v>496.421</v>
      </c>
      <c r="AA61" s="9">
        <v>2314.987</v>
      </c>
      <c r="AB61" s="9">
        <v>500.5913</v>
      </c>
      <c r="AC61" s="9">
        <v>2238.033</v>
      </c>
      <c r="AD61" s="9">
        <v>458.5412</v>
      </c>
      <c r="AE61" s="9">
        <v>2348.179</v>
      </c>
      <c r="AF61" s="9">
        <v>452.0353</v>
      </c>
      <c r="AG61" s="9">
        <v>2094.156</v>
      </c>
      <c r="AH61" s="9">
        <v>454.4115</v>
      </c>
      <c r="AI61" s="9">
        <v>2292.351</v>
      </c>
      <c r="AJ61" s="9">
        <v>474.6636</v>
      </c>
      <c r="AK61" s="9">
        <v>317.4386</v>
      </c>
      <c r="AL61" s="9">
        <v>38.96541</v>
      </c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</row>
    <row r="62" ht="15.75" customHeight="1">
      <c r="A62" s="9">
        <v>12790.26</v>
      </c>
      <c r="B62" s="9">
        <v>2627.044</v>
      </c>
      <c r="C62" s="9">
        <v>12837.881</v>
      </c>
      <c r="D62" s="9">
        <v>2685.369</v>
      </c>
      <c r="E62" s="9">
        <v>7038.523</v>
      </c>
      <c r="F62" s="9">
        <v>2586.745</v>
      </c>
      <c r="G62" s="9">
        <v>12819.47</v>
      </c>
      <c r="H62" s="9">
        <v>2709.265</v>
      </c>
      <c r="I62" s="9">
        <v>12802.56</v>
      </c>
      <c r="J62" s="9">
        <v>2606.617</v>
      </c>
      <c r="K62" s="9">
        <v>12882.6</v>
      </c>
      <c r="L62" s="9">
        <v>2580.911</v>
      </c>
      <c r="M62" s="9">
        <v>12989.63</v>
      </c>
      <c r="N62" s="9">
        <v>2823.501</v>
      </c>
      <c r="O62" s="9">
        <v>12798.78</v>
      </c>
      <c r="P62" s="9">
        <v>2709.123</v>
      </c>
      <c r="Q62" s="9">
        <v>12887.5</v>
      </c>
      <c r="R62" s="9">
        <v>2596.989</v>
      </c>
      <c r="S62" s="9">
        <v>13027.88</v>
      </c>
      <c r="T62" s="9">
        <v>3077.509</v>
      </c>
      <c r="U62" s="9">
        <v>7187.251</v>
      </c>
      <c r="V62" s="9">
        <v>2565.339</v>
      </c>
      <c r="W62" s="9">
        <v>12847.33</v>
      </c>
      <c r="X62" s="9">
        <v>2607.115</v>
      </c>
      <c r="Y62" s="9">
        <v>12791.26</v>
      </c>
      <c r="Z62" s="9">
        <v>2606.396</v>
      </c>
      <c r="AA62" s="9">
        <v>12808.99</v>
      </c>
      <c r="AB62" s="9">
        <v>2708.42</v>
      </c>
      <c r="AC62" s="9">
        <v>12814.87</v>
      </c>
      <c r="AD62" s="9">
        <v>2669.042</v>
      </c>
      <c r="AE62" s="9">
        <v>12814.62</v>
      </c>
      <c r="AF62" s="9">
        <v>2576.762</v>
      </c>
      <c r="AG62" s="9">
        <v>12813.22</v>
      </c>
      <c r="AH62" s="9">
        <v>2565.517</v>
      </c>
      <c r="AI62" s="9">
        <v>12821.83</v>
      </c>
      <c r="AJ62" s="9">
        <v>2575.501</v>
      </c>
      <c r="AK62" s="9">
        <v>847.6731</v>
      </c>
      <c r="AL62" s="9">
        <v>159.1999</v>
      </c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</row>
    <row r="63" ht="15.75" customHeight="1">
      <c r="A63" s="9">
        <v>1898.122</v>
      </c>
      <c r="B63" s="9">
        <v>575.5209</v>
      </c>
      <c r="C63" s="9">
        <v>2177.6252</v>
      </c>
      <c r="D63" s="9">
        <v>470.5128</v>
      </c>
      <c r="E63" s="9">
        <v>1307.256</v>
      </c>
      <c r="F63" s="9">
        <v>523.4036</v>
      </c>
      <c r="G63" s="9">
        <v>2262.638</v>
      </c>
      <c r="H63" s="9">
        <v>534.5023</v>
      </c>
      <c r="I63" s="9">
        <v>2053.121</v>
      </c>
      <c r="J63" s="9">
        <v>454.5072</v>
      </c>
      <c r="K63" s="9">
        <v>2088.815</v>
      </c>
      <c r="L63" s="9">
        <v>492.0379</v>
      </c>
      <c r="M63" s="9">
        <v>2071.517</v>
      </c>
      <c r="N63" s="9">
        <v>519.5514</v>
      </c>
      <c r="O63" s="9">
        <v>2266.176</v>
      </c>
      <c r="P63" s="9">
        <v>494.4684</v>
      </c>
      <c r="Q63" s="9">
        <v>1993.79</v>
      </c>
      <c r="R63" s="9">
        <v>430.4012</v>
      </c>
      <c r="S63" s="9">
        <v>2156.096</v>
      </c>
      <c r="T63" s="9">
        <v>742.9536</v>
      </c>
      <c r="U63" s="9">
        <v>1580.621</v>
      </c>
      <c r="V63" s="9">
        <v>512.7621</v>
      </c>
      <c r="W63" s="9">
        <v>2241.289</v>
      </c>
      <c r="X63" s="9">
        <v>638.2576</v>
      </c>
      <c r="Y63" s="9">
        <v>1957.589</v>
      </c>
      <c r="Z63" s="9">
        <v>505.1902</v>
      </c>
      <c r="AA63" s="9">
        <v>2090.868</v>
      </c>
      <c r="AB63" s="9">
        <v>510.4059</v>
      </c>
      <c r="AC63" s="9">
        <v>2100.113</v>
      </c>
      <c r="AD63" s="9">
        <v>444.8494</v>
      </c>
      <c r="AE63" s="9">
        <v>2163.513</v>
      </c>
      <c r="AF63" s="9">
        <v>476.6468</v>
      </c>
      <c r="AG63" s="9">
        <v>2077.058</v>
      </c>
      <c r="AH63" s="9">
        <v>512.744</v>
      </c>
      <c r="AI63" s="9">
        <v>2296.953</v>
      </c>
      <c r="AJ63" s="9">
        <v>460.2191</v>
      </c>
      <c r="AK63" s="9">
        <v>251.513</v>
      </c>
      <c r="AL63" s="9">
        <v>40.16842</v>
      </c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</row>
    <row r="64" ht="15.75" customHeight="1">
      <c r="A64" s="9">
        <v>891.64894</v>
      </c>
      <c r="B64" s="9">
        <v>319.2077</v>
      </c>
      <c r="C64" s="9">
        <v>932.90992</v>
      </c>
      <c r="D64" s="9">
        <v>175.0972</v>
      </c>
      <c r="E64" s="9">
        <v>724.6079</v>
      </c>
      <c r="F64" s="9">
        <v>298.0719</v>
      </c>
      <c r="G64" s="9">
        <v>869.4003</v>
      </c>
      <c r="H64" s="9">
        <v>311.3366</v>
      </c>
      <c r="I64" s="9">
        <v>903.0594</v>
      </c>
      <c r="J64" s="9">
        <v>297.7782</v>
      </c>
      <c r="K64" s="9">
        <v>964.686</v>
      </c>
      <c r="L64" s="9">
        <v>280.4263</v>
      </c>
      <c r="M64" s="9">
        <v>964.3358</v>
      </c>
      <c r="N64" s="9">
        <v>271.3904</v>
      </c>
      <c r="O64" s="9">
        <v>926.8335</v>
      </c>
      <c r="P64" s="9">
        <v>259.5716</v>
      </c>
      <c r="Q64" s="9">
        <v>980.6422</v>
      </c>
      <c r="R64" s="9">
        <v>259.3508</v>
      </c>
      <c r="S64" s="9">
        <v>930.2041</v>
      </c>
      <c r="T64" s="9">
        <v>278.101</v>
      </c>
      <c r="U64" s="9">
        <v>737.7241</v>
      </c>
      <c r="V64" s="9">
        <v>288.0497</v>
      </c>
      <c r="W64" s="9">
        <v>914.8716</v>
      </c>
      <c r="X64" s="9">
        <v>260.8384</v>
      </c>
      <c r="Y64" s="9">
        <v>925.3022</v>
      </c>
      <c r="Z64" s="9">
        <v>280.7756</v>
      </c>
      <c r="AA64" s="9">
        <v>949.4631</v>
      </c>
      <c r="AB64" s="9">
        <v>316.8927</v>
      </c>
      <c r="AC64" s="9">
        <v>1006.283</v>
      </c>
      <c r="AD64" s="9">
        <v>240.3598</v>
      </c>
      <c r="AE64" s="9">
        <v>932.3327</v>
      </c>
      <c r="AF64" s="9">
        <v>223.8115</v>
      </c>
      <c r="AG64" s="9">
        <v>877.0035</v>
      </c>
      <c r="AH64" s="9">
        <v>270.4895</v>
      </c>
      <c r="AI64" s="9">
        <v>930.3433</v>
      </c>
      <c r="AJ64" s="9">
        <v>277.8712</v>
      </c>
      <c r="AK64" s="9">
        <v>194.2154</v>
      </c>
      <c r="AL64" s="9">
        <v>28.15213</v>
      </c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</row>
    <row r="65" ht="15.75" customHeight="1">
      <c r="A65" s="9">
        <v>868.45264</v>
      </c>
      <c r="B65" s="9">
        <v>324.3451</v>
      </c>
      <c r="C65" s="9">
        <v>994.19764</v>
      </c>
      <c r="D65" s="9">
        <v>194.1233</v>
      </c>
      <c r="E65" s="9">
        <v>682.3213</v>
      </c>
      <c r="F65" s="9">
        <v>281.9194</v>
      </c>
      <c r="G65" s="9">
        <v>988.6043</v>
      </c>
      <c r="H65" s="9">
        <v>396.9159</v>
      </c>
      <c r="I65" s="9">
        <v>892.5783</v>
      </c>
      <c r="J65" s="9">
        <v>309.2035</v>
      </c>
      <c r="K65" s="9">
        <v>949.9776</v>
      </c>
      <c r="L65" s="9">
        <v>256.9707</v>
      </c>
      <c r="M65" s="9">
        <v>861.5844</v>
      </c>
      <c r="N65" s="9">
        <v>329.5163</v>
      </c>
      <c r="O65" s="9">
        <v>909.4764</v>
      </c>
      <c r="P65" s="9">
        <v>270.9466</v>
      </c>
      <c r="Q65" s="9">
        <v>1109.592</v>
      </c>
      <c r="R65" s="9">
        <v>255.504</v>
      </c>
      <c r="S65" s="9">
        <v>876.3517</v>
      </c>
      <c r="T65" s="9">
        <v>289.307</v>
      </c>
      <c r="U65" s="9">
        <v>721.7077</v>
      </c>
      <c r="V65" s="9">
        <v>277.151</v>
      </c>
      <c r="W65" s="9">
        <v>896.7873</v>
      </c>
      <c r="X65" s="9">
        <v>177.126</v>
      </c>
      <c r="Y65" s="9">
        <v>895.6264</v>
      </c>
      <c r="Z65" s="9">
        <v>263.7771</v>
      </c>
      <c r="AA65" s="9">
        <v>857.7741</v>
      </c>
      <c r="AB65" s="9">
        <v>283.4009</v>
      </c>
      <c r="AC65" s="9">
        <v>876.932</v>
      </c>
      <c r="AD65" s="9">
        <v>217.5226</v>
      </c>
      <c r="AE65" s="9">
        <v>946.3205</v>
      </c>
      <c r="AF65" s="9">
        <v>183.7021</v>
      </c>
      <c r="AG65" s="9">
        <v>914.9226</v>
      </c>
      <c r="AH65" s="9">
        <v>298.0505</v>
      </c>
      <c r="AI65" s="9">
        <v>926.8273</v>
      </c>
      <c r="AJ65" s="9">
        <v>231.4493</v>
      </c>
      <c r="AK65" s="9">
        <v>194.0955</v>
      </c>
      <c r="AL65" s="9">
        <v>19.74707</v>
      </c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</row>
    <row r="66" ht="15.75" customHeight="1">
      <c r="A66" s="9">
        <v>887.41311</v>
      </c>
      <c r="B66" s="9">
        <v>358.8027</v>
      </c>
      <c r="C66" s="9">
        <v>986.74979</v>
      </c>
      <c r="D66" s="9">
        <v>213.3416</v>
      </c>
      <c r="E66" s="9">
        <v>660.0748</v>
      </c>
      <c r="F66" s="9">
        <v>327.9328</v>
      </c>
      <c r="G66" s="9">
        <v>884.376</v>
      </c>
      <c r="H66" s="9">
        <v>283.3657</v>
      </c>
      <c r="I66" s="9">
        <v>931.8806</v>
      </c>
      <c r="J66" s="9">
        <v>300.0758</v>
      </c>
      <c r="K66" s="9">
        <v>942.9529</v>
      </c>
      <c r="L66" s="9">
        <v>267.2544</v>
      </c>
      <c r="M66" s="9">
        <v>913.1714</v>
      </c>
      <c r="N66" s="9">
        <v>308.6161</v>
      </c>
      <c r="O66" s="9">
        <v>998.6767</v>
      </c>
      <c r="P66" s="9">
        <v>260.0429</v>
      </c>
      <c r="Q66" s="9">
        <v>843.3829</v>
      </c>
      <c r="R66" s="9">
        <v>293.446</v>
      </c>
      <c r="S66" s="9">
        <v>993.6355</v>
      </c>
      <c r="T66" s="9">
        <v>317.1594</v>
      </c>
      <c r="U66" s="9">
        <v>704.4864</v>
      </c>
      <c r="V66" s="9">
        <v>247.4455</v>
      </c>
      <c r="W66" s="9">
        <v>896.0508</v>
      </c>
      <c r="X66" s="9">
        <v>215.5253</v>
      </c>
      <c r="Y66" s="9">
        <v>876.6346</v>
      </c>
      <c r="Z66" s="9">
        <v>257.2993</v>
      </c>
      <c r="AA66" s="9">
        <v>846.167</v>
      </c>
      <c r="AB66" s="9">
        <v>392.6692</v>
      </c>
      <c r="AC66" s="9">
        <v>893.459</v>
      </c>
      <c r="AD66" s="9">
        <v>283.3198</v>
      </c>
      <c r="AE66" s="9">
        <v>906.4648</v>
      </c>
      <c r="AF66" s="9">
        <v>235.2691</v>
      </c>
      <c r="AG66" s="9">
        <v>902.0385</v>
      </c>
      <c r="AH66" s="9">
        <v>306.0272</v>
      </c>
      <c r="AI66" s="9">
        <v>942.5117</v>
      </c>
      <c r="AJ66" s="9">
        <v>225.6383</v>
      </c>
      <c r="AK66" s="9">
        <v>193.6696</v>
      </c>
      <c r="AL66" s="9">
        <v>21.1111</v>
      </c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</row>
    <row r="67" ht="15.75" customHeight="1">
      <c r="A67" s="9">
        <v>2791.5437</v>
      </c>
      <c r="B67" s="9">
        <v>331.5013</v>
      </c>
      <c r="C67" s="9">
        <v>3669.7654</v>
      </c>
      <c r="D67" s="9">
        <v>434.9325</v>
      </c>
      <c r="E67" s="9">
        <v>1953.735</v>
      </c>
      <c r="F67" s="9">
        <v>342.1038</v>
      </c>
      <c r="G67" s="9">
        <v>3401.836</v>
      </c>
      <c r="H67" s="9">
        <v>285.0352</v>
      </c>
      <c r="I67" s="9">
        <v>3343.838</v>
      </c>
      <c r="J67" s="9">
        <v>348.4742</v>
      </c>
      <c r="K67" s="9">
        <v>3869.574</v>
      </c>
      <c r="L67" s="9">
        <v>301.1208</v>
      </c>
      <c r="M67" s="9">
        <v>3036.178</v>
      </c>
      <c r="N67" s="9">
        <v>313.1452</v>
      </c>
      <c r="O67" s="9">
        <v>3082.369</v>
      </c>
      <c r="P67" s="9">
        <v>398.9458</v>
      </c>
      <c r="Q67" s="9">
        <v>2897.717</v>
      </c>
      <c r="R67" s="9">
        <v>308.2408</v>
      </c>
      <c r="S67" s="9">
        <v>3218.468</v>
      </c>
      <c r="T67" s="9">
        <v>316.598</v>
      </c>
      <c r="U67" s="9">
        <v>2038.159</v>
      </c>
      <c r="V67" s="9">
        <v>292.1452</v>
      </c>
      <c r="W67" s="9">
        <v>2647.694</v>
      </c>
      <c r="X67" s="9">
        <v>270.0614</v>
      </c>
      <c r="Y67" s="9">
        <v>2879.773</v>
      </c>
      <c r="Z67" s="9">
        <v>293.4581</v>
      </c>
      <c r="AA67" s="9">
        <v>2893.194</v>
      </c>
      <c r="AB67" s="9">
        <v>492.0868</v>
      </c>
      <c r="AC67" s="9">
        <v>2652.719</v>
      </c>
      <c r="AD67" s="9">
        <v>361.7784</v>
      </c>
      <c r="AE67" s="9">
        <v>2980.295</v>
      </c>
      <c r="AF67" s="9">
        <v>293.0461</v>
      </c>
      <c r="AG67" s="9">
        <v>2849.808</v>
      </c>
      <c r="AH67" s="9">
        <v>267.68</v>
      </c>
      <c r="AI67" s="9">
        <v>2798.96</v>
      </c>
      <c r="AJ67" s="9">
        <v>322.2832</v>
      </c>
      <c r="AK67" s="9">
        <v>203.7104</v>
      </c>
      <c r="AL67" s="9">
        <v>25.97233</v>
      </c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</row>
    <row r="68" ht="15.75" customHeight="1">
      <c r="A68" s="9">
        <v>3097.9592</v>
      </c>
      <c r="B68" s="9">
        <v>808.1128</v>
      </c>
      <c r="C68" s="9">
        <v>2014.0328</v>
      </c>
      <c r="D68" s="9">
        <v>743.611</v>
      </c>
      <c r="E68" s="9">
        <v>1880.634</v>
      </c>
      <c r="F68" s="9">
        <v>785.584</v>
      </c>
      <c r="G68" s="9">
        <v>3576.748</v>
      </c>
      <c r="H68" s="9">
        <v>759.6852</v>
      </c>
      <c r="I68" s="9">
        <v>3559.195</v>
      </c>
      <c r="J68" s="9">
        <v>825.5771</v>
      </c>
      <c r="K68" s="9">
        <v>3620.246</v>
      </c>
      <c r="L68" s="9">
        <v>744.6742</v>
      </c>
      <c r="M68" s="9">
        <v>2885.232</v>
      </c>
      <c r="N68" s="9">
        <v>791.2389</v>
      </c>
      <c r="O68" s="9">
        <v>3614.664</v>
      </c>
      <c r="P68" s="9">
        <v>767.1539</v>
      </c>
      <c r="Q68" s="9">
        <v>3462.536</v>
      </c>
      <c r="R68" s="9">
        <v>808.626</v>
      </c>
      <c r="S68" s="9">
        <v>3563.686</v>
      </c>
      <c r="T68" s="9">
        <v>832.1768</v>
      </c>
      <c r="U68" s="9">
        <v>1965.938</v>
      </c>
      <c r="V68" s="9">
        <v>708.0093</v>
      </c>
      <c r="W68" s="9">
        <v>3346.203</v>
      </c>
      <c r="X68" s="9">
        <v>726.2433</v>
      </c>
      <c r="Y68" s="9">
        <v>1978.194</v>
      </c>
      <c r="Z68" s="9">
        <v>769.3375</v>
      </c>
      <c r="AA68" s="9">
        <v>3476.058</v>
      </c>
      <c r="AB68" s="9">
        <v>880.5806</v>
      </c>
      <c r="AC68" s="9">
        <v>2647.266</v>
      </c>
      <c r="AD68" s="9">
        <v>747.4524</v>
      </c>
      <c r="AE68" s="9">
        <v>2701.689</v>
      </c>
      <c r="AF68" s="9">
        <v>732.2007</v>
      </c>
      <c r="AG68" s="9">
        <v>3160.833</v>
      </c>
      <c r="AH68" s="9">
        <v>708.0128</v>
      </c>
      <c r="AI68" s="9">
        <v>3633.826</v>
      </c>
      <c r="AJ68" s="9">
        <v>759.7221</v>
      </c>
      <c r="AK68" s="9">
        <v>401.2627</v>
      </c>
      <c r="AL68" s="9">
        <v>62.58693</v>
      </c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</row>
    <row r="69" ht="15.75" customHeight="1">
      <c r="A69" s="9">
        <v>3452.9186</v>
      </c>
      <c r="B69" s="9">
        <v>813.5123</v>
      </c>
      <c r="C69" s="9">
        <v>3574.3454</v>
      </c>
      <c r="D69" s="9">
        <v>2312.718</v>
      </c>
      <c r="E69" s="9">
        <v>2575.55</v>
      </c>
      <c r="F69" s="9">
        <v>852.3492</v>
      </c>
      <c r="G69" s="9">
        <v>3757.324</v>
      </c>
      <c r="H69" s="9">
        <v>890.8085</v>
      </c>
      <c r="I69" s="9">
        <v>3730.482</v>
      </c>
      <c r="J69" s="9">
        <v>870.016</v>
      </c>
      <c r="K69" s="9">
        <v>3687.29</v>
      </c>
      <c r="L69" s="9">
        <v>877.5191</v>
      </c>
      <c r="M69" s="9">
        <v>3613.225</v>
      </c>
      <c r="N69" s="9">
        <v>1393.246</v>
      </c>
      <c r="O69" s="9">
        <v>3872.026</v>
      </c>
      <c r="P69" s="9">
        <v>910.9605</v>
      </c>
      <c r="Q69" s="9">
        <v>3604.475</v>
      </c>
      <c r="R69" s="9">
        <v>883.2121</v>
      </c>
      <c r="S69" s="9">
        <v>3675.687</v>
      </c>
      <c r="T69" s="9">
        <v>921.9616</v>
      </c>
      <c r="U69" s="9">
        <v>2736.641</v>
      </c>
      <c r="V69" s="9">
        <v>823.7871</v>
      </c>
      <c r="W69" s="9">
        <v>3705.832</v>
      </c>
      <c r="X69" s="9">
        <v>785.4613</v>
      </c>
      <c r="Y69" s="9">
        <v>3429.624</v>
      </c>
      <c r="Z69" s="9">
        <v>782.7962</v>
      </c>
      <c r="AA69" s="9">
        <v>3641.598</v>
      </c>
      <c r="AB69" s="9">
        <v>1358.742</v>
      </c>
      <c r="AC69" s="9">
        <v>3673.964</v>
      </c>
      <c r="AD69" s="9">
        <v>825.8686</v>
      </c>
      <c r="AE69" s="9">
        <v>3600.119</v>
      </c>
      <c r="AF69" s="9">
        <v>824.6253</v>
      </c>
      <c r="AG69" s="9">
        <v>3469.791</v>
      </c>
      <c r="AH69" s="9">
        <v>888.1122</v>
      </c>
      <c r="AI69" s="9">
        <v>3880.876</v>
      </c>
      <c r="AJ69" s="9">
        <v>823.9654</v>
      </c>
      <c r="AK69" s="9">
        <v>448.8083</v>
      </c>
      <c r="AL69" s="9">
        <v>78.72688</v>
      </c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</row>
    <row r="70" ht="15.75" customHeight="1">
      <c r="A70" s="9">
        <v>3078.227</v>
      </c>
      <c r="B70" s="9">
        <v>736.0931</v>
      </c>
      <c r="C70" s="9">
        <v>2061.1346</v>
      </c>
      <c r="D70" s="9">
        <v>1534.514</v>
      </c>
      <c r="E70" s="9">
        <v>1992.114</v>
      </c>
      <c r="F70" s="9">
        <v>784.9489</v>
      </c>
      <c r="G70" s="9">
        <v>3806.279</v>
      </c>
      <c r="H70" s="9">
        <v>856.6762</v>
      </c>
      <c r="I70" s="9">
        <v>3741.0</v>
      </c>
      <c r="J70" s="9">
        <v>794.9889</v>
      </c>
      <c r="K70" s="9">
        <v>3813.063</v>
      </c>
      <c r="L70" s="9">
        <v>885.8466</v>
      </c>
      <c r="M70" s="9">
        <v>3427.459</v>
      </c>
      <c r="N70" s="9">
        <v>879.5498</v>
      </c>
      <c r="O70" s="9">
        <v>3830.582</v>
      </c>
      <c r="P70" s="9">
        <v>793.4801</v>
      </c>
      <c r="Q70" s="9">
        <v>3610.893</v>
      </c>
      <c r="R70" s="9">
        <v>795.336</v>
      </c>
      <c r="S70" s="9">
        <v>2818.883</v>
      </c>
      <c r="T70" s="9">
        <v>844.3481</v>
      </c>
      <c r="U70" s="9">
        <v>1961.725</v>
      </c>
      <c r="V70" s="9">
        <v>746.2876</v>
      </c>
      <c r="W70" s="9">
        <v>3528.882</v>
      </c>
      <c r="X70" s="9">
        <v>728.7724</v>
      </c>
      <c r="Y70" s="9">
        <v>2157.176</v>
      </c>
      <c r="Z70" s="9">
        <v>753.926</v>
      </c>
      <c r="AA70" s="9">
        <v>3520.823</v>
      </c>
      <c r="AB70" s="9">
        <v>873.5548</v>
      </c>
      <c r="AC70" s="9">
        <v>2562.491</v>
      </c>
      <c r="AD70" s="9">
        <v>750.2211</v>
      </c>
      <c r="AE70" s="9">
        <v>3184.606</v>
      </c>
      <c r="AF70" s="9">
        <v>831.9095</v>
      </c>
      <c r="AG70" s="9">
        <v>3262.63</v>
      </c>
      <c r="AH70" s="9">
        <v>808.6862</v>
      </c>
      <c r="AI70" s="9">
        <v>3627.802</v>
      </c>
      <c r="AJ70" s="9">
        <v>731.4995</v>
      </c>
      <c r="AK70" s="9">
        <v>399.7124</v>
      </c>
      <c r="AL70" s="9">
        <v>68.88366</v>
      </c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</row>
    <row r="71" ht="15.75" customHeight="1">
      <c r="A71" s="40" t="s">
        <v>85</v>
      </c>
      <c r="B71" s="40" t="s">
        <v>85</v>
      </c>
      <c r="C71" s="1" t="s">
        <v>85</v>
      </c>
      <c r="D71" s="9" t="s">
        <v>85</v>
      </c>
      <c r="E71" s="40" t="s">
        <v>85</v>
      </c>
      <c r="F71" s="40" t="s">
        <v>85</v>
      </c>
      <c r="G71" s="9">
        <v>3586.441</v>
      </c>
      <c r="H71" s="9">
        <v>842.2215</v>
      </c>
      <c r="I71" s="40" t="s">
        <v>85</v>
      </c>
      <c r="J71" s="40" t="s">
        <v>85</v>
      </c>
      <c r="K71" s="1" t="s">
        <v>85</v>
      </c>
      <c r="L71" s="9" t="s">
        <v>85</v>
      </c>
      <c r="M71" s="9">
        <v>2340.855</v>
      </c>
      <c r="N71" s="9">
        <v>868.7914</v>
      </c>
      <c r="O71" s="9">
        <v>3455.129</v>
      </c>
      <c r="P71" s="9">
        <v>801.2258</v>
      </c>
      <c r="Q71" s="1" t="s">
        <v>85</v>
      </c>
      <c r="R71" s="10" t="s">
        <v>85</v>
      </c>
      <c r="S71" s="1" t="s">
        <v>85</v>
      </c>
      <c r="T71" s="9">
        <v>915.5609</v>
      </c>
      <c r="U71" s="40" t="s">
        <v>85</v>
      </c>
      <c r="V71" s="40" t="s">
        <v>85</v>
      </c>
      <c r="W71" s="9">
        <v>2378.742</v>
      </c>
      <c r="X71" s="9">
        <v>726.5979</v>
      </c>
      <c r="Y71" s="40" t="s">
        <v>85</v>
      </c>
      <c r="Z71" s="40" t="s">
        <v>85</v>
      </c>
      <c r="AA71" s="1" t="s">
        <v>85</v>
      </c>
      <c r="AB71" s="9">
        <v>846.0247</v>
      </c>
      <c r="AC71" s="9">
        <v>2217.124</v>
      </c>
      <c r="AD71" s="9">
        <v>791.8941</v>
      </c>
      <c r="AE71" s="9">
        <v>2475.028</v>
      </c>
      <c r="AF71" s="9">
        <v>778.9017</v>
      </c>
      <c r="AG71" s="40" t="s">
        <v>85</v>
      </c>
      <c r="AH71" s="40" t="s">
        <v>85</v>
      </c>
      <c r="AI71" s="9">
        <v>2308.274</v>
      </c>
      <c r="AJ71" s="9">
        <v>708.5629</v>
      </c>
      <c r="AK71" s="9">
        <v>395.4064</v>
      </c>
      <c r="AL71" s="9">
        <v>46.51227</v>
      </c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</row>
    <row r="72" ht="15.75" customHeight="1">
      <c r="A72" s="9">
        <v>1094.6395</v>
      </c>
      <c r="B72" s="9">
        <v>184.2302</v>
      </c>
      <c r="C72" s="9">
        <v>938.86418</v>
      </c>
      <c r="D72" s="9">
        <v>154.055</v>
      </c>
      <c r="E72" s="9">
        <v>746.1366</v>
      </c>
      <c r="F72" s="9">
        <v>139.4248</v>
      </c>
      <c r="G72" s="9">
        <v>1610.305</v>
      </c>
      <c r="H72" s="9">
        <v>192.3345</v>
      </c>
      <c r="I72" s="9">
        <v>744.3889</v>
      </c>
      <c r="J72" s="9">
        <v>190.4185</v>
      </c>
      <c r="K72" s="9">
        <v>1230.037</v>
      </c>
      <c r="L72" s="9">
        <v>773.6499</v>
      </c>
      <c r="M72" s="9">
        <v>1211.377</v>
      </c>
      <c r="N72" s="9">
        <v>182.2122</v>
      </c>
      <c r="O72" s="9">
        <v>1166.266</v>
      </c>
      <c r="P72" s="9">
        <v>206.4873</v>
      </c>
      <c r="Q72" s="9">
        <v>1167.882</v>
      </c>
      <c r="R72" s="9">
        <v>174.0908</v>
      </c>
      <c r="S72" s="9">
        <v>922.7079</v>
      </c>
      <c r="T72" s="9">
        <v>215.0642</v>
      </c>
      <c r="U72" s="9">
        <v>569.3243</v>
      </c>
      <c r="V72" s="9">
        <v>197.7806</v>
      </c>
      <c r="W72" s="9">
        <v>1136.487</v>
      </c>
      <c r="X72" s="9">
        <v>180.3806</v>
      </c>
      <c r="Y72" s="9">
        <v>819.1176</v>
      </c>
      <c r="Z72" s="9">
        <v>205.0708</v>
      </c>
      <c r="AA72" s="9">
        <v>971.3752</v>
      </c>
      <c r="AB72" s="9">
        <v>161.0376</v>
      </c>
      <c r="AC72" s="9">
        <v>1362.214</v>
      </c>
      <c r="AD72" s="9">
        <v>183.2244</v>
      </c>
      <c r="AE72" s="9">
        <v>938.001</v>
      </c>
      <c r="AF72" s="9">
        <v>196.2578</v>
      </c>
      <c r="AG72" s="9">
        <v>1058.811</v>
      </c>
      <c r="AH72" s="9">
        <v>167.3297</v>
      </c>
      <c r="AI72" s="9">
        <v>1256.312</v>
      </c>
      <c r="AJ72" s="9">
        <v>130.9222</v>
      </c>
      <c r="AK72" s="9">
        <v>193.164</v>
      </c>
      <c r="AL72" s="9">
        <v>19.04651</v>
      </c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</row>
    <row r="73" ht="15.75" customHeight="1">
      <c r="A73" s="9">
        <v>2156.5613</v>
      </c>
      <c r="B73" s="9">
        <v>800.6713</v>
      </c>
      <c r="C73" s="9">
        <v>2336.8619</v>
      </c>
      <c r="D73" s="9">
        <v>651.5825</v>
      </c>
      <c r="E73" s="9">
        <v>1767.425</v>
      </c>
      <c r="F73" s="9">
        <v>763.0746</v>
      </c>
      <c r="G73" s="9">
        <v>3160.424</v>
      </c>
      <c r="H73" s="9">
        <v>873.5112</v>
      </c>
      <c r="I73" s="9">
        <v>3850.923</v>
      </c>
      <c r="J73" s="9">
        <v>770.0021</v>
      </c>
      <c r="K73" s="1" t="s">
        <v>85</v>
      </c>
      <c r="L73" s="9">
        <v>167.0249</v>
      </c>
      <c r="M73" s="9">
        <v>2074.82</v>
      </c>
      <c r="N73" s="9">
        <v>970.3568</v>
      </c>
      <c r="O73" s="9">
        <v>3425.045</v>
      </c>
      <c r="P73" s="9">
        <v>783.1706</v>
      </c>
      <c r="Q73" s="9">
        <v>2581.083</v>
      </c>
      <c r="R73" s="9">
        <v>786.1173</v>
      </c>
      <c r="S73" s="9">
        <v>2536.733</v>
      </c>
      <c r="T73" s="9">
        <v>823.3689</v>
      </c>
      <c r="U73" s="9">
        <v>1868.162</v>
      </c>
      <c r="V73" s="9">
        <v>749.4832</v>
      </c>
      <c r="W73" s="9">
        <v>2172.599</v>
      </c>
      <c r="X73" s="9">
        <v>794.3701</v>
      </c>
      <c r="Y73" s="9">
        <v>2199.403</v>
      </c>
      <c r="Z73" s="9">
        <v>777.8547</v>
      </c>
      <c r="AA73" s="9">
        <v>2467.022</v>
      </c>
      <c r="AB73" s="9">
        <v>936.0054</v>
      </c>
      <c r="AC73" s="9">
        <v>1998.426</v>
      </c>
      <c r="AD73" s="9">
        <v>812.3422</v>
      </c>
      <c r="AE73" s="9">
        <v>2344.757</v>
      </c>
      <c r="AF73" s="9">
        <v>785.6022</v>
      </c>
      <c r="AG73" s="9">
        <v>2203.934</v>
      </c>
      <c r="AH73" s="9">
        <v>760.2855</v>
      </c>
      <c r="AI73" s="9">
        <v>2327.404</v>
      </c>
      <c r="AJ73" s="9">
        <v>744.8087</v>
      </c>
      <c r="AK73" s="9">
        <v>395.6027</v>
      </c>
      <c r="AL73" s="9">
        <v>48.78168</v>
      </c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</row>
    <row r="74" ht="15.75" customHeight="1">
      <c r="A74" s="9">
        <v>2026.139</v>
      </c>
      <c r="B74" s="9">
        <v>476.2227</v>
      </c>
      <c r="C74" s="9">
        <v>2211.4889</v>
      </c>
      <c r="D74" s="9">
        <v>377.0989</v>
      </c>
      <c r="E74" s="9">
        <v>1838.094</v>
      </c>
      <c r="F74" s="9">
        <v>457.7559</v>
      </c>
      <c r="G74" s="9">
        <v>4054.253</v>
      </c>
      <c r="H74" s="9">
        <v>557.4224</v>
      </c>
      <c r="I74" s="9">
        <v>2623.239</v>
      </c>
      <c r="J74" s="9">
        <v>510.0554</v>
      </c>
      <c r="K74" s="9">
        <v>2645.251</v>
      </c>
      <c r="L74" s="9">
        <v>464.403</v>
      </c>
      <c r="M74" s="9">
        <v>2329.2</v>
      </c>
      <c r="N74" s="9">
        <v>820.5623</v>
      </c>
      <c r="O74" s="9">
        <v>4476.544</v>
      </c>
      <c r="P74" s="9">
        <v>568.6016</v>
      </c>
      <c r="Q74" s="9">
        <v>2280.925</v>
      </c>
      <c r="R74" s="9">
        <v>502.8958</v>
      </c>
      <c r="S74" s="9">
        <v>2365.063</v>
      </c>
      <c r="T74" s="9">
        <v>631.1795</v>
      </c>
      <c r="U74" s="9">
        <v>1746.402</v>
      </c>
      <c r="V74" s="9">
        <v>470.4969</v>
      </c>
      <c r="W74" s="9">
        <v>2360.851</v>
      </c>
      <c r="X74" s="9">
        <v>657.5656</v>
      </c>
      <c r="Y74" s="9">
        <v>2116.925</v>
      </c>
      <c r="Z74" s="9">
        <v>496.0993</v>
      </c>
      <c r="AA74" s="9">
        <v>2432.427</v>
      </c>
      <c r="AB74" s="9">
        <v>775.2963</v>
      </c>
      <c r="AC74" s="9">
        <v>2212.032</v>
      </c>
      <c r="AD74" s="9">
        <v>576.9013</v>
      </c>
      <c r="AE74" s="9">
        <v>2415.032</v>
      </c>
      <c r="AF74" s="9">
        <v>473.8964</v>
      </c>
      <c r="AG74" s="9">
        <v>2405.56</v>
      </c>
      <c r="AH74" s="9">
        <v>666.4865</v>
      </c>
      <c r="AI74" s="9">
        <v>2328.346</v>
      </c>
      <c r="AJ74" s="9">
        <v>500.4185</v>
      </c>
      <c r="AK74" s="9">
        <v>396.2579</v>
      </c>
      <c r="AL74" s="9">
        <v>42.08484</v>
      </c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</row>
    <row r="75" ht="15.75" customHeight="1">
      <c r="A75" s="9">
        <v>3710.3641</v>
      </c>
      <c r="B75" s="9">
        <v>765.4581</v>
      </c>
      <c r="C75" s="9">
        <v>3744.0193</v>
      </c>
      <c r="D75" s="9">
        <v>662.3843</v>
      </c>
      <c r="E75" s="9">
        <v>2561.397</v>
      </c>
      <c r="F75" s="9">
        <v>778.5985</v>
      </c>
      <c r="G75" s="9">
        <v>4492.218</v>
      </c>
      <c r="H75" s="9">
        <v>901.3251</v>
      </c>
      <c r="I75" s="9">
        <v>4519.623</v>
      </c>
      <c r="J75" s="9">
        <v>798.8253</v>
      </c>
      <c r="K75" s="9">
        <v>4039.945</v>
      </c>
      <c r="L75" s="9">
        <v>738.0735</v>
      </c>
      <c r="M75" s="9">
        <v>3916.426</v>
      </c>
      <c r="N75" s="9">
        <v>831.5604</v>
      </c>
      <c r="O75" s="9">
        <v>4208.199</v>
      </c>
      <c r="P75" s="9">
        <v>791.3771</v>
      </c>
      <c r="Q75" s="9">
        <v>3932.537</v>
      </c>
      <c r="R75" s="9">
        <v>778.9392</v>
      </c>
      <c r="S75" s="9">
        <v>4023.689</v>
      </c>
      <c r="T75" s="9">
        <v>719.036</v>
      </c>
      <c r="U75" s="9">
        <v>2475.542</v>
      </c>
      <c r="V75" s="9">
        <v>752.539</v>
      </c>
      <c r="W75" s="9">
        <v>4011.365</v>
      </c>
      <c r="X75" s="9">
        <v>815.3359</v>
      </c>
      <c r="Y75" s="9">
        <v>3527.036</v>
      </c>
      <c r="Z75" s="9">
        <v>847.288</v>
      </c>
      <c r="AA75" s="9">
        <v>3707.355</v>
      </c>
      <c r="AB75" s="9">
        <v>828.9845</v>
      </c>
      <c r="AC75" s="9">
        <v>3863.105</v>
      </c>
      <c r="AD75" s="9">
        <v>794.4305</v>
      </c>
      <c r="AE75" s="9">
        <v>4235.622</v>
      </c>
      <c r="AF75" s="9">
        <v>735.0351</v>
      </c>
      <c r="AG75" s="9">
        <v>3854.955</v>
      </c>
      <c r="AH75" s="9">
        <v>730.0668</v>
      </c>
      <c r="AI75" s="9">
        <v>3844.235</v>
      </c>
      <c r="AJ75" s="9">
        <v>712.0047</v>
      </c>
      <c r="AK75" s="9">
        <v>398.3093</v>
      </c>
      <c r="AL75" s="9">
        <v>79.24172</v>
      </c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</row>
    <row r="76" ht="15.75" customHeight="1">
      <c r="A76" s="9">
        <v>3668.0172</v>
      </c>
      <c r="B76" s="9">
        <v>765.6561</v>
      </c>
      <c r="C76" s="9">
        <v>4172.4228</v>
      </c>
      <c r="D76" s="9">
        <v>651.7487</v>
      </c>
      <c r="E76" s="9">
        <v>2557.438</v>
      </c>
      <c r="F76" s="9">
        <v>753.0288</v>
      </c>
      <c r="G76" s="9">
        <v>4278.169</v>
      </c>
      <c r="H76" s="9">
        <v>929.907</v>
      </c>
      <c r="I76" s="9">
        <v>4449.828</v>
      </c>
      <c r="J76" s="9">
        <v>778.7387</v>
      </c>
      <c r="K76" s="9">
        <v>4345.096</v>
      </c>
      <c r="L76" s="9">
        <v>814.9203</v>
      </c>
      <c r="M76" s="9">
        <v>3994.691</v>
      </c>
      <c r="N76" s="9">
        <v>811.4975</v>
      </c>
      <c r="O76" s="9">
        <v>4495.435</v>
      </c>
      <c r="P76" s="9">
        <v>873.4461</v>
      </c>
      <c r="Q76" s="9">
        <v>3987.297</v>
      </c>
      <c r="R76" s="9">
        <v>835.5188</v>
      </c>
      <c r="S76" s="9">
        <v>3920.291</v>
      </c>
      <c r="T76" s="9">
        <v>880.2295</v>
      </c>
      <c r="U76" s="9">
        <v>2455.507</v>
      </c>
      <c r="V76" s="9">
        <v>762.7234</v>
      </c>
      <c r="W76" s="9">
        <v>4195.397</v>
      </c>
      <c r="X76" s="9">
        <v>827.7226</v>
      </c>
      <c r="Y76" s="9">
        <v>3885.176</v>
      </c>
      <c r="Z76" s="9">
        <v>855.1937</v>
      </c>
      <c r="AA76" s="9">
        <v>4057.823</v>
      </c>
      <c r="AB76" s="9">
        <v>847.9758</v>
      </c>
      <c r="AC76" s="9">
        <v>3979.085</v>
      </c>
      <c r="AD76" s="9">
        <v>788.6705</v>
      </c>
      <c r="AE76" s="9">
        <v>4270.216</v>
      </c>
      <c r="AF76" s="9">
        <v>806.6487</v>
      </c>
      <c r="AG76" s="9">
        <v>3796.032</v>
      </c>
      <c r="AH76" s="9">
        <v>853.3662</v>
      </c>
      <c r="AI76" s="9">
        <v>4129.071</v>
      </c>
      <c r="AJ76" s="9">
        <v>773.05</v>
      </c>
      <c r="AK76" s="9">
        <v>396.3393</v>
      </c>
      <c r="AL76" s="9">
        <v>79.31484</v>
      </c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</row>
    <row r="77" ht="15.75" customHeight="1">
      <c r="A77" s="9">
        <v>950.96641</v>
      </c>
      <c r="B77" s="9">
        <v>170.8007</v>
      </c>
      <c r="C77" s="9">
        <v>1051.3164</v>
      </c>
      <c r="D77" s="9">
        <v>85.09636</v>
      </c>
      <c r="E77" s="9">
        <v>342.3955</v>
      </c>
      <c r="F77" s="9">
        <v>177.2877</v>
      </c>
      <c r="G77" s="9">
        <v>645.6657</v>
      </c>
      <c r="H77" s="9">
        <v>170.3354</v>
      </c>
      <c r="I77" s="9">
        <v>530.7648</v>
      </c>
      <c r="J77" s="9">
        <v>166.4832</v>
      </c>
      <c r="K77" s="9">
        <v>1684.327</v>
      </c>
      <c r="L77" s="9">
        <v>197.4895</v>
      </c>
      <c r="M77" s="9">
        <v>971.2975</v>
      </c>
      <c r="N77" s="9">
        <v>177.8073</v>
      </c>
      <c r="O77" s="9">
        <v>515.009</v>
      </c>
      <c r="P77" s="9">
        <v>220.1528</v>
      </c>
      <c r="Q77" s="9">
        <v>727.4852</v>
      </c>
      <c r="R77" s="9">
        <v>152.0196</v>
      </c>
      <c r="S77" s="9">
        <v>518.6332</v>
      </c>
      <c r="T77" s="9">
        <v>117.794</v>
      </c>
      <c r="U77" s="9">
        <v>382.0048</v>
      </c>
      <c r="V77" s="9">
        <v>131.1063</v>
      </c>
      <c r="W77" s="9">
        <v>502.3931</v>
      </c>
      <c r="X77" s="9">
        <v>111.16</v>
      </c>
      <c r="Y77" s="9">
        <v>463.2146</v>
      </c>
      <c r="Z77" s="9">
        <v>185.8635</v>
      </c>
      <c r="AA77" s="9">
        <v>471.2329</v>
      </c>
      <c r="AB77" s="9">
        <v>178.7685</v>
      </c>
      <c r="AC77" s="9">
        <v>852.1186</v>
      </c>
      <c r="AD77" s="9">
        <v>188.8549</v>
      </c>
      <c r="AE77" s="9">
        <v>885.2321</v>
      </c>
      <c r="AF77" s="9">
        <v>101.7489</v>
      </c>
      <c r="AG77" s="9">
        <v>448.278</v>
      </c>
      <c r="AH77" s="9">
        <v>169.0744</v>
      </c>
      <c r="AI77" s="9">
        <v>714.0761</v>
      </c>
      <c r="AJ77" s="9">
        <v>92.90165</v>
      </c>
      <c r="AK77" s="9">
        <v>193.3286</v>
      </c>
      <c r="AL77" s="9">
        <v>19.46515</v>
      </c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</row>
    <row r="78" ht="15.75" customHeight="1">
      <c r="A78" s="9">
        <v>4261.5921</v>
      </c>
      <c r="B78" s="9">
        <v>804.8716</v>
      </c>
      <c r="C78" s="9">
        <v>4749.4224</v>
      </c>
      <c r="D78" s="9">
        <v>654.1936</v>
      </c>
      <c r="E78" s="9">
        <v>3344.417</v>
      </c>
      <c r="F78" s="9">
        <v>791.8636</v>
      </c>
      <c r="G78" s="9">
        <v>4707.579</v>
      </c>
      <c r="H78" s="9">
        <v>910.1085</v>
      </c>
      <c r="I78" s="9">
        <v>4412.551</v>
      </c>
      <c r="J78" s="9">
        <v>812.2849</v>
      </c>
      <c r="K78" s="9">
        <v>5236.891</v>
      </c>
      <c r="L78" s="9">
        <v>887.4014</v>
      </c>
      <c r="M78" s="9">
        <v>7386.021</v>
      </c>
      <c r="N78" s="9">
        <v>1257.317</v>
      </c>
      <c r="O78" s="9">
        <v>4969.766</v>
      </c>
      <c r="P78" s="9">
        <v>906.8769</v>
      </c>
      <c r="Q78" s="9">
        <v>4691.086</v>
      </c>
      <c r="R78" s="9">
        <v>892.0719</v>
      </c>
      <c r="S78" s="9">
        <v>4814.523</v>
      </c>
      <c r="T78" s="9">
        <v>1098.636</v>
      </c>
      <c r="U78" s="9">
        <v>3353.487</v>
      </c>
      <c r="V78" s="9">
        <v>822.3372</v>
      </c>
      <c r="W78" s="9">
        <v>5081.816</v>
      </c>
      <c r="X78" s="9">
        <v>1035.547</v>
      </c>
      <c r="Y78" s="9">
        <v>4421.925</v>
      </c>
      <c r="Z78" s="9">
        <v>834.7864</v>
      </c>
      <c r="AA78" s="9">
        <v>4980.32</v>
      </c>
      <c r="AB78" s="9">
        <v>1390.321</v>
      </c>
      <c r="AC78" s="9">
        <v>4354.898</v>
      </c>
      <c r="AD78" s="9">
        <v>870.804</v>
      </c>
      <c r="AE78" s="9">
        <v>4862.208</v>
      </c>
      <c r="AF78" s="9">
        <v>978.8508</v>
      </c>
      <c r="AG78" s="9">
        <v>4508.316</v>
      </c>
      <c r="AH78" s="9">
        <v>892.1345</v>
      </c>
      <c r="AI78" s="9">
        <v>4386.459</v>
      </c>
      <c r="AJ78" s="9">
        <v>850.6735</v>
      </c>
      <c r="AK78" s="9">
        <v>446.17</v>
      </c>
      <c r="AL78" s="9">
        <v>79.08756</v>
      </c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</row>
    <row r="79" ht="15.75" customHeight="1">
      <c r="A79" s="9">
        <v>2485.3465</v>
      </c>
      <c r="B79" s="9">
        <v>752.8142</v>
      </c>
      <c r="C79" s="9">
        <v>2026.1183</v>
      </c>
      <c r="D79" s="9">
        <v>682.235</v>
      </c>
      <c r="E79" s="9">
        <v>1928.071</v>
      </c>
      <c r="F79" s="9">
        <v>721.6133</v>
      </c>
      <c r="G79" s="9">
        <v>2268.543</v>
      </c>
      <c r="H79" s="9">
        <v>864.9394</v>
      </c>
      <c r="I79" s="9">
        <v>2995.491</v>
      </c>
      <c r="J79" s="9">
        <v>716.9835</v>
      </c>
      <c r="K79" s="9">
        <v>2285.923</v>
      </c>
      <c r="L79" s="9">
        <v>806.7176</v>
      </c>
      <c r="M79" s="9">
        <v>3787.624</v>
      </c>
      <c r="N79" s="9">
        <v>863.6597</v>
      </c>
      <c r="O79" s="9">
        <v>2319.401</v>
      </c>
      <c r="P79" s="9">
        <v>831.7086</v>
      </c>
      <c r="Q79" s="9">
        <v>2439.321</v>
      </c>
      <c r="R79" s="9">
        <v>763.4323</v>
      </c>
      <c r="S79" s="9">
        <v>2621.186</v>
      </c>
      <c r="T79" s="9">
        <v>852.1123</v>
      </c>
      <c r="U79" s="9">
        <v>1968.065</v>
      </c>
      <c r="V79" s="9">
        <v>742.1042</v>
      </c>
      <c r="W79" s="9">
        <v>2251.521</v>
      </c>
      <c r="X79" s="9">
        <v>842.2936</v>
      </c>
      <c r="Y79" s="9">
        <v>2599.614</v>
      </c>
      <c r="Z79" s="9">
        <v>764.997</v>
      </c>
      <c r="AA79" s="9">
        <v>2599.354</v>
      </c>
      <c r="AB79" s="9">
        <v>871.3118</v>
      </c>
      <c r="AC79" s="9">
        <v>2211.918</v>
      </c>
      <c r="AD79" s="9">
        <v>821.3355</v>
      </c>
      <c r="AE79" s="9">
        <v>2444.928</v>
      </c>
      <c r="AF79" s="9">
        <v>839.5399</v>
      </c>
      <c r="AG79" s="9">
        <v>2388.343</v>
      </c>
      <c r="AH79" s="9">
        <v>755.2341</v>
      </c>
      <c r="AI79" s="9">
        <v>2427.751</v>
      </c>
      <c r="AJ79" s="9">
        <v>854.9037</v>
      </c>
      <c r="AK79" s="9">
        <v>395.3708</v>
      </c>
      <c r="AL79" s="9">
        <v>78.99453</v>
      </c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</row>
    <row r="80" ht="15.75" customHeight="1">
      <c r="A80" s="9">
        <v>1816.6206</v>
      </c>
      <c r="B80" s="9">
        <v>373.7755</v>
      </c>
      <c r="C80" s="9">
        <v>2280.5817</v>
      </c>
      <c r="D80" s="9">
        <v>200.8474</v>
      </c>
      <c r="E80" s="9">
        <v>1304.639</v>
      </c>
      <c r="F80" s="9">
        <v>339.0628</v>
      </c>
      <c r="G80" s="9">
        <v>1911.832</v>
      </c>
      <c r="H80" s="9">
        <v>369.9779</v>
      </c>
      <c r="I80" s="9">
        <v>2123.182</v>
      </c>
      <c r="J80" s="9">
        <v>379.0975</v>
      </c>
      <c r="K80" s="9">
        <v>2272.696</v>
      </c>
      <c r="L80" s="9">
        <v>397.9283</v>
      </c>
      <c r="M80" s="9">
        <v>1036.433</v>
      </c>
      <c r="N80" s="9">
        <v>360.8708</v>
      </c>
      <c r="O80" s="9">
        <v>2250.343</v>
      </c>
      <c r="P80" s="9">
        <v>345.6312</v>
      </c>
      <c r="Q80" s="9">
        <v>1965.966</v>
      </c>
      <c r="R80" s="9">
        <v>349.4335</v>
      </c>
      <c r="S80" s="9">
        <v>2052.868</v>
      </c>
      <c r="T80" s="9">
        <v>446.6868</v>
      </c>
      <c r="U80" s="9">
        <v>844.3364</v>
      </c>
      <c r="V80" s="9">
        <v>184.3348</v>
      </c>
      <c r="W80" s="9">
        <v>2184.612</v>
      </c>
      <c r="X80" s="9">
        <v>350.6649</v>
      </c>
      <c r="Y80" s="9">
        <v>2094.156</v>
      </c>
      <c r="Z80" s="9">
        <v>323.1443</v>
      </c>
      <c r="AA80" s="9">
        <v>1934.443</v>
      </c>
      <c r="AB80" s="9">
        <v>635.7795</v>
      </c>
      <c r="AC80" s="9">
        <v>920.8216</v>
      </c>
      <c r="AD80" s="9">
        <v>183.9115</v>
      </c>
      <c r="AE80" s="9">
        <v>2224.906</v>
      </c>
      <c r="AF80" s="9">
        <v>445.7442</v>
      </c>
      <c r="AG80" s="9">
        <v>1383.69</v>
      </c>
      <c r="AH80" s="9">
        <v>374.871</v>
      </c>
      <c r="AI80" s="9">
        <v>1475.457</v>
      </c>
      <c r="AJ80" s="9">
        <v>320.5904</v>
      </c>
      <c r="AK80" s="9">
        <v>208.0412</v>
      </c>
      <c r="AL80" s="9">
        <v>38.81694</v>
      </c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</row>
    <row r="81" ht="15.75" customHeight="1">
      <c r="A81" s="9">
        <v>1518.8979</v>
      </c>
      <c r="B81" s="9">
        <v>208.1398</v>
      </c>
      <c r="C81" s="9">
        <v>658.82211</v>
      </c>
      <c r="D81" s="9">
        <v>81.14041</v>
      </c>
      <c r="E81" s="9">
        <v>507.6664</v>
      </c>
      <c r="F81" s="9">
        <v>161.4245</v>
      </c>
      <c r="G81" s="9">
        <v>1415.169</v>
      </c>
      <c r="H81" s="9">
        <v>197.6506</v>
      </c>
      <c r="I81" s="9">
        <v>1457.385</v>
      </c>
      <c r="J81" s="9">
        <v>162.343</v>
      </c>
      <c r="K81" s="9">
        <v>1068.07</v>
      </c>
      <c r="L81" s="9">
        <v>218.2008</v>
      </c>
      <c r="M81" s="9">
        <v>819.476</v>
      </c>
      <c r="N81" s="9">
        <v>163.887</v>
      </c>
      <c r="O81" s="9">
        <v>1475.418</v>
      </c>
      <c r="P81" s="9">
        <v>165.6558</v>
      </c>
      <c r="Q81" s="9">
        <v>778.6917</v>
      </c>
      <c r="R81" s="9">
        <v>185.9032</v>
      </c>
      <c r="S81" s="9">
        <v>712.9044</v>
      </c>
      <c r="T81" s="9">
        <v>209.5931</v>
      </c>
      <c r="U81" s="9">
        <v>684.1526</v>
      </c>
      <c r="V81" s="9">
        <v>173.1214</v>
      </c>
      <c r="W81" s="9">
        <v>862.956</v>
      </c>
      <c r="X81" s="9">
        <v>177.0611</v>
      </c>
      <c r="Y81" s="9">
        <v>692.8993</v>
      </c>
      <c r="Z81" s="9">
        <v>134.8841</v>
      </c>
      <c r="AA81" s="9">
        <v>1130.479</v>
      </c>
      <c r="AB81" s="9">
        <v>187.7223</v>
      </c>
      <c r="AC81" s="9">
        <v>1408.753</v>
      </c>
      <c r="AD81" s="9">
        <v>147.0699</v>
      </c>
      <c r="AE81" s="9">
        <v>1237.03</v>
      </c>
      <c r="AF81" s="9">
        <v>190.1509</v>
      </c>
      <c r="AG81" s="9">
        <v>1183.949</v>
      </c>
      <c r="AH81" s="9">
        <v>194.4895</v>
      </c>
      <c r="AI81" s="9">
        <v>887.4076</v>
      </c>
      <c r="AJ81" s="9">
        <v>187.9029</v>
      </c>
      <c r="AK81" s="9">
        <v>194.7816</v>
      </c>
      <c r="AL81" s="9">
        <v>21.69915</v>
      </c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</row>
    <row r="82" ht="15.75" customHeight="1">
      <c r="A82" s="9">
        <v>1285.5129</v>
      </c>
      <c r="B82" s="9">
        <v>186.0204</v>
      </c>
      <c r="C82" s="9">
        <v>1537.265</v>
      </c>
      <c r="D82" s="9">
        <v>114.9522</v>
      </c>
      <c r="E82" s="9">
        <v>1198.042</v>
      </c>
      <c r="F82" s="9">
        <v>171.7261</v>
      </c>
      <c r="G82" s="9">
        <v>2145.464</v>
      </c>
      <c r="H82" s="9">
        <v>188.5038</v>
      </c>
      <c r="I82" s="9">
        <v>877.1736</v>
      </c>
      <c r="J82" s="9">
        <v>186.9212</v>
      </c>
      <c r="K82" s="9">
        <v>1020.805</v>
      </c>
      <c r="L82" s="9">
        <v>220.8621</v>
      </c>
      <c r="M82" s="9">
        <v>1141.609</v>
      </c>
      <c r="N82" s="9">
        <v>225.0862</v>
      </c>
      <c r="O82" s="9">
        <v>1037.49</v>
      </c>
      <c r="P82" s="9">
        <v>210.3944</v>
      </c>
      <c r="Q82" s="9">
        <v>1661.909</v>
      </c>
      <c r="R82" s="9">
        <v>174.2913</v>
      </c>
      <c r="S82" s="9">
        <v>1415.684</v>
      </c>
      <c r="T82" s="9">
        <v>212.8526</v>
      </c>
      <c r="U82" s="9">
        <v>665.7148</v>
      </c>
      <c r="V82" s="9">
        <v>162.3969</v>
      </c>
      <c r="W82" s="9">
        <v>1342.219</v>
      </c>
      <c r="X82" s="9">
        <v>157.8895</v>
      </c>
      <c r="Y82" s="9">
        <v>1605.152</v>
      </c>
      <c r="Z82" s="9">
        <v>167.1492</v>
      </c>
      <c r="AA82" s="9">
        <v>1435.778</v>
      </c>
      <c r="AB82" s="9">
        <v>237.6276</v>
      </c>
      <c r="AC82" s="9">
        <v>1757.808</v>
      </c>
      <c r="AD82" s="9">
        <v>188.3176</v>
      </c>
      <c r="AE82" s="9">
        <v>1091.309</v>
      </c>
      <c r="AF82" s="9">
        <v>184.6996</v>
      </c>
      <c r="AG82" s="9">
        <v>1276.326</v>
      </c>
      <c r="AH82" s="9">
        <v>186.0559</v>
      </c>
      <c r="AI82" s="9">
        <v>1258.564</v>
      </c>
      <c r="AJ82" s="9">
        <v>192.4826</v>
      </c>
      <c r="AK82" s="9">
        <v>195.6163</v>
      </c>
      <c r="AL82" s="9">
        <v>21.57237</v>
      </c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</row>
    <row r="83" ht="15.75" customHeight="1">
      <c r="A83" s="9">
        <v>6646.2744</v>
      </c>
      <c r="B83" s="9">
        <v>1481.834</v>
      </c>
      <c r="C83" s="9">
        <v>6715.3838</v>
      </c>
      <c r="D83" s="9">
        <v>2528.673</v>
      </c>
      <c r="E83" s="9">
        <v>4081.859</v>
      </c>
      <c r="F83" s="9">
        <v>1444.371</v>
      </c>
      <c r="G83" s="9">
        <v>6773.689</v>
      </c>
      <c r="H83" s="9">
        <v>1515.108</v>
      </c>
      <c r="I83" s="9">
        <v>6737.04</v>
      </c>
      <c r="J83" s="9">
        <v>1423.951</v>
      </c>
      <c r="K83" s="9">
        <v>6654.694</v>
      </c>
      <c r="L83" s="9">
        <v>1453.885</v>
      </c>
      <c r="M83" s="9">
        <v>6726.675</v>
      </c>
      <c r="N83" s="9">
        <v>1603.027</v>
      </c>
      <c r="O83" s="9">
        <v>6703.709</v>
      </c>
      <c r="P83" s="9">
        <v>1538.967</v>
      </c>
      <c r="Q83" s="9">
        <v>6624.809</v>
      </c>
      <c r="R83" s="9">
        <v>1492.414</v>
      </c>
      <c r="S83" s="9">
        <v>6657.162</v>
      </c>
      <c r="T83" s="9">
        <v>1541.805</v>
      </c>
      <c r="U83" s="9">
        <v>4235.715</v>
      </c>
      <c r="V83" s="9">
        <v>1446.302</v>
      </c>
      <c r="W83" s="9">
        <v>6865.323</v>
      </c>
      <c r="X83" s="9">
        <v>1454.273</v>
      </c>
      <c r="Y83" s="9">
        <v>6733.743</v>
      </c>
      <c r="Z83" s="9">
        <v>1455.181</v>
      </c>
      <c r="AA83" s="9">
        <v>6637.598</v>
      </c>
      <c r="AB83" s="9">
        <v>1563.125</v>
      </c>
      <c r="AC83" s="9">
        <v>6693.777</v>
      </c>
      <c r="AD83" s="9">
        <v>1491.956</v>
      </c>
      <c r="AE83" s="9">
        <v>6806.617</v>
      </c>
      <c r="AF83" s="9">
        <v>1454.436</v>
      </c>
      <c r="AG83" s="9">
        <v>7434.556</v>
      </c>
      <c r="AH83" s="9">
        <v>1465.539</v>
      </c>
      <c r="AI83" s="9">
        <v>6766.585</v>
      </c>
      <c r="AJ83" s="9">
        <v>1471.466</v>
      </c>
      <c r="AK83" s="9">
        <v>809.608</v>
      </c>
      <c r="AL83" s="9">
        <v>165.8985</v>
      </c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</row>
    <row r="84" ht="15.75" customHeight="1">
      <c r="A84" s="9">
        <v>6702.9789</v>
      </c>
      <c r="B84" s="9">
        <v>934.6531</v>
      </c>
      <c r="C84" s="9">
        <v>3856.1582</v>
      </c>
      <c r="D84" s="9">
        <v>1954.846</v>
      </c>
      <c r="E84" s="9">
        <v>2875.015</v>
      </c>
      <c r="F84" s="9">
        <v>809.156</v>
      </c>
      <c r="G84" s="9">
        <v>3955.082</v>
      </c>
      <c r="H84" s="9">
        <v>877.9606</v>
      </c>
      <c r="I84" s="9">
        <v>3731.481</v>
      </c>
      <c r="J84" s="9">
        <v>812.6537</v>
      </c>
      <c r="K84" s="9">
        <v>3987.773</v>
      </c>
      <c r="L84" s="9">
        <v>845.5266</v>
      </c>
      <c r="M84" s="9">
        <v>3723.512</v>
      </c>
      <c r="N84" s="9">
        <v>1441.418</v>
      </c>
      <c r="O84" s="9">
        <v>4064.004</v>
      </c>
      <c r="P84" s="9">
        <v>847.82</v>
      </c>
      <c r="Q84" s="9">
        <v>3849.243</v>
      </c>
      <c r="R84" s="9">
        <v>776.3702</v>
      </c>
      <c r="S84" s="9">
        <v>3845.204</v>
      </c>
      <c r="T84" s="9">
        <v>943.7349</v>
      </c>
      <c r="U84" s="9">
        <v>2946.106</v>
      </c>
      <c r="V84" s="9">
        <v>835.2665</v>
      </c>
      <c r="W84" s="9">
        <v>3863.938</v>
      </c>
      <c r="X84" s="9">
        <v>865.3797</v>
      </c>
      <c r="Y84" s="9">
        <v>3735.853</v>
      </c>
      <c r="Z84" s="9">
        <v>842.163</v>
      </c>
      <c r="AA84" s="9">
        <v>3940.136</v>
      </c>
      <c r="AB84" s="9">
        <v>1509.953</v>
      </c>
      <c r="AC84" s="9">
        <v>4122.422</v>
      </c>
      <c r="AD84" s="9">
        <v>847.4672</v>
      </c>
      <c r="AE84" s="9">
        <v>3767.139</v>
      </c>
      <c r="AF84" s="9">
        <v>834.6744</v>
      </c>
      <c r="AG84" s="9">
        <v>4013.207</v>
      </c>
      <c r="AH84" s="9">
        <v>793.7324</v>
      </c>
      <c r="AI84" s="9">
        <v>4113.769</v>
      </c>
      <c r="AJ84" s="9">
        <v>910.2646</v>
      </c>
      <c r="AK84" s="9">
        <v>491.5168</v>
      </c>
      <c r="AL84" s="9">
        <v>79.40273</v>
      </c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</row>
    <row r="85" ht="15.75" customHeight="1">
      <c r="A85" s="9">
        <v>5921.2089</v>
      </c>
      <c r="B85" s="9">
        <v>973.4665</v>
      </c>
      <c r="C85" s="9">
        <v>4324.1766</v>
      </c>
      <c r="D85" s="9">
        <v>2164.782</v>
      </c>
      <c r="E85" s="9">
        <v>2814.532</v>
      </c>
      <c r="F85" s="9">
        <v>873.0634</v>
      </c>
      <c r="G85" s="9">
        <v>4531.722</v>
      </c>
      <c r="H85" s="9">
        <v>894.3088</v>
      </c>
      <c r="I85" s="9">
        <v>4412.785</v>
      </c>
      <c r="J85" s="9">
        <v>823.5436</v>
      </c>
      <c r="K85" s="9">
        <v>4710.224</v>
      </c>
      <c r="L85" s="9">
        <v>825.2219</v>
      </c>
      <c r="M85" s="9">
        <v>4701.645</v>
      </c>
      <c r="N85" s="9">
        <v>987.9868</v>
      </c>
      <c r="O85" s="9">
        <v>4522.912</v>
      </c>
      <c r="P85" s="9">
        <v>779.519</v>
      </c>
      <c r="Q85" s="9">
        <v>4537.98</v>
      </c>
      <c r="R85" s="9">
        <v>797.1298</v>
      </c>
      <c r="S85" s="9">
        <v>4653.458</v>
      </c>
      <c r="T85" s="9">
        <v>1126.928</v>
      </c>
      <c r="U85" s="9">
        <v>3109.498</v>
      </c>
      <c r="V85" s="9">
        <v>776.2541</v>
      </c>
      <c r="W85" s="9">
        <v>4472.042</v>
      </c>
      <c r="X85" s="9">
        <v>816.7212</v>
      </c>
      <c r="Y85" s="9">
        <v>3886.795</v>
      </c>
      <c r="Z85" s="9">
        <v>875.7089</v>
      </c>
      <c r="AA85" s="9">
        <v>4900.783</v>
      </c>
      <c r="AB85" s="9">
        <v>1106.118</v>
      </c>
      <c r="AC85" s="9">
        <v>4850.705</v>
      </c>
      <c r="AD85" s="9">
        <v>824.6931</v>
      </c>
      <c r="AE85" s="9">
        <v>4796.473</v>
      </c>
      <c r="AF85" s="9">
        <v>822.573</v>
      </c>
      <c r="AG85" s="9">
        <v>4111.031</v>
      </c>
      <c r="AH85" s="9">
        <v>806.9416</v>
      </c>
      <c r="AI85" s="9">
        <v>4427.445</v>
      </c>
      <c r="AJ85" s="9">
        <v>785.0362</v>
      </c>
      <c r="AK85" s="9">
        <v>399.7229</v>
      </c>
      <c r="AL85" s="9">
        <v>78.99269</v>
      </c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</row>
    <row r="86" ht="15.75" customHeight="1">
      <c r="A86" s="9">
        <v>2480.0518</v>
      </c>
      <c r="B86" s="9">
        <v>189.9878</v>
      </c>
      <c r="C86" s="9">
        <v>1782.8198</v>
      </c>
      <c r="D86" s="9">
        <v>175.6366</v>
      </c>
      <c r="E86" s="9">
        <v>1677.195</v>
      </c>
      <c r="F86" s="9">
        <v>145.2518</v>
      </c>
      <c r="G86" s="9">
        <v>2455.149</v>
      </c>
      <c r="H86" s="9">
        <v>151.1401</v>
      </c>
      <c r="I86" s="9">
        <v>1836.436</v>
      </c>
      <c r="J86" s="9">
        <v>141.2239</v>
      </c>
      <c r="K86" s="9">
        <v>2131.548</v>
      </c>
      <c r="L86" s="9">
        <v>155.2748</v>
      </c>
      <c r="M86" s="9">
        <v>1858.475</v>
      </c>
      <c r="N86" s="9">
        <v>196.1311</v>
      </c>
      <c r="O86" s="9">
        <v>2202.816</v>
      </c>
      <c r="P86" s="9">
        <v>246.9801</v>
      </c>
      <c r="Q86" s="9">
        <v>2063.98</v>
      </c>
      <c r="R86" s="9">
        <v>145.2789</v>
      </c>
      <c r="S86" s="9">
        <v>1557.01</v>
      </c>
      <c r="T86" s="9">
        <v>233.083</v>
      </c>
      <c r="U86" s="9">
        <v>1228.653</v>
      </c>
      <c r="V86" s="9">
        <v>133.8957</v>
      </c>
      <c r="W86" s="9">
        <v>2483.231</v>
      </c>
      <c r="X86" s="9">
        <v>135.2062</v>
      </c>
      <c r="Y86" s="9">
        <v>1735.42</v>
      </c>
      <c r="Z86" s="9">
        <v>135.911</v>
      </c>
      <c r="AA86" s="9">
        <v>2730.369</v>
      </c>
      <c r="AB86" s="9">
        <v>280.0544</v>
      </c>
      <c r="AC86" s="9">
        <v>1699.045</v>
      </c>
      <c r="AD86" s="9">
        <v>131.7089</v>
      </c>
      <c r="AE86" s="9">
        <v>2069.98</v>
      </c>
      <c r="AF86" s="9">
        <v>171.1924</v>
      </c>
      <c r="AG86" s="9">
        <v>1638.097</v>
      </c>
      <c r="AH86" s="9">
        <v>157.3277</v>
      </c>
      <c r="AI86" s="9">
        <v>1499.445</v>
      </c>
      <c r="AJ86" s="9">
        <v>171.0264</v>
      </c>
      <c r="AK86" s="9">
        <v>198.1322</v>
      </c>
      <c r="AL86" s="9">
        <v>21.63804</v>
      </c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</row>
    <row r="87" ht="15.75" customHeight="1">
      <c r="A87" s="9">
        <v>4783.8554</v>
      </c>
      <c r="B87" s="9">
        <v>624.1856</v>
      </c>
      <c r="C87" s="9">
        <v>2712.5864</v>
      </c>
      <c r="D87" s="9">
        <v>404.3139</v>
      </c>
      <c r="E87" s="9">
        <v>1961.952</v>
      </c>
      <c r="F87" s="9">
        <v>470.1004</v>
      </c>
      <c r="G87" s="9">
        <v>2799.203</v>
      </c>
      <c r="H87" s="9">
        <v>585.2596</v>
      </c>
      <c r="I87" s="9">
        <v>2411.941</v>
      </c>
      <c r="J87" s="9">
        <v>498.8345</v>
      </c>
      <c r="K87" s="9">
        <v>2776.908</v>
      </c>
      <c r="L87" s="9">
        <v>507.7738</v>
      </c>
      <c r="M87" s="9">
        <v>2728.595</v>
      </c>
      <c r="N87" s="9">
        <v>859.4124</v>
      </c>
      <c r="O87" s="9">
        <v>3034.208</v>
      </c>
      <c r="P87" s="9">
        <v>515.0182</v>
      </c>
      <c r="Q87" s="9">
        <v>3078.188</v>
      </c>
      <c r="R87" s="9">
        <v>478.0965</v>
      </c>
      <c r="S87" s="9">
        <v>2557.492</v>
      </c>
      <c r="T87" s="9">
        <v>739.4218</v>
      </c>
      <c r="U87" s="9">
        <v>2163.912</v>
      </c>
      <c r="V87" s="9">
        <v>514.0647</v>
      </c>
      <c r="W87" s="9">
        <v>2908.002</v>
      </c>
      <c r="X87" s="9">
        <v>486.7057</v>
      </c>
      <c r="Y87" s="9">
        <v>2482.254</v>
      </c>
      <c r="Z87" s="9">
        <v>483.1777</v>
      </c>
      <c r="AA87" s="9">
        <v>3015.599</v>
      </c>
      <c r="AB87" s="9">
        <v>902.9506</v>
      </c>
      <c r="AC87" s="9">
        <v>3321.695</v>
      </c>
      <c r="AD87" s="9">
        <v>459.8672</v>
      </c>
      <c r="AE87" s="9">
        <v>3072.389</v>
      </c>
      <c r="AF87" s="9">
        <v>518.2975</v>
      </c>
      <c r="AG87" s="9">
        <v>2740.396</v>
      </c>
      <c r="AH87" s="9">
        <v>508.678</v>
      </c>
      <c r="AI87" s="9">
        <v>2786.401</v>
      </c>
      <c r="AJ87" s="9">
        <v>589.9963</v>
      </c>
      <c r="AK87" s="9">
        <v>451.5162</v>
      </c>
      <c r="AL87" s="9">
        <v>48.13675</v>
      </c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</row>
    <row r="88" ht="15.75" customHeight="1">
      <c r="A88" s="9">
        <v>987.32387</v>
      </c>
      <c r="B88" s="9">
        <v>255.1436</v>
      </c>
      <c r="C88" s="9">
        <v>537.8019</v>
      </c>
      <c r="D88" s="9">
        <v>134.8604</v>
      </c>
      <c r="E88" s="9">
        <v>541.1976</v>
      </c>
      <c r="F88" s="9">
        <v>230.6815</v>
      </c>
      <c r="G88" s="9">
        <v>541.754</v>
      </c>
      <c r="H88" s="9">
        <v>308.1014</v>
      </c>
      <c r="I88" s="9">
        <v>615.2735</v>
      </c>
      <c r="J88" s="9">
        <v>211.6722</v>
      </c>
      <c r="K88" s="9">
        <v>571.1261</v>
      </c>
      <c r="L88" s="9">
        <v>238.0164</v>
      </c>
      <c r="M88" s="9">
        <v>747.6697</v>
      </c>
      <c r="N88" s="9">
        <v>277.8359</v>
      </c>
      <c r="O88" s="9">
        <v>685.6318</v>
      </c>
      <c r="P88" s="9">
        <v>221.7684</v>
      </c>
      <c r="Q88" s="9">
        <v>551.4724</v>
      </c>
      <c r="R88" s="9">
        <v>189.0192</v>
      </c>
      <c r="S88" s="9">
        <v>486.0237</v>
      </c>
      <c r="T88" s="9">
        <v>281.0781</v>
      </c>
      <c r="U88" s="9">
        <v>649.1942</v>
      </c>
      <c r="V88" s="9">
        <v>177.427</v>
      </c>
      <c r="W88" s="9">
        <v>538.277</v>
      </c>
      <c r="X88" s="9">
        <v>194.0776</v>
      </c>
      <c r="Y88" s="9">
        <v>419.467</v>
      </c>
      <c r="Z88" s="9">
        <v>184.3959</v>
      </c>
      <c r="AA88" s="9">
        <v>577.5466</v>
      </c>
      <c r="AB88" s="9">
        <v>300.9943</v>
      </c>
      <c r="AC88" s="9">
        <v>720.9267</v>
      </c>
      <c r="AD88" s="9">
        <v>237.7427</v>
      </c>
      <c r="AE88" s="9">
        <v>604.597</v>
      </c>
      <c r="AF88" s="9">
        <v>191.808</v>
      </c>
      <c r="AG88" s="9">
        <v>497.1119</v>
      </c>
      <c r="AH88" s="9">
        <v>231.9947</v>
      </c>
      <c r="AI88" s="9">
        <v>494.4978</v>
      </c>
      <c r="AJ88" s="9">
        <v>222.1843</v>
      </c>
      <c r="AK88" s="9">
        <v>193.7089</v>
      </c>
      <c r="AL88" s="9">
        <v>21.23794</v>
      </c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</row>
    <row r="89" ht="15.75" customHeight="1">
      <c r="A89" s="9">
        <v>1640.3941</v>
      </c>
      <c r="B89" s="9">
        <v>306.2161</v>
      </c>
      <c r="C89" s="9">
        <v>1189.3333</v>
      </c>
      <c r="D89" s="9">
        <v>129.0735</v>
      </c>
      <c r="E89" s="9">
        <v>830.917</v>
      </c>
      <c r="F89" s="9">
        <v>278.6959</v>
      </c>
      <c r="G89" s="9">
        <v>1490.204</v>
      </c>
      <c r="H89" s="9">
        <v>204.6771</v>
      </c>
      <c r="I89" s="9">
        <v>482.6599</v>
      </c>
      <c r="J89" s="9">
        <v>238.0276</v>
      </c>
      <c r="K89" s="9">
        <v>797.1367</v>
      </c>
      <c r="L89" s="9">
        <v>145.5609</v>
      </c>
      <c r="M89" s="9">
        <v>859.3417</v>
      </c>
      <c r="N89" s="9">
        <v>270.4574</v>
      </c>
      <c r="O89" s="9">
        <v>569.3736</v>
      </c>
      <c r="P89" s="9">
        <v>254.6449</v>
      </c>
      <c r="Q89" s="9">
        <v>618.3321</v>
      </c>
      <c r="R89" s="9">
        <v>170.1137</v>
      </c>
      <c r="S89" s="9">
        <v>973.224</v>
      </c>
      <c r="T89" s="9">
        <v>255.9777</v>
      </c>
      <c r="U89" s="9">
        <v>823.844</v>
      </c>
      <c r="V89" s="9">
        <v>191.3646</v>
      </c>
      <c r="W89" s="9">
        <v>920.616</v>
      </c>
      <c r="X89" s="9">
        <v>183.7851</v>
      </c>
      <c r="Y89" s="9">
        <v>1216.663</v>
      </c>
      <c r="Z89" s="9">
        <v>191.3968</v>
      </c>
      <c r="AA89" s="9">
        <v>727.0526</v>
      </c>
      <c r="AB89" s="9">
        <v>331.5492</v>
      </c>
      <c r="AC89" s="9">
        <v>984.0064</v>
      </c>
      <c r="AD89" s="9">
        <v>209.2421</v>
      </c>
      <c r="AE89" s="9">
        <v>1138.881</v>
      </c>
      <c r="AF89" s="9">
        <v>191.6097</v>
      </c>
      <c r="AG89" s="9">
        <v>669.1314</v>
      </c>
      <c r="AH89" s="9">
        <v>180.4007</v>
      </c>
      <c r="AI89" s="9">
        <v>943.3143</v>
      </c>
      <c r="AJ89" s="9">
        <v>270.1295</v>
      </c>
      <c r="AK89" s="9">
        <v>194.8062</v>
      </c>
      <c r="AL89" s="9">
        <v>22.27986</v>
      </c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</row>
    <row r="90" ht="15.75" customHeight="1">
      <c r="A90" s="9">
        <v>3831.7613</v>
      </c>
      <c r="B90" s="9">
        <v>377.6395</v>
      </c>
      <c r="C90" s="9">
        <v>2183.9891</v>
      </c>
      <c r="D90" s="9">
        <v>248.6645</v>
      </c>
      <c r="E90" s="9">
        <v>1994.873</v>
      </c>
      <c r="F90" s="9">
        <v>310.9943</v>
      </c>
      <c r="G90" s="9">
        <v>3289.148</v>
      </c>
      <c r="H90" s="9">
        <v>342.081</v>
      </c>
      <c r="I90" s="9">
        <v>3590.128</v>
      </c>
      <c r="J90" s="9">
        <v>278.7541</v>
      </c>
      <c r="K90" s="9">
        <v>3740.767</v>
      </c>
      <c r="L90" s="9">
        <v>308.1766</v>
      </c>
      <c r="M90" s="9">
        <v>2779.156</v>
      </c>
      <c r="N90" s="9">
        <v>352.2244</v>
      </c>
      <c r="O90" s="9">
        <v>3175.959</v>
      </c>
      <c r="P90" s="9">
        <v>332.1317</v>
      </c>
      <c r="Q90" s="9">
        <v>4705.437</v>
      </c>
      <c r="R90" s="9">
        <v>315.8894</v>
      </c>
      <c r="S90" s="9">
        <v>5726.663</v>
      </c>
      <c r="T90" s="9">
        <v>340.1261</v>
      </c>
      <c r="U90" s="9">
        <v>2362.199</v>
      </c>
      <c r="V90" s="9">
        <v>291.4595</v>
      </c>
      <c r="W90" s="9">
        <v>3316.23</v>
      </c>
      <c r="X90" s="9">
        <v>306.3961</v>
      </c>
      <c r="Y90" s="9">
        <v>3190.696</v>
      </c>
      <c r="Z90" s="9">
        <v>288.5946</v>
      </c>
      <c r="AA90" s="9">
        <v>3874.752</v>
      </c>
      <c r="AB90" s="9">
        <v>440.7026</v>
      </c>
      <c r="AC90" s="9">
        <v>3929.519</v>
      </c>
      <c r="AD90" s="9">
        <v>386.7202</v>
      </c>
      <c r="AE90" s="9">
        <v>4119.947</v>
      </c>
      <c r="AF90" s="9">
        <v>306.4574</v>
      </c>
      <c r="AG90" s="9">
        <v>3334.207</v>
      </c>
      <c r="AH90" s="9">
        <v>286.0352</v>
      </c>
      <c r="AI90" s="9">
        <v>3229.755</v>
      </c>
      <c r="AJ90" s="9">
        <v>288.8049</v>
      </c>
      <c r="AK90" s="9">
        <v>218.1013</v>
      </c>
      <c r="AL90" s="9">
        <v>23.62872</v>
      </c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</row>
    <row r="91" ht="15.75" customHeight="1">
      <c r="A91" s="9">
        <v>814.26205</v>
      </c>
      <c r="B91" s="9">
        <v>222.6155</v>
      </c>
      <c r="C91" s="9">
        <v>1474.1934</v>
      </c>
      <c r="D91" s="9">
        <v>190.9463</v>
      </c>
      <c r="E91" s="9">
        <v>1522.417</v>
      </c>
      <c r="F91" s="9">
        <v>260.3089</v>
      </c>
      <c r="G91" s="9">
        <v>1662.997</v>
      </c>
      <c r="H91" s="9">
        <v>198.8365</v>
      </c>
      <c r="I91" s="9">
        <v>907.6203</v>
      </c>
      <c r="J91" s="9">
        <v>200.1975</v>
      </c>
      <c r="K91" s="9">
        <v>1112.903</v>
      </c>
      <c r="L91" s="9">
        <v>183.9464</v>
      </c>
      <c r="M91" s="9">
        <v>2217.735</v>
      </c>
      <c r="N91" s="9">
        <v>171.6981</v>
      </c>
      <c r="O91" s="9">
        <v>2400.911</v>
      </c>
      <c r="P91" s="9">
        <v>276.3118</v>
      </c>
      <c r="Q91" s="9">
        <v>1160.096</v>
      </c>
      <c r="R91" s="9">
        <v>181.6902</v>
      </c>
      <c r="S91" s="9">
        <v>1636.826</v>
      </c>
      <c r="T91" s="9">
        <v>155.1806</v>
      </c>
      <c r="U91" s="9">
        <v>1345.324</v>
      </c>
      <c r="V91" s="9">
        <v>155.3993</v>
      </c>
      <c r="W91" s="9">
        <v>1679.65</v>
      </c>
      <c r="X91" s="9">
        <v>182.1815</v>
      </c>
      <c r="Y91" s="9">
        <v>1091.177</v>
      </c>
      <c r="Z91" s="9">
        <v>232.616</v>
      </c>
      <c r="AA91" s="9">
        <v>782.2423</v>
      </c>
      <c r="AB91" s="9">
        <v>199.418</v>
      </c>
      <c r="AC91" s="9">
        <v>1515.501</v>
      </c>
      <c r="AD91" s="9">
        <v>339.9213</v>
      </c>
      <c r="AE91" s="9">
        <v>988.7743</v>
      </c>
      <c r="AF91" s="9">
        <v>174.9048</v>
      </c>
      <c r="AG91" s="9">
        <v>1103.683</v>
      </c>
      <c r="AH91" s="9">
        <v>161.0557</v>
      </c>
      <c r="AI91" s="9">
        <v>1097.897</v>
      </c>
      <c r="AJ91" s="9">
        <v>215.9728</v>
      </c>
      <c r="AK91" s="9">
        <v>213.6642</v>
      </c>
      <c r="AL91" s="9">
        <v>20.43272</v>
      </c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</row>
    <row r="92" ht="15.75" customHeight="1">
      <c r="A92" s="9">
        <v>7352.6032</v>
      </c>
      <c r="B92" s="9">
        <v>1579.219</v>
      </c>
      <c r="C92" s="9">
        <v>7005.3504</v>
      </c>
      <c r="D92" s="9">
        <v>1916.727</v>
      </c>
      <c r="E92" s="9">
        <v>4379.618</v>
      </c>
      <c r="F92" s="9">
        <v>1538.771</v>
      </c>
      <c r="G92" s="9">
        <v>7210.859</v>
      </c>
      <c r="H92" s="9">
        <v>1446.575</v>
      </c>
      <c r="I92" s="9">
        <v>6937.001</v>
      </c>
      <c r="J92" s="9">
        <v>1496.524</v>
      </c>
      <c r="K92" s="9">
        <v>6785.817</v>
      </c>
      <c r="L92" s="9">
        <v>1467.793</v>
      </c>
      <c r="M92" s="9">
        <v>6876.571</v>
      </c>
      <c r="N92" s="9">
        <v>1468.055</v>
      </c>
      <c r="O92" s="9">
        <v>7218.615</v>
      </c>
      <c r="P92" s="9">
        <v>1441.799</v>
      </c>
      <c r="Q92" s="9">
        <v>7190.905</v>
      </c>
      <c r="R92" s="9">
        <v>1471.763</v>
      </c>
      <c r="S92" s="9">
        <v>7361.739</v>
      </c>
      <c r="T92" s="9">
        <v>1430.946</v>
      </c>
      <c r="U92" s="9">
        <v>4276.296</v>
      </c>
      <c r="V92" s="9">
        <v>1354.639</v>
      </c>
      <c r="W92" s="9">
        <v>6715.634</v>
      </c>
      <c r="X92" s="9">
        <v>1365.688</v>
      </c>
      <c r="Y92" s="9">
        <v>6772.449</v>
      </c>
      <c r="Z92" s="9">
        <v>1420.512</v>
      </c>
      <c r="AA92" s="9">
        <v>7023.644</v>
      </c>
      <c r="AB92" s="9">
        <v>1653.328</v>
      </c>
      <c r="AC92" s="9">
        <v>6988.541</v>
      </c>
      <c r="AD92" s="9">
        <v>1799.42</v>
      </c>
      <c r="AE92" s="9">
        <v>6641.422</v>
      </c>
      <c r="AF92" s="9">
        <v>1442.097</v>
      </c>
      <c r="AG92" s="9">
        <v>6859.656</v>
      </c>
      <c r="AH92" s="9">
        <v>1430.829</v>
      </c>
      <c r="AI92" s="9">
        <v>6621.535</v>
      </c>
      <c r="AJ92" s="9">
        <v>1312.365</v>
      </c>
      <c r="AK92" s="9">
        <v>821.5331</v>
      </c>
      <c r="AL92" s="9">
        <v>159.7234</v>
      </c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</row>
    <row r="93" ht="15.75" customHeight="1">
      <c r="A93" s="9">
        <v>2369.0027</v>
      </c>
      <c r="B93" s="9">
        <v>235.6813</v>
      </c>
      <c r="C93" s="9">
        <v>1425.9166</v>
      </c>
      <c r="D93" s="9">
        <v>312.4642</v>
      </c>
      <c r="E93" s="9">
        <v>1095.1</v>
      </c>
      <c r="F93" s="9">
        <v>211.8728</v>
      </c>
      <c r="G93" s="9">
        <v>1898.81</v>
      </c>
      <c r="H93" s="9">
        <v>198.4497</v>
      </c>
      <c r="I93" s="9">
        <v>1727.528</v>
      </c>
      <c r="J93" s="9">
        <v>180.4956</v>
      </c>
      <c r="K93" s="9">
        <v>1668.698</v>
      </c>
      <c r="L93" s="9">
        <v>157.8432</v>
      </c>
      <c r="M93" s="9">
        <v>1737.567</v>
      </c>
      <c r="N93" s="9">
        <v>247.188</v>
      </c>
      <c r="O93" s="9">
        <v>2215.17</v>
      </c>
      <c r="P93" s="9">
        <v>177.0093</v>
      </c>
      <c r="Q93" s="9">
        <v>2111.15</v>
      </c>
      <c r="R93" s="9">
        <v>176.1135</v>
      </c>
      <c r="S93" s="9">
        <v>1645.559</v>
      </c>
      <c r="T93" s="9">
        <v>223.6274</v>
      </c>
      <c r="U93" s="9">
        <v>1327.418</v>
      </c>
      <c r="V93" s="9">
        <v>203.3851</v>
      </c>
      <c r="W93" s="9">
        <v>2480.391</v>
      </c>
      <c r="X93" s="9">
        <v>169.9969</v>
      </c>
      <c r="Y93" s="9">
        <v>2059.083</v>
      </c>
      <c r="Z93" s="9">
        <v>171.962</v>
      </c>
      <c r="AA93" s="9">
        <v>1381.717</v>
      </c>
      <c r="AB93" s="9">
        <v>279.7242</v>
      </c>
      <c r="AC93" s="9">
        <v>1699.474</v>
      </c>
      <c r="AD93" s="9">
        <v>534.6766</v>
      </c>
      <c r="AE93" s="9">
        <v>2387.201</v>
      </c>
      <c r="AF93" s="9">
        <v>225.6727</v>
      </c>
      <c r="AG93" s="9">
        <v>1766.561</v>
      </c>
      <c r="AH93" s="9">
        <v>165.9929</v>
      </c>
      <c r="AI93" s="9">
        <v>3188.697</v>
      </c>
      <c r="AJ93" s="9">
        <v>244.8881</v>
      </c>
      <c r="AK93" s="9">
        <v>216.2175</v>
      </c>
      <c r="AL93" s="9">
        <v>20.57492</v>
      </c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</row>
    <row r="94" ht="15.75" customHeight="1">
      <c r="A94" s="9">
        <v>8103.6043</v>
      </c>
      <c r="B94" s="9">
        <v>1512.656</v>
      </c>
      <c r="C94" s="9">
        <v>6981.5602</v>
      </c>
      <c r="D94" s="9">
        <v>2106.58</v>
      </c>
      <c r="E94" s="9">
        <v>4063.189</v>
      </c>
      <c r="F94" s="9">
        <v>1471.664</v>
      </c>
      <c r="G94" s="9">
        <v>7200.273</v>
      </c>
      <c r="H94" s="9">
        <v>1481.338</v>
      </c>
      <c r="I94" s="9">
        <v>7027.338</v>
      </c>
      <c r="J94" s="9">
        <v>1435.917</v>
      </c>
      <c r="K94" s="9">
        <v>7116.563</v>
      </c>
      <c r="L94" s="9">
        <v>1442.667</v>
      </c>
      <c r="M94" s="9">
        <v>7088.803</v>
      </c>
      <c r="N94" s="9">
        <v>1386.434</v>
      </c>
      <c r="O94" s="9">
        <v>7217.314</v>
      </c>
      <c r="P94" s="9">
        <v>1493.065</v>
      </c>
      <c r="Q94" s="9">
        <v>7061.531</v>
      </c>
      <c r="R94" s="9">
        <v>1451.352</v>
      </c>
      <c r="S94" s="9">
        <v>7482.147</v>
      </c>
      <c r="T94" s="9">
        <v>1456.302</v>
      </c>
      <c r="U94" s="9">
        <v>4306.589</v>
      </c>
      <c r="V94" s="9">
        <v>1426.464</v>
      </c>
      <c r="W94" s="9">
        <v>7343.735</v>
      </c>
      <c r="X94" s="9">
        <v>1411.523</v>
      </c>
      <c r="Y94" s="9">
        <v>6981.932</v>
      </c>
      <c r="Z94" s="9">
        <v>1441.152</v>
      </c>
      <c r="AA94" s="9">
        <v>7173.895</v>
      </c>
      <c r="AB94" s="9">
        <v>1552.471</v>
      </c>
      <c r="AC94" s="9">
        <v>7072.313</v>
      </c>
      <c r="AD94" s="9">
        <v>1709.149</v>
      </c>
      <c r="AE94" s="9">
        <v>7294.356</v>
      </c>
      <c r="AF94" s="9">
        <v>1426.484</v>
      </c>
      <c r="AG94" s="9">
        <v>7031.526</v>
      </c>
      <c r="AH94" s="9">
        <v>1467.096</v>
      </c>
      <c r="AI94" s="9">
        <v>7486.821</v>
      </c>
      <c r="AJ94" s="9">
        <v>1461.699</v>
      </c>
      <c r="AK94" s="9">
        <v>818.8671</v>
      </c>
      <c r="AL94" s="9">
        <v>135.2103</v>
      </c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</row>
    <row r="95" ht="15.75" customHeight="1">
      <c r="A95" s="9">
        <v>6466.2429</v>
      </c>
      <c r="B95" s="9">
        <v>1297.411</v>
      </c>
      <c r="C95" s="9">
        <v>6449.5275</v>
      </c>
      <c r="D95" s="9">
        <v>1293.87</v>
      </c>
      <c r="E95" s="9">
        <v>3831.346</v>
      </c>
      <c r="F95" s="9">
        <v>1303.344</v>
      </c>
      <c r="G95" s="9">
        <v>6450.29</v>
      </c>
      <c r="H95" s="9">
        <v>1297.182</v>
      </c>
      <c r="I95" s="9">
        <v>6457.03</v>
      </c>
      <c r="J95" s="9">
        <v>1301.759</v>
      </c>
      <c r="K95" s="9">
        <v>6446.563</v>
      </c>
      <c r="L95" s="9">
        <v>1300.33</v>
      </c>
      <c r="M95" s="9">
        <v>6439.18</v>
      </c>
      <c r="N95" s="9">
        <v>1298.62</v>
      </c>
      <c r="O95" s="9">
        <v>6445.753</v>
      </c>
      <c r="P95" s="9">
        <v>1305.292</v>
      </c>
      <c r="Q95" s="9">
        <v>6453.422</v>
      </c>
      <c r="R95" s="9">
        <v>1303.579</v>
      </c>
      <c r="S95" s="9">
        <v>6438.281</v>
      </c>
      <c r="T95" s="9">
        <v>1302.317</v>
      </c>
      <c r="U95" s="9">
        <v>3885.509</v>
      </c>
      <c r="V95" s="9">
        <v>1299.06</v>
      </c>
      <c r="W95" s="9">
        <v>6447.52</v>
      </c>
      <c r="X95" s="9">
        <v>1299.87</v>
      </c>
      <c r="Y95" s="9">
        <v>6443.491</v>
      </c>
      <c r="Z95" s="9">
        <v>1297.367</v>
      </c>
      <c r="AA95" s="9">
        <v>6447.427</v>
      </c>
      <c r="AB95" s="9">
        <v>1323.39</v>
      </c>
      <c r="AC95" s="9">
        <v>6493.423</v>
      </c>
      <c r="AD95" s="9">
        <v>1315.72</v>
      </c>
      <c r="AE95" s="9">
        <v>6443.068</v>
      </c>
      <c r="AF95" s="9">
        <v>1299.527</v>
      </c>
      <c r="AG95" s="9">
        <v>6446.974</v>
      </c>
      <c r="AH95" s="9">
        <v>1298.831</v>
      </c>
      <c r="AI95" s="9">
        <v>6450.337</v>
      </c>
      <c r="AJ95" s="9">
        <v>1303.698</v>
      </c>
      <c r="AK95" s="9">
        <v>803.7523</v>
      </c>
      <c r="AL95" s="9">
        <v>161.5195</v>
      </c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</row>
    <row r="96" ht="15.75" customHeight="1">
      <c r="A96" s="9">
        <v>924.65414</v>
      </c>
      <c r="B96" s="9">
        <v>114.1822</v>
      </c>
      <c r="C96" s="9">
        <v>685.95182</v>
      </c>
      <c r="D96" s="9">
        <v>116.5836</v>
      </c>
      <c r="E96" s="9">
        <v>439.3511</v>
      </c>
      <c r="F96" s="9">
        <v>106.5324</v>
      </c>
      <c r="G96" s="9">
        <v>602.3177</v>
      </c>
      <c r="H96" s="9">
        <v>100.8628</v>
      </c>
      <c r="I96" s="9">
        <v>521.3085</v>
      </c>
      <c r="J96" s="9">
        <v>123.1939</v>
      </c>
      <c r="K96" s="9">
        <v>452.1198</v>
      </c>
      <c r="L96" s="9">
        <v>118.3396</v>
      </c>
      <c r="M96" s="9">
        <v>498.8191</v>
      </c>
      <c r="N96" s="9">
        <v>93.45527</v>
      </c>
      <c r="O96" s="9">
        <v>486.8986</v>
      </c>
      <c r="P96" s="9">
        <v>113.0598</v>
      </c>
      <c r="Q96" s="9">
        <v>848.3326</v>
      </c>
      <c r="R96" s="9">
        <v>86.38682</v>
      </c>
      <c r="S96" s="9">
        <v>1102.567</v>
      </c>
      <c r="T96" s="9">
        <v>85.43872</v>
      </c>
      <c r="U96" s="9">
        <v>535.9626</v>
      </c>
      <c r="V96" s="9">
        <v>97.92467</v>
      </c>
      <c r="W96" s="9">
        <v>481.2508</v>
      </c>
      <c r="X96" s="9">
        <v>96.01367</v>
      </c>
      <c r="Y96" s="9">
        <v>594.3078</v>
      </c>
      <c r="Z96" s="9">
        <v>123.9052</v>
      </c>
      <c r="AA96" s="9">
        <v>557.1966</v>
      </c>
      <c r="AB96" s="9">
        <v>145.9334</v>
      </c>
      <c r="AC96" s="9">
        <v>585.2477</v>
      </c>
      <c r="AD96" s="9">
        <v>207.3157</v>
      </c>
      <c r="AE96" s="9">
        <v>560.2752</v>
      </c>
      <c r="AF96" s="9">
        <v>86.17249</v>
      </c>
      <c r="AG96" s="9">
        <v>816.3108</v>
      </c>
      <c r="AH96" s="9">
        <v>108.0377</v>
      </c>
      <c r="AI96" s="9">
        <v>465.2074</v>
      </c>
      <c r="AJ96" s="9">
        <v>87.90198</v>
      </c>
      <c r="AK96" s="9">
        <v>198.9734</v>
      </c>
      <c r="AL96" s="9">
        <v>19.67201</v>
      </c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</row>
    <row r="97" ht="15.75" customHeight="1">
      <c r="A97" s="9">
        <v>2257.4447</v>
      </c>
      <c r="B97" s="9">
        <v>702.6174</v>
      </c>
      <c r="C97" s="9">
        <v>2352.7267</v>
      </c>
      <c r="D97" s="9">
        <v>1627.159</v>
      </c>
      <c r="E97" s="9">
        <v>1716.811</v>
      </c>
      <c r="F97" s="9">
        <v>667.0686</v>
      </c>
      <c r="G97" s="9">
        <v>2562.555</v>
      </c>
      <c r="H97" s="9">
        <v>658.9675</v>
      </c>
      <c r="I97" s="9">
        <v>2380.311</v>
      </c>
      <c r="J97" s="9">
        <v>468.3096</v>
      </c>
      <c r="K97" s="9">
        <v>2320.463</v>
      </c>
      <c r="L97" s="9">
        <v>636.6921</v>
      </c>
      <c r="M97" s="9">
        <v>2429.322</v>
      </c>
      <c r="N97" s="9">
        <v>600.3615</v>
      </c>
      <c r="O97" s="9">
        <v>2479.196</v>
      </c>
      <c r="P97" s="9">
        <v>477.99</v>
      </c>
      <c r="Q97" s="9">
        <v>2516.832</v>
      </c>
      <c r="R97" s="9">
        <v>560.9841</v>
      </c>
      <c r="S97" s="9">
        <v>2916.566</v>
      </c>
      <c r="T97" s="9">
        <v>518.7702</v>
      </c>
      <c r="U97" s="9">
        <v>1834.488</v>
      </c>
      <c r="V97" s="9">
        <v>509.9185</v>
      </c>
      <c r="W97" s="9">
        <v>2507.364</v>
      </c>
      <c r="X97" s="9">
        <v>529.3671</v>
      </c>
      <c r="Y97" s="9">
        <v>2321.631</v>
      </c>
      <c r="Z97" s="9">
        <v>523.4764</v>
      </c>
      <c r="AA97" s="9">
        <v>2504.149</v>
      </c>
      <c r="AB97" s="9">
        <v>661.6564</v>
      </c>
      <c r="AC97" s="9">
        <v>2396.893</v>
      </c>
      <c r="AD97" s="9">
        <v>837.9622</v>
      </c>
      <c r="AE97" s="9">
        <v>2472.653</v>
      </c>
      <c r="AF97" s="9">
        <v>641.3925</v>
      </c>
      <c r="AG97" s="9">
        <v>2580.896</v>
      </c>
      <c r="AH97" s="9">
        <v>472.7627</v>
      </c>
      <c r="AI97" s="9">
        <v>2546.806</v>
      </c>
      <c r="AJ97" s="9">
        <v>582.9061</v>
      </c>
      <c r="AK97" s="9">
        <v>375.3446</v>
      </c>
      <c r="AL97" s="9">
        <v>38.74333</v>
      </c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</row>
    <row r="98" ht="15.75" customHeight="1">
      <c r="A98" s="9">
        <v>2003.948</v>
      </c>
      <c r="B98" s="9">
        <v>476.9223</v>
      </c>
      <c r="C98" s="9">
        <v>1963.5516</v>
      </c>
      <c r="D98" s="9">
        <v>398.625</v>
      </c>
      <c r="E98" s="9">
        <v>1272.552</v>
      </c>
      <c r="F98" s="9">
        <v>466.7472</v>
      </c>
      <c r="G98" s="9">
        <v>1905.561</v>
      </c>
      <c r="H98" s="9">
        <v>486.0071</v>
      </c>
      <c r="I98" s="9">
        <v>1938.187</v>
      </c>
      <c r="J98" s="9">
        <v>476.6323</v>
      </c>
      <c r="K98" s="9">
        <v>2159.522</v>
      </c>
      <c r="L98" s="9">
        <v>526.3946</v>
      </c>
      <c r="M98" s="9">
        <v>1901.516</v>
      </c>
      <c r="N98" s="9">
        <v>541.7935</v>
      </c>
      <c r="O98" s="9">
        <v>1971.464</v>
      </c>
      <c r="P98" s="9">
        <v>567.1578</v>
      </c>
      <c r="Q98" s="9">
        <v>2012.134</v>
      </c>
      <c r="R98" s="9">
        <v>543.6504</v>
      </c>
      <c r="S98" s="9">
        <v>2269.061</v>
      </c>
      <c r="T98" s="9">
        <v>480.4419</v>
      </c>
      <c r="U98" s="9">
        <v>1372.916</v>
      </c>
      <c r="V98" s="9">
        <v>516.9893</v>
      </c>
      <c r="W98" s="9">
        <v>1841.105</v>
      </c>
      <c r="X98" s="9">
        <v>504.2587</v>
      </c>
      <c r="Y98" s="9">
        <v>1848.933</v>
      </c>
      <c r="Z98" s="9">
        <v>438.2691</v>
      </c>
      <c r="AA98" s="9">
        <v>1876.892</v>
      </c>
      <c r="AB98" s="9">
        <v>573.6155</v>
      </c>
      <c r="AC98" s="9">
        <v>1933.39</v>
      </c>
      <c r="AD98" s="9">
        <v>605.6977</v>
      </c>
      <c r="AE98" s="9">
        <v>1792.545</v>
      </c>
      <c r="AF98" s="9">
        <v>544.2717</v>
      </c>
      <c r="AG98" s="9">
        <v>2250.822</v>
      </c>
      <c r="AH98" s="9">
        <v>473.7428</v>
      </c>
      <c r="AI98" s="9">
        <v>1755.428</v>
      </c>
      <c r="AJ98" s="9">
        <v>463.507</v>
      </c>
      <c r="AK98" s="9">
        <v>215.3517</v>
      </c>
      <c r="AL98" s="9">
        <v>38.53169</v>
      </c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</row>
    <row r="99" ht="15.75" customHeight="1">
      <c r="A99" s="9">
        <v>1803.0364</v>
      </c>
      <c r="B99" s="9">
        <v>458.4877</v>
      </c>
      <c r="C99" s="9">
        <v>1757.9158</v>
      </c>
      <c r="D99" s="9">
        <v>351.4667</v>
      </c>
      <c r="E99" s="9">
        <v>1144.121</v>
      </c>
      <c r="F99" s="9">
        <v>511.5833</v>
      </c>
      <c r="G99" s="9">
        <v>1735.745</v>
      </c>
      <c r="H99" s="9">
        <v>551.9757</v>
      </c>
      <c r="I99" s="9">
        <v>1712.246</v>
      </c>
      <c r="J99" s="9">
        <v>470.6083</v>
      </c>
      <c r="K99" s="9">
        <v>1732.897</v>
      </c>
      <c r="L99" s="9">
        <v>454.6887</v>
      </c>
      <c r="M99" s="9">
        <v>1794.921</v>
      </c>
      <c r="N99" s="9">
        <v>474.5933</v>
      </c>
      <c r="O99" s="9">
        <v>1695.238</v>
      </c>
      <c r="P99" s="9">
        <v>588.0426</v>
      </c>
      <c r="Q99" s="9">
        <v>1822.071</v>
      </c>
      <c r="R99" s="9">
        <v>442.5846</v>
      </c>
      <c r="S99" s="9">
        <v>1685.657</v>
      </c>
      <c r="T99" s="9">
        <v>494.5392</v>
      </c>
      <c r="U99" s="9">
        <v>1140.685</v>
      </c>
      <c r="V99" s="9">
        <v>488.9282</v>
      </c>
      <c r="W99" s="9">
        <v>1722.262</v>
      </c>
      <c r="X99" s="9">
        <v>526.2828</v>
      </c>
      <c r="Y99" s="9">
        <v>1735.396</v>
      </c>
      <c r="Z99" s="9">
        <v>426.7577</v>
      </c>
      <c r="AA99" s="9">
        <v>1567.628</v>
      </c>
      <c r="AB99" s="9">
        <v>501.0871</v>
      </c>
      <c r="AC99" s="9">
        <v>1752.038</v>
      </c>
      <c r="AD99" s="9">
        <v>485.3481</v>
      </c>
      <c r="AE99" s="9">
        <v>1793.283</v>
      </c>
      <c r="AF99" s="9">
        <v>600.2481</v>
      </c>
      <c r="AG99" s="9">
        <v>1700.612</v>
      </c>
      <c r="AH99" s="9">
        <v>452.0382</v>
      </c>
      <c r="AI99" s="9">
        <v>1912.267</v>
      </c>
      <c r="AJ99" s="9">
        <v>481.2574</v>
      </c>
      <c r="AK99" s="9">
        <v>204.0199</v>
      </c>
      <c r="AL99" s="9">
        <v>38.49941</v>
      </c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</row>
    <row r="100" ht="15.75" customHeight="1">
      <c r="A100" s="9">
        <v>1905.0992</v>
      </c>
      <c r="B100" s="9">
        <v>535.7476</v>
      </c>
      <c r="C100" s="9">
        <v>1940.8342</v>
      </c>
      <c r="D100" s="9">
        <v>387.8777</v>
      </c>
      <c r="E100" s="9">
        <v>1645.971</v>
      </c>
      <c r="F100" s="9">
        <v>497.8378</v>
      </c>
      <c r="G100" s="9">
        <v>2319.573</v>
      </c>
      <c r="H100" s="9">
        <v>498.8775</v>
      </c>
      <c r="I100" s="9">
        <v>1886.627</v>
      </c>
      <c r="J100" s="9">
        <v>479.7431</v>
      </c>
      <c r="K100" s="9">
        <v>2058.364</v>
      </c>
      <c r="L100" s="9">
        <v>460.5167</v>
      </c>
      <c r="M100" s="9">
        <v>2144.919</v>
      </c>
      <c r="N100" s="9">
        <v>557.6868</v>
      </c>
      <c r="O100" s="9">
        <v>2170.082</v>
      </c>
      <c r="P100" s="9">
        <v>597.8457</v>
      </c>
      <c r="Q100" s="9">
        <v>2031.408</v>
      </c>
      <c r="R100" s="9">
        <v>491.2061</v>
      </c>
      <c r="S100" s="9">
        <v>2078.995</v>
      </c>
      <c r="T100" s="9">
        <v>488.6695</v>
      </c>
      <c r="U100" s="9">
        <v>1724.176</v>
      </c>
      <c r="V100" s="9">
        <v>511.4498</v>
      </c>
      <c r="W100" s="9">
        <v>2238.106</v>
      </c>
      <c r="X100" s="9">
        <v>543.0181</v>
      </c>
      <c r="Y100" s="9">
        <v>1912.872</v>
      </c>
      <c r="Z100" s="9">
        <v>636.3808</v>
      </c>
      <c r="AA100" s="9">
        <v>2127.993</v>
      </c>
      <c r="AB100" s="9">
        <v>889.9935</v>
      </c>
      <c r="AC100" s="9">
        <v>1983.139</v>
      </c>
      <c r="AD100" s="9">
        <v>504.4339</v>
      </c>
      <c r="AE100" s="9">
        <v>2148.31</v>
      </c>
      <c r="AF100" s="9">
        <v>614.6683</v>
      </c>
      <c r="AG100" s="9">
        <v>2334.258</v>
      </c>
      <c r="AH100" s="9">
        <v>494.9732</v>
      </c>
      <c r="AI100" s="9">
        <v>2129.311</v>
      </c>
      <c r="AJ100" s="9">
        <v>480.9761</v>
      </c>
      <c r="AK100" s="9">
        <v>397.4294</v>
      </c>
      <c r="AL100" s="9">
        <v>44.37558</v>
      </c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</row>
    <row r="101" ht="15.75" customHeight="1">
      <c r="E101" s="1"/>
      <c r="F101" s="1"/>
      <c r="I101" s="1"/>
      <c r="J101" s="1"/>
      <c r="K101" s="1"/>
      <c r="L101" s="1"/>
      <c r="N101" s="1"/>
      <c r="Q101" s="1"/>
      <c r="R101" s="1"/>
      <c r="S101" s="1"/>
      <c r="U101" s="1"/>
      <c r="V101" s="1"/>
      <c r="Y101" s="1"/>
      <c r="Z101" s="1"/>
      <c r="AA101" s="1"/>
      <c r="AB101" s="1"/>
      <c r="AD101" s="1"/>
      <c r="AG101" s="1"/>
      <c r="AH101" s="1"/>
      <c r="AI101" s="1"/>
    </row>
    <row r="102" ht="15.75" customHeight="1"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ht="15.75" customHeight="1"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ht="15.75" customHeight="1"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ht="15.75" customHeight="1"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ht="15.75" customHeight="1"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ht="15.75" customHeight="1"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ht="15.75" customHeight="1"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ht="15.75" customHeight="1"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ht="15.75" customHeight="1"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ht="15.75" customHeight="1"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ht="15.75" customHeight="1"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ht="15.75" customHeight="1"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ht="15.75" customHeight="1"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ht="15.75" customHeight="1"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ht="15.75" customHeight="1"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ht="15.75" customHeight="1"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ht="15.75" customHeight="1"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ht="15.75" customHeight="1"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ht="15.75" customHeight="1"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ht="15.75" customHeight="1"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ht="15.75" customHeight="1"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ht="15.75" customHeight="1"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ht="15.75" customHeight="1"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ht="15.75" customHeight="1"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ht="15.75" customHeight="1"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ht="15.75" customHeight="1"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ht="15.75" customHeight="1"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ht="15.75" customHeight="1"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ht="15.75" customHeight="1"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ht="15.75" customHeight="1"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ht="15.75" customHeight="1"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ht="15.75" customHeight="1"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ht="15.75" customHeight="1"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ht="15.75" customHeight="1"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ht="15.75" customHeight="1"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ht="15.75" customHeight="1"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ht="15.75" customHeight="1"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ht="15.75" customHeight="1"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ht="15.75" customHeight="1"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ht="15.75" customHeight="1"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ht="15.75" customHeight="1"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ht="15.75" customHeight="1"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ht="15.75" customHeight="1"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ht="15.75" customHeight="1"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ht="15.75" customHeight="1"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ht="15.75" customHeight="1"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ht="15.75" customHeight="1"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ht="15.75" customHeight="1"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ht="15.75" customHeight="1"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ht="15.75" customHeight="1"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ht="15.75" customHeight="1"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ht="15.75" customHeight="1"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ht="15.75" customHeight="1"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ht="15.75" customHeight="1"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ht="15.75" customHeight="1"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ht="15.75" customHeight="1"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ht="15.75" customHeight="1"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ht="15.75" customHeight="1"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ht="15.75" customHeight="1"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ht="15.75" customHeight="1"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ht="15.75" customHeight="1"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ht="15.75" customHeight="1"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ht="15.75" customHeight="1"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ht="15.75" customHeight="1"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ht="15.75" customHeight="1"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ht="15.75" customHeight="1"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ht="15.75" customHeight="1"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ht="15.75" customHeight="1"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ht="15.75" customHeight="1"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ht="15.75" customHeight="1"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ht="15.75" customHeight="1"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ht="15.75" customHeight="1"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ht="15.75" customHeight="1"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ht="15.75" customHeight="1"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ht="15.75" customHeight="1"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ht="15.75" customHeight="1"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ht="15.75" customHeight="1"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ht="15.75" customHeight="1"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ht="15.75" customHeight="1"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ht="15.75" customHeight="1"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ht="15.75" customHeight="1"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ht="15.75" customHeight="1"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ht="15.75" customHeight="1"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ht="15.75" customHeight="1"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ht="15.75" customHeight="1"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ht="15.75" customHeight="1"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ht="15.75" customHeight="1"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ht="15.75" customHeight="1"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ht="15.75" customHeight="1"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ht="15.75" customHeight="1"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ht="15.75" customHeight="1"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ht="15.75" customHeight="1"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ht="15.75" customHeight="1"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ht="15.75" customHeight="1"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ht="15.75" customHeight="1"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ht="15.75" customHeight="1"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ht="15.75" customHeight="1"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ht="15.75" customHeight="1"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ht="15.75" customHeight="1"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ht="15.75" customHeight="1"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ht="15.75" customHeight="1"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ht="15.75" customHeight="1"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ht="15.75" customHeight="1"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ht="15.75" customHeight="1"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ht="15.75" customHeight="1"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ht="15.75" customHeight="1"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ht="15.75" customHeight="1"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ht="15.75" customHeight="1"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ht="15.75" customHeight="1"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ht="15.75" customHeight="1"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ht="15.75" customHeight="1"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ht="15.75" customHeight="1"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ht="15.75" customHeight="1"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ht="15.75" customHeight="1"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ht="15.75" customHeight="1"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ht="15.75" customHeight="1"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ht="15.75" customHeight="1"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ht="15.75" customHeight="1"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ht="15.75" customHeight="1"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ht="15.75" customHeight="1"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ht="15.75" customHeight="1"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ht="15.75" customHeight="1"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ht="15.75" customHeight="1"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ht="15.75" customHeight="1"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ht="15.75" customHeight="1"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ht="15.75" customHeight="1"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ht="15.75" customHeight="1"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ht="15.75" customHeight="1"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ht="15.75" customHeight="1"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ht="15.75" customHeight="1"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ht="15.75" customHeight="1"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ht="15.75" customHeight="1"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ht="15.75" customHeight="1"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ht="15.75" customHeight="1"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ht="15.75" customHeight="1"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ht="15.75" customHeight="1"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ht="15.75" customHeight="1"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ht="15.75" customHeight="1"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ht="15.75" customHeight="1"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ht="15.75" customHeight="1"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ht="15.75" customHeight="1"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ht="15.75" customHeight="1"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ht="15.75" customHeight="1"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ht="15.75" customHeight="1"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ht="15.75" customHeight="1"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ht="15.75" customHeight="1"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ht="15.75" customHeight="1"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ht="15.75" customHeight="1"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ht="15.75" customHeight="1"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ht="15.75" customHeight="1"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ht="15.75" customHeight="1"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ht="15.75" customHeight="1"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ht="15.75" customHeight="1"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ht="15.75" customHeight="1"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ht="15.75" customHeight="1"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ht="15.75" customHeight="1"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ht="15.75" customHeight="1"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ht="15.75" customHeight="1"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ht="15.75" customHeight="1"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ht="15.75" customHeight="1"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ht="15.75" customHeight="1"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ht="15.75" customHeight="1"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ht="15.75" customHeight="1"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ht="15.75" customHeight="1"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ht="15.75" customHeight="1"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ht="15.75" customHeight="1"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ht="15.75" customHeight="1"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ht="15.75" customHeight="1"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ht="15.75" customHeight="1"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ht="15.75" customHeight="1"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ht="15.75" customHeight="1"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ht="15.75" customHeight="1"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ht="15.75" customHeight="1"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ht="15.75" customHeight="1"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ht="15.75" customHeight="1"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ht="15.75" customHeight="1"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ht="15.75" customHeight="1"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ht="15.75" customHeight="1"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ht="15.75" customHeight="1"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ht="15.75" customHeight="1"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ht="15.75" customHeight="1"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ht="15.75" customHeight="1"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ht="15.75" customHeight="1"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ht="15.75" customHeight="1"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ht="15.75" customHeight="1"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ht="15.75" customHeight="1"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ht="15.75" customHeight="1"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ht="15.75" customHeight="1"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ht="15.75" customHeight="1"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ht="15.75" customHeight="1"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ht="15.75" customHeight="1"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ht="15.75" customHeight="1"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ht="15.75" customHeight="1"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ht="15.75" customHeight="1"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ht="15.75" customHeight="1"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ht="15.75" customHeight="1"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ht="15.75" customHeight="1"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ht="15.75" customHeight="1"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ht="15.75" customHeight="1"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3.88"/>
    <col customWidth="1" min="2" max="4" width="13.75"/>
    <col customWidth="1" min="7" max="7" width="13.38"/>
    <col customWidth="1" min="15" max="15" width="13.88"/>
    <col customWidth="1" min="17" max="17" width="13.75"/>
    <col customWidth="1" min="19" max="19" width="14.0"/>
    <col customWidth="1" min="23" max="23" width="15.25"/>
    <col customWidth="1" min="24" max="24" width="13.88"/>
    <col customWidth="1" min="27" max="27" width="13.38"/>
    <col customWidth="1" min="31" max="31" width="14.88"/>
    <col customWidth="1" min="33" max="33" width="14.75"/>
  </cols>
  <sheetData>
    <row r="1" ht="15.75" customHeight="1">
      <c r="A1" s="1" t="s">
        <v>343</v>
      </c>
      <c r="B1" s="4" t="s">
        <v>344</v>
      </c>
      <c r="C1" s="1" t="s">
        <v>345</v>
      </c>
      <c r="D1" s="4" t="s">
        <v>346</v>
      </c>
      <c r="E1" s="1" t="s">
        <v>347</v>
      </c>
      <c r="F1" s="5" t="s">
        <v>348</v>
      </c>
      <c r="G1" s="1" t="s">
        <v>349</v>
      </c>
      <c r="H1" s="5" t="s">
        <v>350</v>
      </c>
      <c r="I1" s="1" t="s">
        <v>351</v>
      </c>
      <c r="J1" s="5" t="s">
        <v>352</v>
      </c>
      <c r="K1" s="1" t="s">
        <v>353</v>
      </c>
      <c r="L1" s="5" t="s">
        <v>354</v>
      </c>
      <c r="M1" s="1" t="s">
        <v>355</v>
      </c>
      <c r="N1" s="5" t="s">
        <v>356</v>
      </c>
      <c r="O1" s="1" t="s">
        <v>357</v>
      </c>
      <c r="P1" s="5" t="s">
        <v>358</v>
      </c>
      <c r="Q1" s="1" t="s">
        <v>359</v>
      </c>
      <c r="R1" s="5" t="s">
        <v>360</v>
      </c>
      <c r="S1" s="1" t="s">
        <v>361</v>
      </c>
      <c r="T1" s="5" t="s">
        <v>362</v>
      </c>
      <c r="U1" s="1" t="s">
        <v>363</v>
      </c>
      <c r="V1" s="5" t="s">
        <v>364</v>
      </c>
      <c r="W1" s="1" t="s">
        <v>365</v>
      </c>
      <c r="X1" s="5" t="s">
        <v>366</v>
      </c>
      <c r="Y1" s="1" t="s">
        <v>367</v>
      </c>
      <c r="Z1" s="5" t="s">
        <v>368</v>
      </c>
      <c r="AA1" s="1" t="s">
        <v>369</v>
      </c>
      <c r="AB1" s="5" t="s">
        <v>370</v>
      </c>
      <c r="AC1" s="1" t="s">
        <v>371</v>
      </c>
      <c r="AD1" s="5" t="s">
        <v>372</v>
      </c>
      <c r="AE1" s="1" t="s">
        <v>373</v>
      </c>
      <c r="AF1" s="5" t="s">
        <v>374</v>
      </c>
      <c r="AG1" s="1" t="s">
        <v>375</v>
      </c>
      <c r="AH1" s="5" t="s">
        <v>376</v>
      </c>
      <c r="AI1" s="1" t="s">
        <v>377</v>
      </c>
      <c r="AJ1" s="5" t="s">
        <v>378</v>
      </c>
      <c r="AK1" s="1" t="s">
        <v>379</v>
      </c>
      <c r="AL1" s="5" t="s">
        <v>380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ht="15.75" customHeight="1">
      <c r="A2" s="9">
        <v>33.65567667</v>
      </c>
      <c r="B2" s="9">
        <v>4.7336</v>
      </c>
      <c r="C2" s="9">
        <v>34.70467667</v>
      </c>
      <c r="D2" s="9">
        <v>3.094508333</v>
      </c>
      <c r="E2" s="9">
        <v>19.35553333</v>
      </c>
      <c r="F2" s="9">
        <v>4.739328333</v>
      </c>
      <c r="G2" s="9">
        <v>36.36406667</v>
      </c>
      <c r="H2" s="9">
        <v>5.811073333</v>
      </c>
      <c r="I2" s="9">
        <v>28.99015</v>
      </c>
      <c r="J2" s="9">
        <v>5.904596667</v>
      </c>
      <c r="K2" s="9">
        <v>31.2481</v>
      </c>
      <c r="L2" s="9">
        <v>5.220275</v>
      </c>
      <c r="M2" s="9">
        <v>26.33721667</v>
      </c>
      <c r="N2" s="9">
        <v>4.882013333</v>
      </c>
      <c r="O2" s="9">
        <v>35.65526667</v>
      </c>
      <c r="P2" s="9">
        <v>5.585046667</v>
      </c>
      <c r="Q2" s="9">
        <v>90.04571667</v>
      </c>
      <c r="R2" s="9">
        <v>5.328925</v>
      </c>
      <c r="S2" s="9">
        <v>32.4937</v>
      </c>
      <c r="T2" s="9">
        <v>5.144588333</v>
      </c>
      <c r="U2" s="9">
        <v>18.52418333</v>
      </c>
      <c r="V2" s="9">
        <v>3.921605</v>
      </c>
      <c r="W2" s="9">
        <v>29.4289</v>
      </c>
      <c r="X2" s="9">
        <v>4.488558333</v>
      </c>
      <c r="Y2" s="9">
        <v>34.6519</v>
      </c>
      <c r="Z2" s="9">
        <v>5.466551667</v>
      </c>
      <c r="AA2" s="9">
        <v>35.15043333</v>
      </c>
      <c r="AB2" s="9">
        <v>6.044726667</v>
      </c>
      <c r="AC2" s="9">
        <v>25.59656667</v>
      </c>
      <c r="AD2" s="9">
        <v>4.078683333</v>
      </c>
      <c r="AE2" s="9">
        <v>29.5787</v>
      </c>
      <c r="AF2" s="9">
        <v>5.90969</v>
      </c>
      <c r="AG2" s="9">
        <v>33.55271667</v>
      </c>
      <c r="AH2" s="9">
        <v>4.788243333</v>
      </c>
      <c r="AI2" s="9">
        <v>23.77468333</v>
      </c>
      <c r="AJ2" s="9">
        <v>4.322991667</v>
      </c>
      <c r="AK2" s="10" t="s">
        <v>85</v>
      </c>
      <c r="AL2" s="9">
        <v>0.4507053333</v>
      </c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</row>
    <row r="3" ht="15.75" customHeight="1">
      <c r="A3" s="9">
        <v>46.86278833</v>
      </c>
      <c r="B3" s="9">
        <v>15.91277167</v>
      </c>
      <c r="C3" s="9">
        <v>65.67671333</v>
      </c>
      <c r="D3" s="9">
        <v>25.4883</v>
      </c>
      <c r="E3" s="9">
        <v>39.75431667</v>
      </c>
      <c r="F3" s="9">
        <v>13.21763667</v>
      </c>
      <c r="G3" s="9">
        <v>42.03963333</v>
      </c>
      <c r="H3" s="9">
        <v>13.42935333</v>
      </c>
      <c r="I3" s="9">
        <v>69.66913333</v>
      </c>
      <c r="J3" s="9">
        <v>15.39982167</v>
      </c>
      <c r="K3" s="9">
        <v>56.69388333</v>
      </c>
      <c r="L3" s="9">
        <v>12.60477333</v>
      </c>
      <c r="M3" s="9">
        <v>52.12026667</v>
      </c>
      <c r="N3" s="9">
        <v>15.39414333</v>
      </c>
      <c r="O3" s="9">
        <v>74.0269</v>
      </c>
      <c r="P3" s="9">
        <v>14.08068667</v>
      </c>
      <c r="Q3" s="9">
        <v>327.3303333</v>
      </c>
      <c r="R3" s="9">
        <v>14.37746</v>
      </c>
      <c r="S3" s="9">
        <v>71.76066667</v>
      </c>
      <c r="T3" s="9">
        <v>14.251785</v>
      </c>
      <c r="U3" s="9">
        <v>35.59621667</v>
      </c>
      <c r="V3" s="9">
        <v>12.237715</v>
      </c>
      <c r="W3" s="9">
        <v>52.0233</v>
      </c>
      <c r="X3" s="9">
        <v>13.65208333</v>
      </c>
      <c r="Y3" s="9">
        <v>73.88341667</v>
      </c>
      <c r="Z3" s="9">
        <v>13.60292667</v>
      </c>
      <c r="AA3" s="9">
        <v>71.39971667</v>
      </c>
      <c r="AB3" s="9">
        <v>13.00461333</v>
      </c>
      <c r="AC3" s="9">
        <v>51.47883333</v>
      </c>
      <c r="AD3" s="9">
        <v>12.21966333</v>
      </c>
      <c r="AE3" s="9">
        <v>50.5007</v>
      </c>
      <c r="AF3" s="9">
        <v>14.37241333</v>
      </c>
      <c r="AG3" s="9">
        <v>58.64715</v>
      </c>
      <c r="AH3" s="9">
        <v>13.26000333</v>
      </c>
      <c r="AI3" s="9">
        <v>61.65916667</v>
      </c>
      <c r="AJ3" s="9">
        <v>11.67837167</v>
      </c>
      <c r="AK3" s="10" t="s">
        <v>85</v>
      </c>
      <c r="AL3" s="9">
        <v>1.068323833</v>
      </c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</row>
    <row r="4" ht="15.75" customHeight="1">
      <c r="A4" s="9">
        <v>24.61201167</v>
      </c>
      <c r="B4" s="9">
        <v>4.420818333</v>
      </c>
      <c r="C4" s="9">
        <v>23.638485</v>
      </c>
      <c r="D4" s="9">
        <v>3.319213333</v>
      </c>
      <c r="E4" s="9">
        <v>15.45352333</v>
      </c>
      <c r="F4" s="9">
        <v>3.35552</v>
      </c>
      <c r="G4" s="9">
        <v>22.13808333</v>
      </c>
      <c r="H4" s="9">
        <v>3.233481667</v>
      </c>
      <c r="I4" s="9">
        <v>27.2843</v>
      </c>
      <c r="J4" s="9">
        <v>3.836895</v>
      </c>
      <c r="K4" s="9">
        <v>23.63943333</v>
      </c>
      <c r="L4" s="9">
        <v>3.336518333</v>
      </c>
      <c r="M4" s="9">
        <v>24.6414</v>
      </c>
      <c r="N4" s="9">
        <v>3.369398333</v>
      </c>
      <c r="O4" s="9">
        <v>22.00318333</v>
      </c>
      <c r="P4" s="9">
        <v>3.109345</v>
      </c>
      <c r="Q4" s="9">
        <v>24.0848</v>
      </c>
      <c r="R4" s="9">
        <v>3.219565</v>
      </c>
      <c r="S4" s="9">
        <v>21.6393</v>
      </c>
      <c r="T4" s="9">
        <v>4.003751667</v>
      </c>
      <c r="U4" s="9">
        <v>15.39626667</v>
      </c>
      <c r="V4" s="9">
        <v>3.391811667</v>
      </c>
      <c r="W4" s="9">
        <v>30.07503333</v>
      </c>
      <c r="X4" s="9">
        <v>3.453253333</v>
      </c>
      <c r="Y4" s="9">
        <v>28.57048333</v>
      </c>
      <c r="Z4" s="9">
        <v>4.205376667</v>
      </c>
      <c r="AA4" s="1" t="s">
        <v>85</v>
      </c>
      <c r="AB4" s="9" t="s">
        <v>85</v>
      </c>
      <c r="AC4" s="9">
        <v>23.39906667</v>
      </c>
      <c r="AD4" s="9">
        <v>3.259966667</v>
      </c>
      <c r="AE4" s="9">
        <v>28.15923333</v>
      </c>
      <c r="AF4" s="9">
        <v>4.131798333</v>
      </c>
      <c r="AG4" s="9">
        <v>23.0579</v>
      </c>
      <c r="AH4" s="9">
        <v>2.777336667</v>
      </c>
      <c r="AI4" s="9">
        <v>31.0173</v>
      </c>
      <c r="AJ4" s="9">
        <v>3.503475</v>
      </c>
      <c r="AK4" s="9">
        <v>3.243383333</v>
      </c>
      <c r="AL4" s="9">
        <v>0.340308</v>
      </c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</row>
    <row r="5" ht="15.75" customHeight="1">
      <c r="A5" s="9">
        <v>12.25002517</v>
      </c>
      <c r="B5" s="9">
        <v>3.921366667</v>
      </c>
      <c r="C5" s="9">
        <v>14.07969667</v>
      </c>
      <c r="D5" s="9">
        <v>3.064868333</v>
      </c>
      <c r="E5" s="9">
        <v>9.432086667</v>
      </c>
      <c r="F5" s="9">
        <v>3.063085</v>
      </c>
      <c r="G5" s="9">
        <v>17.54225</v>
      </c>
      <c r="H5" s="9">
        <v>3.073636667</v>
      </c>
      <c r="I5" s="9">
        <v>17.58378333</v>
      </c>
      <c r="J5" s="9">
        <v>2.622338333</v>
      </c>
      <c r="K5" s="9">
        <v>15.46750833</v>
      </c>
      <c r="L5" s="9">
        <v>2.858361667</v>
      </c>
      <c r="M5" s="9">
        <v>16.06857167</v>
      </c>
      <c r="N5" s="9">
        <v>3.731583333</v>
      </c>
      <c r="O5" s="9">
        <v>14.96016</v>
      </c>
      <c r="P5" s="9">
        <v>2.888046667</v>
      </c>
      <c r="Q5" s="9">
        <v>14.89057167</v>
      </c>
      <c r="R5" s="9">
        <v>3.7674</v>
      </c>
      <c r="S5" s="9">
        <v>13.88503667</v>
      </c>
      <c r="T5" s="9">
        <v>3.156928333</v>
      </c>
      <c r="U5" s="9">
        <v>11.60424833</v>
      </c>
      <c r="V5" s="9">
        <v>3.122066667</v>
      </c>
      <c r="W5" s="9">
        <v>17.95468333</v>
      </c>
      <c r="X5" s="9">
        <v>2.86331</v>
      </c>
      <c r="Y5" s="9">
        <v>18.1196</v>
      </c>
      <c r="Z5" s="9">
        <v>2.48132</v>
      </c>
      <c r="AA5" s="9">
        <v>13.73550833</v>
      </c>
      <c r="AB5" s="9">
        <v>3.100576667</v>
      </c>
      <c r="AC5" s="9">
        <v>20.03291667</v>
      </c>
      <c r="AD5" s="9">
        <v>2.517351667</v>
      </c>
      <c r="AE5" s="9">
        <v>16.48986667</v>
      </c>
      <c r="AF5" s="9">
        <v>2.551986667</v>
      </c>
      <c r="AG5" s="9">
        <v>21.08828333</v>
      </c>
      <c r="AH5" s="9">
        <v>2.861063333</v>
      </c>
      <c r="AI5" s="9">
        <v>23.55688333</v>
      </c>
      <c r="AJ5" s="9">
        <v>3.303885</v>
      </c>
      <c r="AK5" s="9">
        <v>3.239995</v>
      </c>
      <c r="AL5" s="9">
        <v>0.3519515</v>
      </c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</row>
    <row r="6" ht="15.75" customHeight="1">
      <c r="A6" s="9">
        <v>10.26585183</v>
      </c>
      <c r="B6" s="9">
        <v>3.00141</v>
      </c>
      <c r="C6" s="9">
        <v>31.030135</v>
      </c>
      <c r="D6" s="38">
        <v>2.66534</v>
      </c>
      <c r="E6" s="9">
        <v>23.9242</v>
      </c>
      <c r="F6" s="9">
        <v>3.23461</v>
      </c>
      <c r="G6" s="9">
        <v>20.28478333</v>
      </c>
      <c r="H6" s="9">
        <v>3.53134</v>
      </c>
      <c r="I6" s="9">
        <v>15.03385833</v>
      </c>
      <c r="J6" s="9">
        <v>3.54339</v>
      </c>
      <c r="K6" s="9">
        <v>12.696915</v>
      </c>
      <c r="L6" s="9">
        <v>3.291936667</v>
      </c>
      <c r="M6" s="9">
        <v>31.5332</v>
      </c>
      <c r="N6" s="9">
        <v>2.739885</v>
      </c>
      <c r="O6" s="9">
        <v>19.2222</v>
      </c>
      <c r="P6" s="9">
        <v>4.010061667</v>
      </c>
      <c r="Q6" s="9">
        <v>8.580978333</v>
      </c>
      <c r="R6" s="9">
        <v>3.537453333</v>
      </c>
      <c r="S6" s="9">
        <v>11.05108667</v>
      </c>
      <c r="T6" s="9">
        <v>2.955866667</v>
      </c>
      <c r="U6" s="9">
        <v>10.264185</v>
      </c>
      <c r="V6" s="9">
        <v>3.181938333</v>
      </c>
      <c r="W6" s="9">
        <v>14.17654167</v>
      </c>
      <c r="X6" s="9">
        <v>2.328905</v>
      </c>
      <c r="Y6" s="9">
        <v>16.84458333</v>
      </c>
      <c r="Z6" s="9">
        <v>4.196135</v>
      </c>
      <c r="AA6" s="9">
        <v>12.39455833</v>
      </c>
      <c r="AB6" s="9">
        <v>2.653731667</v>
      </c>
      <c r="AC6" s="9">
        <v>20.86868333</v>
      </c>
      <c r="AD6" s="9">
        <v>2.580446667</v>
      </c>
      <c r="AE6" s="9">
        <v>18.22035</v>
      </c>
      <c r="AF6" s="9">
        <v>3.2017</v>
      </c>
      <c r="AG6" s="9">
        <v>15.94337167</v>
      </c>
      <c r="AH6" s="9">
        <v>2.706896667</v>
      </c>
      <c r="AI6" s="9">
        <v>20.77741667</v>
      </c>
      <c r="AJ6" s="9">
        <v>3.032045</v>
      </c>
      <c r="AK6" s="9">
        <v>2.269355</v>
      </c>
      <c r="AL6" s="9">
        <v>0.3458536667</v>
      </c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</row>
    <row r="7" ht="15.75" customHeight="1">
      <c r="A7" s="9">
        <v>17.22462</v>
      </c>
      <c r="B7" s="9">
        <v>2.838431667</v>
      </c>
      <c r="C7" s="9">
        <v>14.10482717</v>
      </c>
      <c r="D7" s="39">
        <v>1.985</v>
      </c>
      <c r="E7" s="9">
        <v>26.6301</v>
      </c>
      <c r="F7" s="9">
        <v>2.830715</v>
      </c>
      <c r="G7" s="9">
        <v>23.46096667</v>
      </c>
      <c r="H7" s="9">
        <v>2.975576667</v>
      </c>
      <c r="I7" s="9">
        <v>20.23933333</v>
      </c>
      <c r="J7" s="9">
        <v>4.303453333</v>
      </c>
      <c r="K7" s="9">
        <v>28.74391667</v>
      </c>
      <c r="L7" s="9">
        <v>2.467116667</v>
      </c>
      <c r="M7" s="9">
        <v>12.832645</v>
      </c>
      <c r="N7" s="9">
        <v>3.185421667</v>
      </c>
      <c r="O7" s="9">
        <v>19.56376667</v>
      </c>
      <c r="P7" s="9">
        <v>2.865421667</v>
      </c>
      <c r="Q7" s="9">
        <v>39.68665</v>
      </c>
      <c r="R7" s="9">
        <v>2.886933333</v>
      </c>
      <c r="S7" s="9">
        <v>27.59558333</v>
      </c>
      <c r="T7" s="9">
        <v>2.884491667</v>
      </c>
      <c r="U7" s="9">
        <v>17.79993333</v>
      </c>
      <c r="V7" s="9">
        <v>2.692698333</v>
      </c>
      <c r="W7" s="9">
        <v>34.04943333</v>
      </c>
      <c r="X7" s="9">
        <v>2.620841667</v>
      </c>
      <c r="Y7" s="9">
        <v>22.84915</v>
      </c>
      <c r="Z7" s="9">
        <v>3.054586667</v>
      </c>
      <c r="AA7" s="9">
        <v>26.35951667</v>
      </c>
      <c r="AB7" s="9">
        <v>2.397511667</v>
      </c>
      <c r="AC7" s="9">
        <v>17.12333333</v>
      </c>
      <c r="AD7" s="9">
        <v>3.686296667</v>
      </c>
      <c r="AE7" s="9">
        <v>33.07796667</v>
      </c>
      <c r="AF7" s="9">
        <v>3.621786667</v>
      </c>
      <c r="AG7" s="9">
        <v>22.17123333</v>
      </c>
      <c r="AH7" s="9">
        <v>3.026581667</v>
      </c>
      <c r="AI7" s="9">
        <v>16.23266833</v>
      </c>
      <c r="AJ7" s="9">
        <v>3.09456</v>
      </c>
      <c r="AK7" s="9">
        <v>2.5635</v>
      </c>
      <c r="AL7" s="9">
        <v>0.3236206667</v>
      </c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</row>
    <row r="8" ht="15.75" customHeight="1">
      <c r="A8" s="9">
        <v>37.79579833</v>
      </c>
      <c r="B8" s="9">
        <v>2.73343</v>
      </c>
      <c r="C8" s="9">
        <v>28.839225</v>
      </c>
      <c r="D8" s="9">
        <v>3.769446667</v>
      </c>
      <c r="E8" s="9">
        <v>24.9767</v>
      </c>
      <c r="F8" s="9">
        <v>2.86569</v>
      </c>
      <c r="G8" s="9">
        <v>50.23896667</v>
      </c>
      <c r="H8" s="9">
        <v>4.024546667</v>
      </c>
      <c r="I8" s="9">
        <v>33.28633333</v>
      </c>
      <c r="J8" s="9">
        <v>3.193161667</v>
      </c>
      <c r="K8" s="9">
        <v>42.88856667</v>
      </c>
      <c r="L8" s="9">
        <v>2.995248333</v>
      </c>
      <c r="M8" s="9">
        <v>41.99806667</v>
      </c>
      <c r="N8" s="9">
        <v>4.210283333</v>
      </c>
      <c r="O8" s="9">
        <v>42.38533333</v>
      </c>
      <c r="P8" s="9">
        <v>3.308178333</v>
      </c>
      <c r="Q8" s="9">
        <v>40.57846667</v>
      </c>
      <c r="R8" s="9">
        <v>4.203138333</v>
      </c>
      <c r="S8" s="9">
        <v>41.18335</v>
      </c>
      <c r="T8" s="9">
        <v>3.758143333</v>
      </c>
      <c r="U8" s="9">
        <v>33.17238333</v>
      </c>
      <c r="V8" s="9">
        <v>3.767303333</v>
      </c>
      <c r="W8" s="9">
        <v>58.4006</v>
      </c>
      <c r="X8" s="9">
        <v>3.246091667</v>
      </c>
      <c r="Y8" s="9">
        <v>30.13703333</v>
      </c>
      <c r="Z8" s="9">
        <v>4.427003333</v>
      </c>
      <c r="AA8" s="9">
        <v>32.21685</v>
      </c>
      <c r="AB8" s="9">
        <v>3.471113333</v>
      </c>
      <c r="AC8" s="9">
        <v>42.83956667</v>
      </c>
      <c r="AD8" s="9">
        <v>4.450286667</v>
      </c>
      <c r="AE8" s="9">
        <v>60.63456667</v>
      </c>
      <c r="AF8" s="9">
        <v>3.859868333</v>
      </c>
      <c r="AG8" s="9">
        <v>21.4475</v>
      </c>
      <c r="AH8" s="9">
        <v>3.311611667</v>
      </c>
      <c r="AI8" s="9">
        <v>36.51165</v>
      </c>
      <c r="AJ8" s="9">
        <v>3.305753333</v>
      </c>
      <c r="AK8" s="9">
        <v>3.225638333</v>
      </c>
      <c r="AL8" s="9">
        <v>0.3598353333</v>
      </c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</row>
    <row r="9" ht="15.75" customHeight="1">
      <c r="A9" s="9">
        <v>21.73225667</v>
      </c>
      <c r="B9" s="9">
        <v>4.307438333</v>
      </c>
      <c r="C9" s="9">
        <v>19.12340667</v>
      </c>
      <c r="D9" s="9">
        <v>2.50355</v>
      </c>
      <c r="E9" s="9">
        <v>23.09428333</v>
      </c>
      <c r="F9" s="9">
        <v>4.706855</v>
      </c>
      <c r="G9" s="9">
        <v>33.74558333</v>
      </c>
      <c r="H9" s="9">
        <v>5.29965</v>
      </c>
      <c r="I9" s="9">
        <v>20.1684</v>
      </c>
      <c r="J9" s="9">
        <v>3.607666667</v>
      </c>
      <c r="K9" s="9">
        <v>25.74928333</v>
      </c>
      <c r="L9" s="9">
        <v>2.92326</v>
      </c>
      <c r="M9" s="9">
        <v>33.93328333</v>
      </c>
      <c r="N9" s="9">
        <v>3.908655</v>
      </c>
      <c r="O9" s="9">
        <v>34.39076667</v>
      </c>
      <c r="P9" s="9">
        <v>5.912651667</v>
      </c>
      <c r="Q9" s="9">
        <v>25.732</v>
      </c>
      <c r="R9" s="9">
        <v>4.879283333</v>
      </c>
      <c r="S9" s="9">
        <v>33.7305</v>
      </c>
      <c r="T9" s="9">
        <v>4.834595</v>
      </c>
      <c r="U9" s="9">
        <v>22.61478333</v>
      </c>
      <c r="V9" s="9">
        <v>4.353283333</v>
      </c>
      <c r="W9" s="9">
        <v>40.54463333</v>
      </c>
      <c r="X9" s="9">
        <v>3.869091667</v>
      </c>
      <c r="Y9" s="9">
        <v>31.29556667</v>
      </c>
      <c r="Z9" s="9">
        <v>4.622188333</v>
      </c>
      <c r="AA9" s="9">
        <v>26.3128</v>
      </c>
      <c r="AB9" s="9">
        <v>3.87373</v>
      </c>
      <c r="AC9" s="9">
        <v>28.38028333</v>
      </c>
      <c r="AD9" s="9">
        <v>4.942233333</v>
      </c>
      <c r="AE9" s="9">
        <v>37.30073333</v>
      </c>
      <c r="AF9" s="9">
        <v>3.571418333</v>
      </c>
      <c r="AG9" s="9">
        <v>26.33315</v>
      </c>
      <c r="AH9" s="9">
        <v>4.074246667</v>
      </c>
      <c r="AI9" s="9">
        <v>23.3573</v>
      </c>
      <c r="AJ9" s="9">
        <v>3.90651</v>
      </c>
      <c r="AK9" s="9">
        <v>3.214785</v>
      </c>
      <c r="AL9" s="9">
        <v>0.3561633333</v>
      </c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</row>
    <row r="10" ht="15.75" customHeight="1">
      <c r="A10" s="9">
        <v>39.01168167</v>
      </c>
      <c r="B10" s="9">
        <v>3.779053333</v>
      </c>
      <c r="C10" s="9">
        <v>35.02612833</v>
      </c>
      <c r="D10" s="9">
        <v>2.816193333</v>
      </c>
      <c r="E10" s="9">
        <v>23.79066667</v>
      </c>
      <c r="F10" s="9">
        <v>5.37824</v>
      </c>
      <c r="G10" s="9">
        <v>57.2715</v>
      </c>
      <c r="H10" s="9">
        <v>4.490781667</v>
      </c>
      <c r="I10" s="9">
        <v>28.89641667</v>
      </c>
      <c r="J10" s="9">
        <v>3.261616667</v>
      </c>
      <c r="K10" s="9">
        <v>39.61118333</v>
      </c>
      <c r="L10" s="9">
        <v>3.154553333</v>
      </c>
      <c r="M10" s="9">
        <v>40.90865</v>
      </c>
      <c r="N10" s="9">
        <v>4.185448333</v>
      </c>
      <c r="O10" s="9">
        <v>37.53308333</v>
      </c>
      <c r="P10" s="9">
        <v>3.766676667</v>
      </c>
      <c r="Q10" s="9">
        <v>41.75231667</v>
      </c>
      <c r="R10" s="9">
        <v>2.99451</v>
      </c>
      <c r="S10" s="9">
        <v>47.27935</v>
      </c>
      <c r="T10" s="9">
        <v>4.007265</v>
      </c>
      <c r="U10" s="9">
        <v>30.31998333</v>
      </c>
      <c r="V10" s="9">
        <v>4.604761667</v>
      </c>
      <c r="W10" s="9">
        <v>54.52773333</v>
      </c>
      <c r="X10" s="9">
        <v>2.885483333</v>
      </c>
      <c r="Y10" s="9">
        <v>41.13485</v>
      </c>
      <c r="Z10" s="9">
        <v>3.436261667</v>
      </c>
      <c r="AA10" s="1" t="s">
        <v>85</v>
      </c>
      <c r="AB10" s="9" t="s">
        <v>85</v>
      </c>
      <c r="AC10" s="9">
        <v>35.14908333</v>
      </c>
      <c r="AD10" s="9">
        <v>3.308361667</v>
      </c>
      <c r="AE10" s="9">
        <v>46.17735</v>
      </c>
      <c r="AF10" s="9">
        <v>3.123856667</v>
      </c>
      <c r="AG10" s="9">
        <v>43.1837</v>
      </c>
      <c r="AH10" s="9">
        <v>2.914198333</v>
      </c>
      <c r="AI10" s="9">
        <v>48.44131667</v>
      </c>
      <c r="AJ10" s="9">
        <v>2.868041667</v>
      </c>
      <c r="AK10" s="9">
        <v>3.226018333</v>
      </c>
      <c r="AL10" s="9">
        <v>0.390323</v>
      </c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</row>
    <row r="11" ht="15.75" customHeight="1">
      <c r="A11" s="9">
        <v>49.00404667</v>
      </c>
      <c r="B11" s="9">
        <v>3.018036667</v>
      </c>
      <c r="C11" s="9">
        <v>35.35908667</v>
      </c>
      <c r="D11" s="9">
        <v>2.961503333</v>
      </c>
      <c r="E11" s="9">
        <v>44.63796667</v>
      </c>
      <c r="F11" s="9">
        <v>3.477183333</v>
      </c>
      <c r="G11" s="9">
        <v>72.9238</v>
      </c>
      <c r="H11" s="9">
        <v>3.240043333</v>
      </c>
      <c r="I11" s="9">
        <v>37.92083333</v>
      </c>
      <c r="J11" s="9">
        <v>2.725655</v>
      </c>
      <c r="K11" s="9">
        <v>43.49866667</v>
      </c>
      <c r="L11" s="9">
        <v>2.632373333</v>
      </c>
      <c r="M11" s="9">
        <v>38.82133333</v>
      </c>
      <c r="N11" s="9">
        <v>3.954565</v>
      </c>
      <c r="O11" s="9">
        <v>57.18078333</v>
      </c>
      <c r="P11" s="9">
        <v>4.266393333</v>
      </c>
      <c r="Q11" s="9">
        <v>21.16405</v>
      </c>
      <c r="R11" s="9">
        <v>3.662263333</v>
      </c>
      <c r="S11" s="9">
        <v>43.16113333</v>
      </c>
      <c r="T11" s="9">
        <v>3.207968333</v>
      </c>
      <c r="U11" s="9">
        <v>38.19858333</v>
      </c>
      <c r="V11" s="9">
        <v>4.092396667</v>
      </c>
      <c r="W11" s="9">
        <v>53.97166667</v>
      </c>
      <c r="X11" s="9">
        <v>3.589921667</v>
      </c>
      <c r="Y11" s="9">
        <v>38.17751667</v>
      </c>
      <c r="Z11" s="9">
        <v>3.994991667</v>
      </c>
      <c r="AA11" s="9">
        <v>64.71138333</v>
      </c>
      <c r="AB11" s="9">
        <v>3.495921667</v>
      </c>
      <c r="AC11" s="9">
        <v>56.9737</v>
      </c>
      <c r="AD11" s="9">
        <v>3.306793333</v>
      </c>
      <c r="AE11" s="9">
        <v>55.59373333</v>
      </c>
      <c r="AF11" s="9">
        <v>3.418903333</v>
      </c>
      <c r="AG11" s="9">
        <v>30.19978333</v>
      </c>
      <c r="AH11" s="9">
        <v>4.198245</v>
      </c>
      <c r="AI11" s="9">
        <v>37.82473333</v>
      </c>
      <c r="AJ11" s="9">
        <v>2.602138333</v>
      </c>
      <c r="AK11" s="9">
        <v>2.446655</v>
      </c>
      <c r="AL11" s="9">
        <v>0.3170203333</v>
      </c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</row>
    <row r="12" ht="15.75" customHeight="1">
      <c r="A12" s="9">
        <v>55.018195</v>
      </c>
      <c r="B12" s="9">
        <v>15.97305</v>
      </c>
      <c r="C12" s="9">
        <v>55.982455</v>
      </c>
      <c r="D12" s="9">
        <v>13.02131</v>
      </c>
      <c r="E12" s="9">
        <v>34.66333333</v>
      </c>
      <c r="F12" s="9">
        <v>13.104125</v>
      </c>
      <c r="G12" s="9">
        <v>57.51486667</v>
      </c>
      <c r="H12" s="9">
        <v>12.99308667</v>
      </c>
      <c r="I12" s="9">
        <v>55.78163333</v>
      </c>
      <c r="J12" s="9">
        <v>12.69933167</v>
      </c>
      <c r="K12" s="9">
        <v>56.54275</v>
      </c>
      <c r="L12" s="9">
        <v>13.43844333</v>
      </c>
      <c r="M12" s="9">
        <v>55.23916667</v>
      </c>
      <c r="N12" s="9">
        <v>13.59561833</v>
      </c>
      <c r="O12" s="9">
        <v>59.77735</v>
      </c>
      <c r="P12" s="9">
        <v>13.19360333</v>
      </c>
      <c r="Q12" s="9">
        <v>61.21843333</v>
      </c>
      <c r="R12" s="9">
        <v>14.22803667</v>
      </c>
      <c r="S12" s="9">
        <v>60.48136667</v>
      </c>
      <c r="T12" s="9">
        <v>13.24537</v>
      </c>
      <c r="U12" s="9">
        <v>34.20411667</v>
      </c>
      <c r="V12" s="9">
        <v>12.55354333</v>
      </c>
      <c r="W12" s="9">
        <v>57.76831667</v>
      </c>
      <c r="X12" s="9">
        <v>13.21897833</v>
      </c>
      <c r="Y12" s="9">
        <v>59.32283333</v>
      </c>
      <c r="Z12" s="9">
        <v>13.58096</v>
      </c>
      <c r="AA12" s="9">
        <v>61.16288333</v>
      </c>
      <c r="AB12" s="9">
        <v>14.23491</v>
      </c>
      <c r="AC12" s="9">
        <v>58.53686667</v>
      </c>
      <c r="AD12" s="9">
        <v>12.343765</v>
      </c>
      <c r="AE12" s="9">
        <v>57.545</v>
      </c>
      <c r="AF12" s="9">
        <v>12.02473833</v>
      </c>
      <c r="AG12" s="9">
        <v>58.09266667</v>
      </c>
      <c r="AH12" s="9">
        <v>13.701665</v>
      </c>
      <c r="AI12" s="9">
        <v>57.2321</v>
      </c>
      <c r="AJ12" s="9">
        <v>12.02004</v>
      </c>
      <c r="AK12" s="9">
        <v>6.672105</v>
      </c>
      <c r="AL12" s="9">
        <v>1.35595</v>
      </c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</row>
    <row r="13" ht="15.75" customHeight="1">
      <c r="A13" s="9">
        <v>13.31267167</v>
      </c>
      <c r="B13" s="9">
        <v>3.449248333</v>
      </c>
      <c r="C13" s="9">
        <v>17.28803167</v>
      </c>
      <c r="D13" s="9">
        <v>5.298646667</v>
      </c>
      <c r="E13" s="9">
        <v>14.07951333</v>
      </c>
      <c r="F13" s="9">
        <v>3.266881667</v>
      </c>
      <c r="G13" s="9">
        <v>11.632935</v>
      </c>
      <c r="H13" s="9">
        <v>3.972683333</v>
      </c>
      <c r="I13" s="9">
        <v>15.997785</v>
      </c>
      <c r="J13" s="9">
        <v>3.23825</v>
      </c>
      <c r="K13" s="9">
        <v>16.58589167</v>
      </c>
      <c r="L13" s="9">
        <v>3.07238</v>
      </c>
      <c r="M13" s="9">
        <v>19.00985</v>
      </c>
      <c r="N13" s="9">
        <v>5.721935</v>
      </c>
      <c r="O13" s="9">
        <v>19.5713</v>
      </c>
      <c r="P13" s="9">
        <v>3.923801667</v>
      </c>
      <c r="Q13" s="9">
        <v>16.86816667</v>
      </c>
      <c r="R13" s="9">
        <v>3.927473333</v>
      </c>
      <c r="S13" s="9">
        <v>26.94075</v>
      </c>
      <c r="T13" s="9">
        <v>3.58905</v>
      </c>
      <c r="U13" s="9">
        <v>18.87228333</v>
      </c>
      <c r="V13" s="9">
        <v>3.34918</v>
      </c>
      <c r="W13" s="9">
        <v>29.37473333</v>
      </c>
      <c r="X13" s="9">
        <v>3.130808333</v>
      </c>
      <c r="Y13" s="9">
        <v>21.6461</v>
      </c>
      <c r="Z13" s="9">
        <v>3.560038333</v>
      </c>
      <c r="AA13" s="9">
        <v>22.04003333</v>
      </c>
      <c r="AB13" s="9">
        <v>3.25302</v>
      </c>
      <c r="AC13" s="9">
        <v>30.6058</v>
      </c>
      <c r="AD13" s="9">
        <v>2.627308333</v>
      </c>
      <c r="AE13" s="9">
        <v>26.7266</v>
      </c>
      <c r="AF13" s="9">
        <v>3.511161667</v>
      </c>
      <c r="AG13" s="9">
        <v>24.55465</v>
      </c>
      <c r="AH13" s="9">
        <v>3.262605</v>
      </c>
      <c r="AI13" s="9">
        <v>46.3644</v>
      </c>
      <c r="AJ13" s="9">
        <v>2.861435</v>
      </c>
      <c r="AK13" s="9">
        <v>3.269816667</v>
      </c>
      <c r="AL13" s="9">
        <v>0.3695996667</v>
      </c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</row>
    <row r="14" ht="15.75" customHeight="1">
      <c r="A14" s="9">
        <v>28.360755</v>
      </c>
      <c r="B14" s="9">
        <v>3.286818333</v>
      </c>
      <c r="C14" s="9">
        <v>18.67118167</v>
      </c>
      <c r="D14" s="9">
        <v>1.824988333</v>
      </c>
      <c r="E14" s="9">
        <v>21.09476667</v>
      </c>
      <c r="F14" s="9">
        <v>2.241688333</v>
      </c>
      <c r="G14" s="9">
        <v>36.93495</v>
      </c>
      <c r="H14" s="9">
        <v>3.340353333</v>
      </c>
      <c r="I14" s="9">
        <v>27.89348333</v>
      </c>
      <c r="J14" s="9">
        <v>2.777271667</v>
      </c>
      <c r="K14" s="9">
        <v>26.84431667</v>
      </c>
      <c r="L14" s="9">
        <v>3.098976667</v>
      </c>
      <c r="M14" s="9">
        <v>36.28303333</v>
      </c>
      <c r="N14" s="9">
        <v>3.109951667</v>
      </c>
      <c r="O14" s="9">
        <v>35.3632</v>
      </c>
      <c r="P14" s="9">
        <v>2.807531667</v>
      </c>
      <c r="Q14" s="9">
        <v>30.57405</v>
      </c>
      <c r="R14" s="9">
        <v>3.286868333</v>
      </c>
      <c r="S14" s="9">
        <v>29.4627</v>
      </c>
      <c r="T14" s="9">
        <v>3.164393333</v>
      </c>
      <c r="U14" s="9">
        <v>19.03968333</v>
      </c>
      <c r="V14" s="9">
        <v>3.485098333</v>
      </c>
      <c r="W14" s="9">
        <v>45.9955</v>
      </c>
      <c r="X14" s="9">
        <v>2.344443333</v>
      </c>
      <c r="Y14" s="9">
        <v>37.38701667</v>
      </c>
      <c r="Z14" s="9">
        <v>3.38753</v>
      </c>
      <c r="AA14" s="9">
        <v>39.93811667</v>
      </c>
      <c r="AB14" s="9">
        <v>4.087333333</v>
      </c>
      <c r="AC14" s="9">
        <v>42.2555</v>
      </c>
      <c r="AD14" s="9">
        <v>3.833781667</v>
      </c>
      <c r="AE14" s="9">
        <v>50.07335</v>
      </c>
      <c r="AF14" s="9">
        <v>3.48684</v>
      </c>
      <c r="AG14" s="9">
        <v>34.59241667</v>
      </c>
      <c r="AH14" s="9">
        <v>2.622288333</v>
      </c>
      <c r="AI14" s="9">
        <v>74.87071667</v>
      </c>
      <c r="AJ14" s="9">
        <v>3.466166667</v>
      </c>
      <c r="AK14" s="9">
        <v>3.21609</v>
      </c>
      <c r="AL14" s="9">
        <v>0.3229716667</v>
      </c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</row>
    <row r="15" ht="15.75" customHeight="1">
      <c r="A15" s="9">
        <v>33.715015</v>
      </c>
      <c r="B15" s="9">
        <v>9.223463333</v>
      </c>
      <c r="C15" s="9">
        <v>36.29070333</v>
      </c>
      <c r="D15" s="9">
        <v>5.836955</v>
      </c>
      <c r="E15" s="9">
        <v>23.52585</v>
      </c>
      <c r="F15" s="9">
        <v>8.684951667</v>
      </c>
      <c r="G15" s="9">
        <v>36.34033333</v>
      </c>
      <c r="H15" s="9">
        <v>9.260993333</v>
      </c>
      <c r="I15" s="9">
        <v>33.41806667</v>
      </c>
      <c r="J15" s="9">
        <v>8.135676667</v>
      </c>
      <c r="K15" s="9">
        <v>34.65845</v>
      </c>
      <c r="L15" s="9">
        <v>7.594955</v>
      </c>
      <c r="M15" s="9">
        <v>32.42671667</v>
      </c>
      <c r="N15" s="9">
        <v>8.629916667</v>
      </c>
      <c r="O15" s="9">
        <v>32.41425</v>
      </c>
      <c r="P15" s="9">
        <v>10.30364833</v>
      </c>
      <c r="Q15" s="9">
        <v>35.07395</v>
      </c>
      <c r="R15" s="9">
        <v>9.241026667</v>
      </c>
      <c r="S15" s="9">
        <v>35.23986667</v>
      </c>
      <c r="T15" s="9">
        <v>7.302758333</v>
      </c>
      <c r="U15" s="9">
        <v>22.74833333</v>
      </c>
      <c r="V15" s="9">
        <v>8.342176667</v>
      </c>
      <c r="W15" s="9">
        <v>30.19496667</v>
      </c>
      <c r="X15" s="9">
        <v>7.992896667</v>
      </c>
      <c r="Y15" s="9">
        <v>38.27103333</v>
      </c>
      <c r="Z15" s="9">
        <v>9.115403333</v>
      </c>
      <c r="AA15" s="9">
        <v>37.69888333</v>
      </c>
      <c r="AB15" s="9">
        <v>8.412908333</v>
      </c>
      <c r="AC15" s="9">
        <v>31.7315</v>
      </c>
      <c r="AD15" s="9">
        <v>8.729311667</v>
      </c>
      <c r="AE15" s="9">
        <v>34.10545</v>
      </c>
      <c r="AF15" s="9">
        <v>9.19359</v>
      </c>
      <c r="AG15" s="9">
        <v>35.16836667</v>
      </c>
      <c r="AH15" s="9">
        <v>8.255336667</v>
      </c>
      <c r="AI15" s="9">
        <v>62.33126667</v>
      </c>
      <c r="AJ15" s="9">
        <v>8.856408333</v>
      </c>
      <c r="AK15" s="9">
        <v>4.060881667</v>
      </c>
      <c r="AL15" s="9">
        <v>0.645474</v>
      </c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</row>
    <row r="16" ht="15.75" customHeight="1">
      <c r="A16" s="9">
        <v>688.81435</v>
      </c>
      <c r="B16" s="9">
        <v>137.4435833</v>
      </c>
      <c r="C16" s="9">
        <v>684.5497833</v>
      </c>
      <c r="D16" s="9">
        <v>136.9252167</v>
      </c>
      <c r="E16" s="9">
        <v>349.8855</v>
      </c>
      <c r="F16" s="9">
        <v>137.4489833</v>
      </c>
      <c r="G16" s="9">
        <v>686.9266667</v>
      </c>
      <c r="H16" s="9">
        <v>137.4303667</v>
      </c>
      <c r="I16" s="9">
        <v>686.4138333</v>
      </c>
      <c r="J16" s="9">
        <v>137.46635</v>
      </c>
      <c r="K16" s="9">
        <v>685.4776667</v>
      </c>
      <c r="L16" s="9">
        <v>137.72275</v>
      </c>
      <c r="M16" s="9">
        <v>685.9921667</v>
      </c>
      <c r="N16" s="9">
        <v>137.5142333</v>
      </c>
      <c r="O16" s="9">
        <v>686.1271667</v>
      </c>
      <c r="P16" s="9">
        <v>137.6734667</v>
      </c>
      <c r="Q16" s="9">
        <v>685.0445</v>
      </c>
      <c r="R16" s="9">
        <v>137.7138667</v>
      </c>
      <c r="S16" s="9">
        <v>686.286</v>
      </c>
      <c r="T16" s="9">
        <v>137.78555</v>
      </c>
      <c r="U16" s="9">
        <v>345.4026667</v>
      </c>
      <c r="V16" s="9">
        <v>137.44305</v>
      </c>
      <c r="W16" s="9">
        <v>688.6903333</v>
      </c>
      <c r="X16" s="9">
        <v>137.5431167</v>
      </c>
      <c r="Y16" s="9">
        <v>685.973</v>
      </c>
      <c r="Z16" s="9">
        <v>137.5671333</v>
      </c>
      <c r="AA16" s="9">
        <v>685.562</v>
      </c>
      <c r="AB16" s="9">
        <v>138.1407833</v>
      </c>
      <c r="AC16" s="9">
        <v>689.3851667</v>
      </c>
      <c r="AD16" s="9">
        <v>137.4525667</v>
      </c>
      <c r="AE16" s="9">
        <v>689.608</v>
      </c>
      <c r="AF16" s="9">
        <v>137.5908667</v>
      </c>
      <c r="AG16" s="9">
        <v>684.8643333</v>
      </c>
      <c r="AH16" s="9">
        <v>137.4683</v>
      </c>
      <c r="AI16" s="9">
        <v>957.5126667</v>
      </c>
      <c r="AJ16" s="9">
        <v>137.4187</v>
      </c>
      <c r="AK16" s="9">
        <v>42.98118333</v>
      </c>
      <c r="AL16" s="9">
        <v>8.651276667</v>
      </c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</row>
    <row r="17" ht="15.75" customHeight="1">
      <c r="A17" s="9">
        <v>40.47525167</v>
      </c>
      <c r="B17" s="9">
        <v>2.662121667</v>
      </c>
      <c r="C17" s="9">
        <v>32.97585167</v>
      </c>
      <c r="D17" s="9">
        <v>1.193034833</v>
      </c>
      <c r="E17" s="9">
        <v>23.19181667</v>
      </c>
      <c r="F17" s="9">
        <v>2.514361667</v>
      </c>
      <c r="G17" s="9">
        <v>34.4137</v>
      </c>
      <c r="H17" s="9">
        <v>2.011716667</v>
      </c>
      <c r="I17" s="9">
        <v>42.30066667</v>
      </c>
      <c r="J17" s="9">
        <v>2.566108333</v>
      </c>
      <c r="K17" s="9">
        <v>46.26961667</v>
      </c>
      <c r="L17" s="9">
        <v>2.019616667</v>
      </c>
      <c r="M17" s="9">
        <v>40.47685</v>
      </c>
      <c r="N17" s="9">
        <v>1.509635667</v>
      </c>
      <c r="O17" s="9">
        <v>31.66663333</v>
      </c>
      <c r="P17" s="9">
        <v>1.882028333</v>
      </c>
      <c r="Q17" s="9">
        <v>50.98685</v>
      </c>
      <c r="R17" s="9">
        <v>2.701206667</v>
      </c>
      <c r="S17" s="9">
        <v>40.2797</v>
      </c>
      <c r="T17" s="9">
        <v>1.781756667</v>
      </c>
      <c r="U17" s="9">
        <v>24.95161667</v>
      </c>
      <c r="V17" s="9">
        <v>1.802401667</v>
      </c>
      <c r="W17" s="9">
        <v>48.53701667</v>
      </c>
      <c r="X17" s="9">
        <v>2.88069</v>
      </c>
      <c r="Y17" s="9">
        <v>40.19655</v>
      </c>
      <c r="Z17" s="9">
        <v>2.130051667</v>
      </c>
      <c r="AA17" s="9">
        <v>37.61698333</v>
      </c>
      <c r="AB17" s="9">
        <v>7.797</v>
      </c>
      <c r="AC17" s="9">
        <v>39.00048333</v>
      </c>
      <c r="AD17" s="9">
        <v>1.589846333</v>
      </c>
      <c r="AE17" s="9">
        <v>47.21101667</v>
      </c>
      <c r="AF17" s="9">
        <v>1.935151667</v>
      </c>
      <c r="AG17" s="9">
        <v>87.0899</v>
      </c>
      <c r="AH17" s="9">
        <v>1.983531667</v>
      </c>
      <c r="AI17" s="9">
        <v>52.70446667</v>
      </c>
      <c r="AJ17" s="9">
        <v>2.198966667</v>
      </c>
      <c r="AK17" s="9">
        <v>3.23128</v>
      </c>
      <c r="AL17" s="9">
        <v>0.316815</v>
      </c>
    </row>
    <row r="18" ht="15.75" customHeight="1">
      <c r="A18" s="9">
        <v>57.65979833</v>
      </c>
      <c r="B18" s="9">
        <v>13.04459667</v>
      </c>
      <c r="C18" s="9">
        <v>45.47317333</v>
      </c>
      <c r="D18" s="9">
        <v>28.04335</v>
      </c>
      <c r="E18" s="9">
        <v>30.99768333</v>
      </c>
      <c r="F18" s="9">
        <v>13.21913833</v>
      </c>
      <c r="G18" s="9">
        <v>59.74443333</v>
      </c>
      <c r="H18" s="9">
        <v>13.65399833</v>
      </c>
      <c r="I18" s="9">
        <v>59.50493333</v>
      </c>
      <c r="J18" s="9">
        <v>13.26368167</v>
      </c>
      <c r="K18" s="9">
        <v>32.69108333</v>
      </c>
      <c r="L18" s="9">
        <v>13.23079167</v>
      </c>
      <c r="M18" s="9">
        <v>49.52925</v>
      </c>
      <c r="N18" s="9">
        <v>13.18731</v>
      </c>
      <c r="O18" s="9">
        <v>55.12256667</v>
      </c>
      <c r="P18" s="9">
        <v>12.838295</v>
      </c>
      <c r="Q18" s="9">
        <v>33.80103333</v>
      </c>
      <c r="R18" s="9">
        <v>13.83164333</v>
      </c>
      <c r="S18" s="9">
        <v>51.01458333</v>
      </c>
      <c r="T18" s="9">
        <v>13.06188333</v>
      </c>
      <c r="U18" s="9">
        <v>30.15708333</v>
      </c>
      <c r="V18" s="9">
        <v>12.574785</v>
      </c>
      <c r="W18" s="9">
        <v>44.69686667</v>
      </c>
      <c r="X18" s="9">
        <v>13.6025</v>
      </c>
      <c r="Y18" s="9">
        <v>48.86631667</v>
      </c>
      <c r="Z18" s="9">
        <v>15.29975333</v>
      </c>
      <c r="AA18" s="9">
        <v>44.85436667</v>
      </c>
      <c r="AB18" s="9">
        <v>16.543635</v>
      </c>
      <c r="AC18" s="9">
        <v>60.1731</v>
      </c>
      <c r="AD18" s="9">
        <v>11.92861667</v>
      </c>
      <c r="AE18" s="9">
        <v>54.2681</v>
      </c>
      <c r="AF18" s="9">
        <v>13.44266833</v>
      </c>
      <c r="AG18" s="9">
        <v>58.83353333</v>
      </c>
      <c r="AH18" s="9">
        <v>12.99457833</v>
      </c>
      <c r="AI18" s="9">
        <v>32.1817</v>
      </c>
      <c r="AJ18" s="9">
        <v>14.88080167</v>
      </c>
      <c r="AK18" s="9">
        <v>6.574401667</v>
      </c>
      <c r="AL18" s="9">
        <v>1.1121885</v>
      </c>
    </row>
    <row r="19" ht="15.75" customHeight="1">
      <c r="A19" s="9">
        <v>65.27566</v>
      </c>
      <c r="B19" s="9">
        <v>14.12650333</v>
      </c>
      <c r="C19" s="9">
        <v>59.14503167</v>
      </c>
      <c r="D19" s="9">
        <v>34.95905</v>
      </c>
      <c r="E19" s="9">
        <v>43.31771667</v>
      </c>
      <c r="F19" s="9">
        <v>14.02775</v>
      </c>
      <c r="G19" s="9">
        <v>63.74635</v>
      </c>
      <c r="H19" s="9">
        <v>14.093375</v>
      </c>
      <c r="I19" s="9">
        <v>67.3746</v>
      </c>
      <c r="J19" s="9">
        <v>14.63554667</v>
      </c>
      <c r="K19" s="9">
        <v>61.20306667</v>
      </c>
      <c r="L19" s="9">
        <v>13.28201333</v>
      </c>
      <c r="M19" s="9">
        <v>66.13055</v>
      </c>
      <c r="N19" s="9">
        <v>22.72151667</v>
      </c>
      <c r="O19" s="9">
        <v>64.23076667</v>
      </c>
      <c r="P19" s="9">
        <v>14.50201</v>
      </c>
      <c r="Q19" s="9">
        <v>58.5914</v>
      </c>
      <c r="R19" s="9">
        <v>14.88991333</v>
      </c>
      <c r="S19" s="9">
        <v>59.19573333</v>
      </c>
      <c r="T19" s="9">
        <v>15.08287167</v>
      </c>
      <c r="U19" s="9">
        <v>45.48845</v>
      </c>
      <c r="V19" s="9">
        <v>13.30816333</v>
      </c>
      <c r="W19" s="9">
        <v>61.76361667</v>
      </c>
      <c r="X19" s="9">
        <v>13.57364833</v>
      </c>
      <c r="Y19" s="9">
        <v>59.31885</v>
      </c>
      <c r="Z19" s="9">
        <v>15.01283333</v>
      </c>
      <c r="AA19" s="9">
        <v>59.53781667</v>
      </c>
      <c r="AB19" s="9">
        <v>20.10595</v>
      </c>
      <c r="AC19" s="9">
        <v>94.41411667</v>
      </c>
      <c r="AD19" s="9">
        <v>14.06341333</v>
      </c>
      <c r="AE19" s="9">
        <v>60.20593333</v>
      </c>
      <c r="AF19" s="9">
        <v>13.94560167</v>
      </c>
      <c r="AG19" s="9">
        <v>61.82075</v>
      </c>
      <c r="AH19" s="9">
        <v>13.73326167</v>
      </c>
      <c r="AI19" s="9">
        <v>61.01358333</v>
      </c>
      <c r="AJ19" s="9">
        <v>14.28274167</v>
      </c>
      <c r="AK19" s="9">
        <v>6.78556</v>
      </c>
      <c r="AL19" s="9">
        <v>1.311412333</v>
      </c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</row>
    <row r="20" ht="15.75" customHeight="1">
      <c r="A20" s="9">
        <v>58.712765</v>
      </c>
      <c r="B20" s="9">
        <v>13.72917667</v>
      </c>
      <c r="C20" s="9">
        <v>38.94583167</v>
      </c>
      <c r="D20" s="9">
        <v>27.87716667</v>
      </c>
      <c r="E20" s="9">
        <v>31.51351667</v>
      </c>
      <c r="F20" s="9">
        <v>11.97291167</v>
      </c>
      <c r="G20" s="9">
        <v>61.60885</v>
      </c>
      <c r="H20" s="9">
        <v>13.35320833</v>
      </c>
      <c r="I20" s="9">
        <v>59.69603333</v>
      </c>
      <c r="J20" s="9">
        <v>13.16750833</v>
      </c>
      <c r="K20" s="9">
        <v>42.49598333</v>
      </c>
      <c r="L20" s="9">
        <v>12.79589167</v>
      </c>
      <c r="M20" s="9">
        <v>46.88548333</v>
      </c>
      <c r="N20" s="9">
        <v>14.846065</v>
      </c>
      <c r="O20" s="9">
        <v>60.29576667</v>
      </c>
      <c r="P20" s="9">
        <v>13.81064333</v>
      </c>
      <c r="Q20" s="9">
        <v>35.4425</v>
      </c>
      <c r="R20" s="9">
        <v>13.68901667</v>
      </c>
      <c r="S20" s="9">
        <v>56.54031667</v>
      </c>
      <c r="T20" s="9">
        <v>13.051525</v>
      </c>
      <c r="U20" s="9">
        <v>32.58458333</v>
      </c>
      <c r="V20" s="9">
        <v>13.08626333</v>
      </c>
      <c r="W20" s="9">
        <v>50.59951667</v>
      </c>
      <c r="X20" s="9">
        <v>12.23222333</v>
      </c>
      <c r="Y20" s="9">
        <v>58.25368333</v>
      </c>
      <c r="Z20" s="9">
        <v>12.65611</v>
      </c>
      <c r="AA20" s="9">
        <v>35.48801667</v>
      </c>
      <c r="AB20" s="9">
        <v>16.75636667</v>
      </c>
      <c r="AC20" s="9">
        <v>55.6884</v>
      </c>
      <c r="AD20" s="9">
        <v>12.73214</v>
      </c>
      <c r="AE20" s="9">
        <v>53.54475</v>
      </c>
      <c r="AF20" s="9">
        <v>12.65085667</v>
      </c>
      <c r="AG20" s="9">
        <v>63.61261667</v>
      </c>
      <c r="AH20" s="9">
        <v>13.76260167</v>
      </c>
      <c r="AI20" s="9">
        <v>45.91295</v>
      </c>
      <c r="AJ20" s="9">
        <v>13.75588333</v>
      </c>
      <c r="AK20" s="9">
        <v>6.575191667</v>
      </c>
      <c r="AL20" s="9">
        <v>0.9750496667</v>
      </c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</row>
    <row r="21" ht="15.75" customHeight="1">
      <c r="A21" s="9">
        <v>55.41025833</v>
      </c>
      <c r="B21" s="9">
        <v>7.4873</v>
      </c>
      <c r="C21" s="9">
        <v>27.51867167</v>
      </c>
      <c r="D21" s="9">
        <v>27.70541667</v>
      </c>
      <c r="E21" s="9">
        <v>24.38671667</v>
      </c>
      <c r="F21" s="9">
        <v>8.572233333</v>
      </c>
      <c r="G21" s="9">
        <v>31.13316667</v>
      </c>
      <c r="H21" s="9">
        <v>8.496958333</v>
      </c>
      <c r="I21" s="9">
        <v>28.63098333</v>
      </c>
      <c r="J21" s="9">
        <v>7.448035</v>
      </c>
      <c r="K21" s="9">
        <v>28.79838333</v>
      </c>
      <c r="L21" s="9">
        <v>7.373988333</v>
      </c>
      <c r="M21" s="9">
        <v>29.1552</v>
      </c>
      <c r="N21" s="9">
        <v>13.84486167</v>
      </c>
      <c r="O21" s="9">
        <v>29.76365</v>
      </c>
      <c r="P21" s="9">
        <v>6.68446</v>
      </c>
      <c r="Q21" s="9">
        <v>28.785</v>
      </c>
      <c r="R21" s="9">
        <v>8.855013333</v>
      </c>
      <c r="S21" s="9">
        <v>30.19315</v>
      </c>
      <c r="T21" s="9">
        <v>7.576715</v>
      </c>
      <c r="U21" s="9">
        <v>25.45188333</v>
      </c>
      <c r="V21" s="9">
        <v>9.070166667</v>
      </c>
      <c r="W21" s="9">
        <v>29.59991667</v>
      </c>
      <c r="X21" s="9">
        <v>8.85945</v>
      </c>
      <c r="Y21" s="9">
        <v>30.56201667</v>
      </c>
      <c r="Z21" s="9">
        <v>8.810676667</v>
      </c>
      <c r="AA21" s="9">
        <v>27.6074</v>
      </c>
      <c r="AB21" s="9">
        <v>13.52153333</v>
      </c>
      <c r="AC21" s="9">
        <v>29.86015</v>
      </c>
      <c r="AD21" s="9">
        <v>6.272073333</v>
      </c>
      <c r="AE21" s="9">
        <v>29.80066667</v>
      </c>
      <c r="AF21" s="9">
        <v>7.82881</v>
      </c>
      <c r="AG21" s="9">
        <v>29.65995</v>
      </c>
      <c r="AH21" s="9">
        <v>7.642675</v>
      </c>
      <c r="AI21" s="9">
        <v>29.52765</v>
      </c>
      <c r="AJ21" s="9">
        <v>6.950071667</v>
      </c>
      <c r="AK21" s="9">
        <v>6.57074</v>
      </c>
      <c r="AL21" s="9">
        <v>0.8374156667</v>
      </c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</row>
    <row r="22" ht="15.75" customHeight="1">
      <c r="A22" s="9">
        <v>14.65158383</v>
      </c>
      <c r="B22" s="9">
        <v>2.780975</v>
      </c>
      <c r="C22" s="9">
        <v>13.56615567</v>
      </c>
      <c r="D22" s="9">
        <v>2.68317</v>
      </c>
      <c r="E22" s="9">
        <v>9.320348333</v>
      </c>
      <c r="F22" s="9">
        <v>2.716676667</v>
      </c>
      <c r="G22" s="9">
        <v>13.59018833</v>
      </c>
      <c r="H22" s="9">
        <v>2.762255</v>
      </c>
      <c r="I22" s="9">
        <v>13.49034833</v>
      </c>
      <c r="J22" s="9">
        <v>2.849033333</v>
      </c>
      <c r="K22" s="9">
        <v>13.55591167</v>
      </c>
      <c r="L22" s="9">
        <v>2.757186667</v>
      </c>
      <c r="M22" s="9">
        <v>13.55176</v>
      </c>
      <c r="N22" s="9">
        <v>2.962828333</v>
      </c>
      <c r="O22" s="9">
        <v>13.53656667</v>
      </c>
      <c r="P22" s="9">
        <v>2.78903</v>
      </c>
      <c r="Q22" s="9">
        <v>13.38786167</v>
      </c>
      <c r="R22" s="9">
        <v>2.789153333</v>
      </c>
      <c r="S22" s="9">
        <v>13.42828</v>
      </c>
      <c r="T22" s="9">
        <v>2.799285</v>
      </c>
      <c r="U22" s="9">
        <v>9.340161667</v>
      </c>
      <c r="V22" s="9">
        <v>2.71885</v>
      </c>
      <c r="W22" s="9">
        <v>13.55238</v>
      </c>
      <c r="X22" s="9">
        <v>2.745195</v>
      </c>
      <c r="Y22" s="9">
        <v>13.52451</v>
      </c>
      <c r="Z22" s="9">
        <v>2.720635</v>
      </c>
      <c r="AA22" s="9">
        <v>13.439685</v>
      </c>
      <c r="AB22" s="9">
        <v>2.71637</v>
      </c>
      <c r="AC22" s="9">
        <v>13.57922167</v>
      </c>
      <c r="AD22" s="9">
        <v>2.71279</v>
      </c>
      <c r="AE22" s="9">
        <v>13.54630667</v>
      </c>
      <c r="AF22" s="9">
        <v>2.689128333</v>
      </c>
      <c r="AG22" s="9">
        <v>13.54283333</v>
      </c>
      <c r="AH22" s="9">
        <v>2.715776667</v>
      </c>
      <c r="AI22" s="9">
        <v>13.43491667</v>
      </c>
      <c r="AJ22" s="9">
        <v>2.838631667</v>
      </c>
      <c r="AK22" s="9">
        <v>3.241506667</v>
      </c>
      <c r="AL22" s="9">
        <v>0.3064845</v>
      </c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</row>
    <row r="23" ht="15.75" customHeight="1">
      <c r="A23" s="9">
        <v>60.67709333</v>
      </c>
      <c r="B23" s="9">
        <v>13.26098833</v>
      </c>
      <c r="C23" s="9">
        <v>57.69295</v>
      </c>
      <c r="D23" s="9">
        <v>31.85355</v>
      </c>
      <c r="E23" s="9">
        <v>38.25946667</v>
      </c>
      <c r="F23" s="9">
        <v>12.706045</v>
      </c>
      <c r="G23" s="9">
        <v>63.4706</v>
      </c>
      <c r="H23" s="9">
        <v>15.172765</v>
      </c>
      <c r="I23" s="9">
        <v>69.73845</v>
      </c>
      <c r="J23" s="9">
        <v>14.852565</v>
      </c>
      <c r="K23" s="9">
        <v>58.201</v>
      </c>
      <c r="L23" s="9">
        <v>13.457165</v>
      </c>
      <c r="M23" s="9">
        <v>59.32723333</v>
      </c>
      <c r="N23" s="9">
        <v>16.09365833</v>
      </c>
      <c r="O23" s="9">
        <v>58.45135</v>
      </c>
      <c r="P23" s="9">
        <v>15.70400833</v>
      </c>
      <c r="Q23" s="9">
        <v>57.97176667</v>
      </c>
      <c r="R23" s="9">
        <v>14.64766167</v>
      </c>
      <c r="S23" s="9">
        <v>60.15551667</v>
      </c>
      <c r="T23" s="9">
        <v>15.90418</v>
      </c>
      <c r="U23" s="9">
        <v>37.87885</v>
      </c>
      <c r="V23" s="9">
        <v>14.55795833</v>
      </c>
      <c r="W23" s="9">
        <v>57.96585</v>
      </c>
      <c r="X23" s="9">
        <v>13.55697</v>
      </c>
      <c r="Y23" s="9">
        <v>58.71665</v>
      </c>
      <c r="Z23" s="9">
        <v>14.503295</v>
      </c>
      <c r="AA23" s="9">
        <v>58.07898333</v>
      </c>
      <c r="AB23" s="9">
        <v>14.45564833</v>
      </c>
      <c r="AC23" s="9">
        <v>59.39948333</v>
      </c>
      <c r="AD23" s="9">
        <v>13.33600667</v>
      </c>
      <c r="AE23" s="9">
        <v>58.28615</v>
      </c>
      <c r="AF23" s="9">
        <v>17.10555</v>
      </c>
      <c r="AG23" s="9">
        <v>57.49653333</v>
      </c>
      <c r="AH23" s="9">
        <v>14.081855</v>
      </c>
      <c r="AI23" s="9">
        <v>59.92253333</v>
      </c>
      <c r="AJ23" s="9">
        <v>14.541965</v>
      </c>
      <c r="AK23" s="9">
        <v>7.15577</v>
      </c>
      <c r="AL23" s="9">
        <v>1.347819</v>
      </c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</row>
    <row r="24" ht="15.75" customHeight="1">
      <c r="A24" s="9">
        <v>16.747755</v>
      </c>
      <c r="B24" s="9">
        <v>3.126955</v>
      </c>
      <c r="C24" s="9">
        <v>13.612002</v>
      </c>
      <c r="D24" s="9">
        <v>2.653786667</v>
      </c>
      <c r="E24" s="9">
        <v>25.8211</v>
      </c>
      <c r="F24" s="9">
        <v>3.382156667</v>
      </c>
      <c r="G24" s="9">
        <v>32.74051667</v>
      </c>
      <c r="H24" s="9">
        <v>3.607478333</v>
      </c>
      <c r="I24" s="9">
        <v>32.22811667</v>
      </c>
      <c r="J24" s="9">
        <v>4.246685</v>
      </c>
      <c r="K24" s="9">
        <v>16.00454167</v>
      </c>
      <c r="L24" s="9">
        <v>2.581228333</v>
      </c>
      <c r="M24" s="9">
        <v>24.87906667</v>
      </c>
      <c r="N24" s="9">
        <v>3.530245</v>
      </c>
      <c r="O24" s="9">
        <v>20.0526</v>
      </c>
      <c r="P24" s="9">
        <v>4.894021667</v>
      </c>
      <c r="Q24" s="9">
        <v>11.757775</v>
      </c>
      <c r="R24" s="9">
        <v>2.930143333</v>
      </c>
      <c r="S24" s="9">
        <v>13.20110333</v>
      </c>
      <c r="T24" s="9">
        <v>3.09859</v>
      </c>
      <c r="U24" s="9">
        <v>16.039185</v>
      </c>
      <c r="V24" s="9">
        <v>4.222108333</v>
      </c>
      <c r="W24" s="9">
        <v>14.12061833</v>
      </c>
      <c r="X24" s="9">
        <v>3.209305</v>
      </c>
      <c r="Y24" s="9">
        <v>20.81915</v>
      </c>
      <c r="Z24" s="9">
        <v>2.879403333</v>
      </c>
      <c r="AA24" s="9">
        <v>21.375</v>
      </c>
      <c r="AB24" s="9">
        <v>3.688993333</v>
      </c>
      <c r="AC24" s="9">
        <v>26.21313333</v>
      </c>
      <c r="AD24" s="9">
        <v>3.15903</v>
      </c>
      <c r="AE24" s="9">
        <v>21.52325</v>
      </c>
      <c r="AF24" s="9">
        <v>3.864203333</v>
      </c>
      <c r="AG24" s="9">
        <v>14.33448667</v>
      </c>
      <c r="AH24" s="9">
        <v>2.564735</v>
      </c>
      <c r="AI24" s="9">
        <v>12.871525</v>
      </c>
      <c r="AJ24" s="9">
        <v>4.42249</v>
      </c>
      <c r="AK24" s="9">
        <v>3.306546667</v>
      </c>
      <c r="AL24" s="9">
        <v>0.3546326667</v>
      </c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</row>
    <row r="25" ht="15.75" customHeight="1">
      <c r="A25" s="9">
        <v>868.7135667</v>
      </c>
      <c r="B25" s="9">
        <v>171.2486667</v>
      </c>
      <c r="C25" s="9">
        <v>854.5440167</v>
      </c>
      <c r="D25" s="9">
        <v>170.9046667</v>
      </c>
      <c r="E25" s="9">
        <v>544.4216667</v>
      </c>
      <c r="F25" s="9">
        <v>171.288</v>
      </c>
      <c r="G25" s="9">
        <v>855.7958333</v>
      </c>
      <c r="H25" s="9">
        <v>171.9061667</v>
      </c>
      <c r="I25" s="9">
        <v>879.057</v>
      </c>
      <c r="J25" s="9">
        <v>171.2695</v>
      </c>
      <c r="K25" s="9">
        <v>854.2023333</v>
      </c>
      <c r="L25" s="9">
        <v>171.4683333</v>
      </c>
      <c r="M25" s="9">
        <v>854.5996667</v>
      </c>
      <c r="N25" s="9">
        <v>208.7641667</v>
      </c>
      <c r="O25" s="9">
        <v>854.3745</v>
      </c>
      <c r="P25" s="9">
        <v>171.3461667</v>
      </c>
      <c r="Q25" s="9">
        <v>854.0605</v>
      </c>
      <c r="R25" s="9">
        <v>171.2705</v>
      </c>
      <c r="S25" s="9">
        <v>853.6368333</v>
      </c>
      <c r="T25" s="9">
        <v>172.311</v>
      </c>
      <c r="U25" s="9">
        <v>538.4701667</v>
      </c>
      <c r="V25" s="9">
        <v>171.2456667</v>
      </c>
      <c r="W25" s="9">
        <v>857.156</v>
      </c>
      <c r="X25" s="9">
        <v>171.2881667</v>
      </c>
      <c r="Y25" s="9">
        <v>854.5641667</v>
      </c>
      <c r="Z25" s="9">
        <v>171.2618333</v>
      </c>
      <c r="AA25" s="9">
        <v>854.5111667</v>
      </c>
      <c r="AB25" s="9">
        <v>171.2161667</v>
      </c>
      <c r="AC25" s="9">
        <v>854.2343333</v>
      </c>
      <c r="AD25" s="9">
        <v>171.2283333</v>
      </c>
      <c r="AE25" s="9">
        <v>856.8395</v>
      </c>
      <c r="AF25" s="9">
        <v>171.275</v>
      </c>
      <c r="AG25" s="9">
        <v>853.9145</v>
      </c>
      <c r="AH25" s="9">
        <v>171.249</v>
      </c>
      <c r="AI25" s="9">
        <v>854.6336667</v>
      </c>
      <c r="AJ25" s="9">
        <v>171.2948333</v>
      </c>
      <c r="AK25" s="9">
        <v>54.21406667</v>
      </c>
      <c r="AL25" s="9">
        <v>21.3636</v>
      </c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</row>
    <row r="26" ht="15.75" customHeight="1">
      <c r="A26" s="9">
        <v>54.921385</v>
      </c>
      <c r="B26" s="9">
        <v>11.30990667</v>
      </c>
      <c r="C26" s="9">
        <v>57.854205</v>
      </c>
      <c r="D26" s="9">
        <v>10.99104</v>
      </c>
      <c r="E26" s="9">
        <v>48.28855</v>
      </c>
      <c r="F26" s="9">
        <v>11.022315</v>
      </c>
      <c r="G26" s="9">
        <v>57.50111667</v>
      </c>
      <c r="H26" s="9">
        <v>12.10147333</v>
      </c>
      <c r="I26" s="9">
        <v>55.20956667</v>
      </c>
      <c r="J26" s="9">
        <v>11.03308667</v>
      </c>
      <c r="K26" s="9">
        <v>54.65706667</v>
      </c>
      <c r="L26" s="9">
        <v>11.46825167</v>
      </c>
      <c r="M26" s="9">
        <v>55.23143333</v>
      </c>
      <c r="N26" s="9">
        <v>12.06329</v>
      </c>
      <c r="O26" s="9">
        <v>53.96741667</v>
      </c>
      <c r="P26" s="9">
        <v>11.32080167</v>
      </c>
      <c r="Q26" s="9">
        <v>57.01766667</v>
      </c>
      <c r="R26" s="9">
        <v>11.36103</v>
      </c>
      <c r="S26" s="9">
        <v>62.75683333</v>
      </c>
      <c r="T26" s="9">
        <v>11.00550667</v>
      </c>
      <c r="U26" s="9">
        <v>37.77085</v>
      </c>
      <c r="V26" s="9">
        <v>10.94038333</v>
      </c>
      <c r="W26" s="9">
        <v>63.03136667</v>
      </c>
      <c r="X26" s="9">
        <v>12.832455</v>
      </c>
      <c r="Y26" s="9">
        <v>55.03033333</v>
      </c>
      <c r="Z26" s="9">
        <v>11.03472667</v>
      </c>
      <c r="AA26" s="9">
        <v>56.32833333</v>
      </c>
      <c r="AB26" s="9">
        <v>12.93684167</v>
      </c>
      <c r="AC26" s="9">
        <v>54.12486667</v>
      </c>
      <c r="AD26" s="9">
        <v>10.93331833</v>
      </c>
      <c r="AE26" s="9">
        <v>54.44878333</v>
      </c>
      <c r="AF26" s="9">
        <v>10.89395333</v>
      </c>
      <c r="AG26" s="9">
        <v>54.68331667</v>
      </c>
      <c r="AH26" s="9">
        <v>12.098815</v>
      </c>
      <c r="AI26" s="9">
        <v>57.78763333</v>
      </c>
      <c r="AJ26" s="9">
        <v>12.09011833</v>
      </c>
      <c r="AK26" s="9">
        <v>7.105851667</v>
      </c>
      <c r="AL26" s="9">
        <v>1.321844167</v>
      </c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</row>
    <row r="27" ht="15.75" customHeight="1">
      <c r="A27" s="9">
        <v>72.08285</v>
      </c>
      <c r="B27" s="9">
        <v>14.55024833</v>
      </c>
      <c r="C27" s="9">
        <v>78.273955</v>
      </c>
      <c r="D27" s="9">
        <v>11.04721833</v>
      </c>
      <c r="E27" s="9">
        <v>51.75006667</v>
      </c>
      <c r="F27" s="9">
        <v>16.69818333</v>
      </c>
      <c r="G27" s="9">
        <v>70.06535</v>
      </c>
      <c r="H27" s="9">
        <v>16.08684167</v>
      </c>
      <c r="I27" s="9">
        <v>70.00825</v>
      </c>
      <c r="J27" s="9">
        <v>15.371465</v>
      </c>
      <c r="K27" s="9">
        <v>71.71478333</v>
      </c>
      <c r="L27" s="9">
        <v>14.50429833</v>
      </c>
      <c r="M27" s="9">
        <v>78.3028</v>
      </c>
      <c r="N27" s="9">
        <v>20.12746667</v>
      </c>
      <c r="O27" s="9">
        <v>72.16148333</v>
      </c>
      <c r="P27" s="9">
        <v>14.42353833</v>
      </c>
      <c r="Q27" s="9">
        <v>71.92466667</v>
      </c>
      <c r="R27" s="9">
        <v>14.90760167</v>
      </c>
      <c r="S27" s="9">
        <v>77.29118333</v>
      </c>
      <c r="T27" s="9">
        <v>16.058825</v>
      </c>
      <c r="U27" s="9">
        <v>51.26033333</v>
      </c>
      <c r="V27" s="9">
        <v>14.473385</v>
      </c>
      <c r="W27" s="9">
        <v>70.65643333</v>
      </c>
      <c r="X27" s="9">
        <v>13.50910167</v>
      </c>
      <c r="Y27" s="9">
        <v>71.87518333</v>
      </c>
      <c r="Z27" s="9">
        <v>13.3309</v>
      </c>
      <c r="AA27" s="9">
        <v>79.01286667</v>
      </c>
      <c r="AB27" s="9">
        <v>15.45469667</v>
      </c>
      <c r="AC27" s="9">
        <v>69.25433333</v>
      </c>
      <c r="AD27" s="9">
        <v>13.140565</v>
      </c>
      <c r="AE27" s="9">
        <v>75.08745</v>
      </c>
      <c r="AF27" s="9">
        <v>14.34202</v>
      </c>
      <c r="AG27" s="9">
        <v>75.96995</v>
      </c>
      <c r="AH27" s="9">
        <v>13.71119833</v>
      </c>
      <c r="AI27" s="9">
        <v>70.3252</v>
      </c>
      <c r="AJ27" s="9">
        <v>13.63546167</v>
      </c>
      <c r="AK27" s="9">
        <v>7.086691667</v>
      </c>
      <c r="AL27" s="9">
        <v>1.320716667</v>
      </c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</row>
    <row r="28" ht="15.75" customHeight="1">
      <c r="A28" s="9">
        <v>23.86132667</v>
      </c>
      <c r="B28" s="9">
        <v>2.36191</v>
      </c>
      <c r="C28" s="9">
        <v>17.40702667</v>
      </c>
      <c r="D28" s="9">
        <v>1.778541667</v>
      </c>
      <c r="E28" s="9">
        <v>14.58901167</v>
      </c>
      <c r="F28" s="9">
        <v>4.57899</v>
      </c>
      <c r="G28" s="9">
        <v>24.8234</v>
      </c>
      <c r="H28" s="9">
        <v>3.154148333</v>
      </c>
      <c r="I28" s="9">
        <v>17.59073333</v>
      </c>
      <c r="J28" s="9">
        <v>3.064058333</v>
      </c>
      <c r="K28" s="9">
        <v>16.082735</v>
      </c>
      <c r="L28" s="9">
        <v>2.962133333</v>
      </c>
      <c r="M28" s="9">
        <v>28.2572</v>
      </c>
      <c r="N28" s="9">
        <v>3.57633</v>
      </c>
      <c r="O28" s="9">
        <v>28.12956667</v>
      </c>
      <c r="P28" s="9">
        <v>3.279651667</v>
      </c>
      <c r="Q28" s="9">
        <v>17.55271667</v>
      </c>
      <c r="R28" s="9">
        <v>4.177121667</v>
      </c>
      <c r="S28" s="9">
        <v>16.9806</v>
      </c>
      <c r="T28" s="9">
        <v>3.54491</v>
      </c>
      <c r="U28" s="9">
        <v>18.60318333</v>
      </c>
      <c r="V28" s="9">
        <v>3.627366667</v>
      </c>
      <c r="W28" s="9">
        <v>37.75531667</v>
      </c>
      <c r="X28" s="9">
        <v>2.504168333</v>
      </c>
      <c r="Y28" s="9">
        <v>31.87455</v>
      </c>
      <c r="Z28" s="9">
        <v>3.190093333</v>
      </c>
      <c r="AA28" s="9">
        <v>25.01561667</v>
      </c>
      <c r="AB28" s="9">
        <v>4.224503333</v>
      </c>
      <c r="AC28" s="9">
        <v>27.02536667</v>
      </c>
      <c r="AD28" s="9">
        <v>2.575988333</v>
      </c>
      <c r="AE28" s="9">
        <v>26.20846667</v>
      </c>
      <c r="AF28" s="9">
        <v>2.883813333</v>
      </c>
      <c r="AG28" s="9">
        <v>26.7412</v>
      </c>
      <c r="AH28" s="9">
        <v>2.538025</v>
      </c>
      <c r="AI28" s="9">
        <v>26.71776667</v>
      </c>
      <c r="AJ28" s="9">
        <v>3.101755</v>
      </c>
      <c r="AK28" s="9">
        <v>3.246756667</v>
      </c>
      <c r="AL28" s="9">
        <v>0.3518796667</v>
      </c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</row>
    <row r="29" ht="15.75" customHeight="1">
      <c r="A29" s="9">
        <v>42.75686833</v>
      </c>
      <c r="B29" s="9">
        <v>8.38754</v>
      </c>
      <c r="C29" s="9">
        <v>44.44654833</v>
      </c>
      <c r="D29" s="9">
        <v>6.33286</v>
      </c>
      <c r="E29" s="9">
        <v>33.53595</v>
      </c>
      <c r="F29" s="9">
        <v>10.21889667</v>
      </c>
      <c r="G29" s="9">
        <v>45.58693333</v>
      </c>
      <c r="H29" s="9">
        <v>9.35931</v>
      </c>
      <c r="I29" s="9">
        <v>45.40385</v>
      </c>
      <c r="J29" s="9">
        <v>8.862716667</v>
      </c>
      <c r="K29" s="9">
        <v>46.49881667</v>
      </c>
      <c r="L29" s="9">
        <v>7.811855</v>
      </c>
      <c r="M29" s="9">
        <v>50.78183333</v>
      </c>
      <c r="N29" s="9">
        <v>9.954285</v>
      </c>
      <c r="O29" s="9">
        <v>50.6304</v>
      </c>
      <c r="P29" s="9">
        <v>10.61087167</v>
      </c>
      <c r="Q29" s="9">
        <v>44.56951667</v>
      </c>
      <c r="R29" s="9">
        <v>9.509565</v>
      </c>
      <c r="S29" s="9">
        <v>48.03543333</v>
      </c>
      <c r="T29" s="9">
        <v>8.772335</v>
      </c>
      <c r="U29" s="9">
        <v>31.78813333</v>
      </c>
      <c r="V29" s="9">
        <v>9.505798333</v>
      </c>
      <c r="W29" s="9">
        <v>56.60921667</v>
      </c>
      <c r="X29" s="9">
        <v>7.021893333</v>
      </c>
      <c r="Y29" s="9">
        <v>45.70805</v>
      </c>
      <c r="Z29" s="9">
        <v>9.49945</v>
      </c>
      <c r="AA29" s="9">
        <v>46.60798333</v>
      </c>
      <c r="AB29" s="9">
        <v>9.078168333</v>
      </c>
      <c r="AC29" s="9">
        <v>49.77293333</v>
      </c>
      <c r="AD29" s="9">
        <v>8.404878333</v>
      </c>
      <c r="AE29" s="9">
        <v>54.92731667</v>
      </c>
      <c r="AF29" s="9">
        <v>8.176718333</v>
      </c>
      <c r="AG29" s="9">
        <v>55.11068333</v>
      </c>
      <c r="AH29" s="9">
        <v>7.444078333</v>
      </c>
      <c r="AI29" s="9">
        <v>47.92316667</v>
      </c>
      <c r="AJ29" s="9">
        <v>8.223243333</v>
      </c>
      <c r="AK29" s="9">
        <v>4.886515</v>
      </c>
      <c r="AL29" s="9">
        <v>0.666088</v>
      </c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</row>
    <row r="30" ht="15.75" customHeight="1">
      <c r="A30" s="9">
        <v>66.88206</v>
      </c>
      <c r="B30" s="9">
        <v>13.98242167</v>
      </c>
      <c r="C30" s="9">
        <v>68.76464167</v>
      </c>
      <c r="D30" s="9">
        <v>28.82378333</v>
      </c>
      <c r="E30" s="9">
        <v>44.90266667</v>
      </c>
      <c r="F30" s="9">
        <v>13.87136667</v>
      </c>
      <c r="G30" s="9">
        <v>69.59645</v>
      </c>
      <c r="H30" s="9">
        <v>14.23145667</v>
      </c>
      <c r="I30" s="9">
        <v>66.64316667</v>
      </c>
      <c r="J30" s="9">
        <v>15.19476167</v>
      </c>
      <c r="K30" s="9">
        <v>68.76758333</v>
      </c>
      <c r="L30" s="9">
        <v>15.112455</v>
      </c>
      <c r="M30" s="9">
        <v>74.35941667</v>
      </c>
      <c r="N30" s="9">
        <v>14.85429833</v>
      </c>
      <c r="O30" s="9">
        <v>67.3398</v>
      </c>
      <c r="P30" s="9">
        <v>14.82215833</v>
      </c>
      <c r="Q30" s="9">
        <v>69.35913333</v>
      </c>
      <c r="R30" s="9">
        <v>14.21007167</v>
      </c>
      <c r="S30" s="9">
        <v>69.9606</v>
      </c>
      <c r="T30" s="9">
        <v>14.992005</v>
      </c>
      <c r="U30" s="9">
        <v>41.71566667</v>
      </c>
      <c r="V30" s="9">
        <v>14.42295167</v>
      </c>
      <c r="W30" s="9">
        <v>76.08561667</v>
      </c>
      <c r="X30" s="9">
        <v>14.09458167</v>
      </c>
      <c r="Y30" s="9">
        <v>67.50921667</v>
      </c>
      <c r="Z30" s="9">
        <v>13.95367</v>
      </c>
      <c r="AA30" s="9">
        <v>70.56116667</v>
      </c>
      <c r="AB30" s="9">
        <v>15.272535</v>
      </c>
      <c r="AC30" s="9">
        <v>67.82546667</v>
      </c>
      <c r="AD30" s="9">
        <v>12.925615</v>
      </c>
      <c r="AE30" s="9">
        <v>71.7355</v>
      </c>
      <c r="AF30" s="9">
        <v>14.49482333</v>
      </c>
      <c r="AG30" s="9">
        <v>67.86031667</v>
      </c>
      <c r="AH30" s="9">
        <v>13.5606</v>
      </c>
      <c r="AI30" s="9">
        <v>67.81785</v>
      </c>
      <c r="AJ30" s="9">
        <v>15.53558833</v>
      </c>
      <c r="AK30" s="9">
        <v>6.767843333</v>
      </c>
      <c r="AL30" s="9">
        <v>1.318210333</v>
      </c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</row>
    <row r="31" ht="15.75" customHeight="1">
      <c r="A31" s="9">
        <v>32.63634333</v>
      </c>
      <c r="B31" s="9">
        <v>7.669183333</v>
      </c>
      <c r="C31" s="9">
        <v>40.781755</v>
      </c>
      <c r="D31" s="9">
        <v>6.583838333</v>
      </c>
      <c r="E31" s="9">
        <v>32.1986</v>
      </c>
      <c r="F31" s="9">
        <v>8.666118333</v>
      </c>
      <c r="G31" s="9">
        <v>40.97978333</v>
      </c>
      <c r="H31" s="9">
        <v>7.955105</v>
      </c>
      <c r="I31" s="9">
        <v>38.58901667</v>
      </c>
      <c r="J31" s="9">
        <v>10.704675</v>
      </c>
      <c r="K31" s="9">
        <v>43.03565</v>
      </c>
      <c r="L31" s="9">
        <v>9.075996667</v>
      </c>
      <c r="M31" s="9">
        <v>41.63943333</v>
      </c>
      <c r="N31" s="9">
        <v>8.55464</v>
      </c>
      <c r="O31" s="9">
        <v>42.23273333</v>
      </c>
      <c r="P31" s="9">
        <v>7.468135</v>
      </c>
      <c r="Q31" s="9">
        <v>33.21625</v>
      </c>
      <c r="R31" s="9">
        <v>8.039705</v>
      </c>
      <c r="S31" s="9">
        <v>36.91593333</v>
      </c>
      <c r="T31" s="9">
        <v>8.481398333</v>
      </c>
      <c r="U31" s="9">
        <v>28.73746667</v>
      </c>
      <c r="V31" s="9">
        <v>8.086593333</v>
      </c>
      <c r="W31" s="9">
        <v>48.22266667</v>
      </c>
      <c r="X31" s="9">
        <v>8.674631667</v>
      </c>
      <c r="Y31" s="9">
        <v>39.34583333</v>
      </c>
      <c r="Z31" s="9">
        <v>7.832451667</v>
      </c>
      <c r="AA31" s="9">
        <v>38.31758333</v>
      </c>
      <c r="AB31" s="9">
        <v>10.541175</v>
      </c>
      <c r="AC31" s="9">
        <v>39.49998333</v>
      </c>
      <c r="AD31" s="9">
        <v>7.425575</v>
      </c>
      <c r="AE31" s="9">
        <v>49.45546667</v>
      </c>
      <c r="AF31" s="9">
        <v>8.317605</v>
      </c>
      <c r="AG31" s="9">
        <v>36.3322</v>
      </c>
      <c r="AH31" s="9">
        <v>9.23426</v>
      </c>
      <c r="AI31" s="9">
        <v>42.97815</v>
      </c>
      <c r="AJ31" s="9">
        <v>9.580326667</v>
      </c>
      <c r="AK31" s="9">
        <v>4.616611667</v>
      </c>
      <c r="AL31" s="9">
        <v>0.6495165</v>
      </c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</row>
    <row r="32" ht="15.75" customHeight="1">
      <c r="A32" s="9">
        <v>426.6829167</v>
      </c>
      <c r="B32" s="9">
        <v>85.5105</v>
      </c>
      <c r="C32" s="9">
        <v>426.7117833</v>
      </c>
      <c r="D32" s="9">
        <v>85.41268333</v>
      </c>
      <c r="E32" s="9">
        <v>210.5793333</v>
      </c>
      <c r="F32" s="9">
        <v>85.52033333</v>
      </c>
      <c r="G32" s="9">
        <v>426.9448333</v>
      </c>
      <c r="H32" s="9">
        <v>85.5596</v>
      </c>
      <c r="I32" s="9">
        <v>426.7345</v>
      </c>
      <c r="J32" s="9">
        <v>85.52506667</v>
      </c>
      <c r="K32" s="9">
        <v>426.718</v>
      </c>
      <c r="L32" s="9">
        <v>85.63396667</v>
      </c>
      <c r="M32" s="9">
        <v>426.89</v>
      </c>
      <c r="N32" s="9">
        <v>85.78676667</v>
      </c>
      <c r="O32" s="9">
        <v>427.0126667</v>
      </c>
      <c r="P32" s="9">
        <v>85.56145</v>
      </c>
      <c r="Q32" s="9">
        <v>426.3846667</v>
      </c>
      <c r="R32" s="9">
        <v>85.52733333</v>
      </c>
      <c r="S32" s="9">
        <v>426.3788333</v>
      </c>
      <c r="T32" s="9">
        <v>85.5967</v>
      </c>
      <c r="U32" s="9">
        <v>211.5186667</v>
      </c>
      <c r="V32" s="9">
        <v>85.52143333</v>
      </c>
      <c r="W32" s="9">
        <v>426.7475</v>
      </c>
      <c r="X32" s="9">
        <v>85.54191667</v>
      </c>
      <c r="Y32" s="9">
        <v>426.2568333</v>
      </c>
      <c r="Z32" s="9">
        <v>85.52855</v>
      </c>
      <c r="AA32" s="9">
        <v>426.662</v>
      </c>
      <c r="AB32" s="9">
        <v>85.53255</v>
      </c>
      <c r="AC32" s="9">
        <v>426.3111667</v>
      </c>
      <c r="AD32" s="9">
        <v>85.51073333</v>
      </c>
      <c r="AE32" s="9">
        <v>426.6448333</v>
      </c>
      <c r="AF32" s="9">
        <v>85.51013333</v>
      </c>
      <c r="AG32" s="9">
        <v>426.6856667</v>
      </c>
      <c r="AH32" s="9">
        <v>85.51726667</v>
      </c>
      <c r="AI32" s="9">
        <v>426.4415</v>
      </c>
      <c r="AJ32" s="9">
        <v>85.52476667</v>
      </c>
      <c r="AK32" s="9">
        <v>26.61963333</v>
      </c>
      <c r="AL32" s="9">
        <v>5.579806667</v>
      </c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</row>
    <row r="33" ht="15.75" customHeight="1">
      <c r="A33" s="9">
        <v>426.2110833</v>
      </c>
      <c r="B33" s="9">
        <v>85.49018333</v>
      </c>
      <c r="C33" s="9">
        <v>426.2008833</v>
      </c>
      <c r="D33" s="9">
        <v>85.40946667</v>
      </c>
      <c r="E33" s="9">
        <v>211.9341667</v>
      </c>
      <c r="F33" s="9">
        <v>85.49218333</v>
      </c>
      <c r="G33" s="9">
        <v>426.2725</v>
      </c>
      <c r="H33" s="9">
        <v>85.49455</v>
      </c>
      <c r="I33" s="9">
        <v>426.2298333</v>
      </c>
      <c r="J33" s="9">
        <v>85.5114</v>
      </c>
      <c r="K33" s="9">
        <v>426.2975</v>
      </c>
      <c r="L33" s="9">
        <v>85.56971667</v>
      </c>
      <c r="M33" s="9">
        <v>426.2881667</v>
      </c>
      <c r="N33" s="9">
        <v>86.06321667</v>
      </c>
      <c r="O33" s="9">
        <v>426.3745</v>
      </c>
      <c r="P33" s="9">
        <v>85.50341667</v>
      </c>
      <c r="Q33" s="9">
        <v>426.5803333</v>
      </c>
      <c r="R33" s="9">
        <v>85.50153333</v>
      </c>
      <c r="S33" s="9">
        <v>426.2026667</v>
      </c>
      <c r="T33" s="9">
        <v>85.84483333</v>
      </c>
      <c r="U33" s="9">
        <v>212.9456667</v>
      </c>
      <c r="V33" s="9">
        <v>85.51053333</v>
      </c>
      <c r="W33" s="9">
        <v>426.33</v>
      </c>
      <c r="X33" s="9">
        <v>85.528</v>
      </c>
      <c r="Y33" s="9">
        <v>426.4368333</v>
      </c>
      <c r="Z33" s="9">
        <v>85.50006667</v>
      </c>
      <c r="AA33" s="9">
        <v>426.3326667</v>
      </c>
      <c r="AB33" s="9">
        <v>85.55428333</v>
      </c>
      <c r="AC33" s="9">
        <v>426.3073333</v>
      </c>
      <c r="AD33" s="9">
        <v>85.5219</v>
      </c>
      <c r="AE33" s="9">
        <v>426.2726667</v>
      </c>
      <c r="AF33" s="9">
        <v>85.50136667</v>
      </c>
      <c r="AG33" s="9">
        <v>426.427</v>
      </c>
      <c r="AH33" s="9">
        <v>85.84011667</v>
      </c>
      <c r="AI33" s="9">
        <v>426.9298333</v>
      </c>
      <c r="AJ33" s="9">
        <v>85.50276667</v>
      </c>
      <c r="AK33" s="9">
        <v>26.60933333</v>
      </c>
      <c r="AL33" s="9">
        <v>5.511753333</v>
      </c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</row>
    <row r="34" ht="15.75" customHeight="1">
      <c r="A34" s="9">
        <v>32.19962167</v>
      </c>
      <c r="B34" s="9">
        <v>4.9051</v>
      </c>
      <c r="C34" s="9">
        <v>34.469855</v>
      </c>
      <c r="D34" s="9">
        <v>3.221505</v>
      </c>
      <c r="E34" s="9">
        <v>27.1107</v>
      </c>
      <c r="F34" s="9">
        <v>5.2518</v>
      </c>
      <c r="G34" s="9">
        <v>40.33083333</v>
      </c>
      <c r="H34" s="9">
        <v>6.165535</v>
      </c>
      <c r="I34" s="9">
        <v>27.35938333</v>
      </c>
      <c r="J34" s="9">
        <v>6.336698333</v>
      </c>
      <c r="K34" s="9">
        <v>32.4072</v>
      </c>
      <c r="L34" s="9">
        <v>5.381421667</v>
      </c>
      <c r="M34" s="9">
        <v>35.8774</v>
      </c>
      <c r="N34" s="9">
        <v>9.518308333</v>
      </c>
      <c r="O34" s="9">
        <v>39.00278333</v>
      </c>
      <c r="P34" s="9">
        <v>6.70597</v>
      </c>
      <c r="Q34" s="9">
        <v>35.58653333</v>
      </c>
      <c r="R34" s="9">
        <v>6.726678333</v>
      </c>
      <c r="S34" s="9">
        <v>26.1154</v>
      </c>
      <c r="T34" s="9">
        <v>7.881796667</v>
      </c>
      <c r="U34" s="9">
        <v>24.23588333</v>
      </c>
      <c r="V34" s="9">
        <v>6.64395</v>
      </c>
      <c r="W34" s="9">
        <v>30.4068</v>
      </c>
      <c r="X34" s="9">
        <v>5.720478333</v>
      </c>
      <c r="Y34" s="9">
        <v>27.44253333</v>
      </c>
      <c r="Z34" s="9">
        <v>5.079648333</v>
      </c>
      <c r="AA34" s="9">
        <v>36.0712</v>
      </c>
      <c r="AB34" s="9">
        <v>8.251043333</v>
      </c>
      <c r="AC34" s="9">
        <v>35.32083333</v>
      </c>
      <c r="AD34" s="9">
        <v>5.45932</v>
      </c>
      <c r="AE34" s="9">
        <v>35.51583333</v>
      </c>
      <c r="AF34" s="9">
        <v>5.820795</v>
      </c>
      <c r="AG34" s="9">
        <v>26.92458333</v>
      </c>
      <c r="AH34" s="9">
        <v>4.983436667</v>
      </c>
      <c r="AI34" s="9">
        <v>30.53496667</v>
      </c>
      <c r="AJ34" s="9">
        <v>6.782175</v>
      </c>
      <c r="AK34" s="9">
        <v>3.53234</v>
      </c>
      <c r="AL34" s="9">
        <v>0.667</v>
      </c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</row>
    <row r="35" ht="15.75" customHeight="1">
      <c r="A35" s="9">
        <v>52.803705</v>
      </c>
      <c r="B35" s="9">
        <v>3.211955</v>
      </c>
      <c r="C35" s="9">
        <v>84.52606333</v>
      </c>
      <c r="D35" s="9">
        <v>1.98648</v>
      </c>
      <c r="E35" s="9">
        <v>25.1969</v>
      </c>
      <c r="F35" s="9">
        <v>3.02922</v>
      </c>
      <c r="G35" s="9">
        <v>71.34451667</v>
      </c>
      <c r="H35" s="9">
        <v>4.279443333</v>
      </c>
      <c r="I35" s="9">
        <v>42.18513333</v>
      </c>
      <c r="J35" s="9">
        <v>3.352458333</v>
      </c>
      <c r="K35" s="9">
        <v>66.20655</v>
      </c>
      <c r="L35" s="9">
        <v>3.21641</v>
      </c>
      <c r="M35" s="9">
        <v>50.48408333</v>
      </c>
      <c r="N35" s="9">
        <v>3.820846667</v>
      </c>
      <c r="O35" s="9">
        <v>57.27468333</v>
      </c>
      <c r="P35" s="9">
        <v>4.154688333</v>
      </c>
      <c r="Q35" s="1" t="s">
        <v>85</v>
      </c>
      <c r="R35" s="1" t="s">
        <v>85</v>
      </c>
      <c r="S35" s="9">
        <v>67.30946667</v>
      </c>
      <c r="T35" s="9">
        <v>4.488688333</v>
      </c>
      <c r="U35" s="9">
        <v>30.24475</v>
      </c>
      <c r="V35" s="9">
        <v>4.069691667</v>
      </c>
      <c r="W35" s="9">
        <v>40.21225</v>
      </c>
      <c r="X35" s="9">
        <v>3.476226667</v>
      </c>
      <c r="Y35" s="9">
        <v>42.9138</v>
      </c>
      <c r="Z35" s="9">
        <v>5.21543</v>
      </c>
      <c r="AA35" s="9">
        <v>56.51868333</v>
      </c>
      <c r="AB35" s="9">
        <v>4.666578333</v>
      </c>
      <c r="AC35" s="9">
        <v>53.00701667</v>
      </c>
      <c r="AD35" s="9">
        <v>4.15021</v>
      </c>
      <c r="AE35" s="9">
        <v>75.31458333</v>
      </c>
      <c r="AF35" s="9">
        <v>2.802558333</v>
      </c>
      <c r="AG35" s="9">
        <v>55.08536667</v>
      </c>
      <c r="AH35" s="9">
        <v>3.306456667</v>
      </c>
      <c r="AI35" s="9">
        <v>53.0861</v>
      </c>
      <c r="AJ35" s="9">
        <v>4.683365</v>
      </c>
      <c r="AK35" s="9">
        <v>3.33447</v>
      </c>
      <c r="AL35" s="9">
        <v>0.3714323333</v>
      </c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</row>
    <row r="36" ht="15.75" customHeight="1">
      <c r="A36" s="9">
        <v>26.89925</v>
      </c>
      <c r="B36" s="9">
        <v>3.452788333</v>
      </c>
      <c r="C36" s="9">
        <v>54.25225</v>
      </c>
      <c r="D36" s="9">
        <v>2.758875</v>
      </c>
      <c r="E36" s="9">
        <v>23.92505</v>
      </c>
      <c r="F36" s="9">
        <v>4.172451667</v>
      </c>
      <c r="G36" s="9">
        <v>48.37363333</v>
      </c>
      <c r="H36" s="9">
        <v>5.866448333</v>
      </c>
      <c r="I36" s="9">
        <v>26.42483333</v>
      </c>
      <c r="J36" s="9">
        <v>4.798831667</v>
      </c>
      <c r="K36" s="9">
        <v>54.89451667</v>
      </c>
      <c r="L36" s="9">
        <v>3.450461667</v>
      </c>
      <c r="M36" s="9">
        <v>40.33471667</v>
      </c>
      <c r="N36" s="9">
        <v>3.993021667</v>
      </c>
      <c r="O36" s="9">
        <v>36.2111</v>
      </c>
      <c r="P36" s="9">
        <v>5.44033</v>
      </c>
      <c r="Q36" s="9">
        <v>46.84995</v>
      </c>
      <c r="R36" s="9">
        <v>2.964875</v>
      </c>
      <c r="S36" s="9">
        <v>70.79873333</v>
      </c>
      <c r="T36" s="9">
        <v>5.310881667</v>
      </c>
      <c r="U36" s="9">
        <v>22.30928333</v>
      </c>
      <c r="V36" s="9">
        <v>3.76053</v>
      </c>
      <c r="W36" s="9">
        <v>37.89936667</v>
      </c>
      <c r="X36" s="9">
        <v>4.006216667</v>
      </c>
      <c r="Y36" s="9">
        <v>32.0835</v>
      </c>
      <c r="Z36" s="9">
        <v>4.090595</v>
      </c>
      <c r="AA36" s="9">
        <v>55.99801667</v>
      </c>
      <c r="AB36" s="9">
        <v>5.236721667</v>
      </c>
      <c r="AC36" s="9">
        <v>41.38838333</v>
      </c>
      <c r="AD36" s="9">
        <v>3.618985</v>
      </c>
      <c r="AE36" s="9">
        <v>36.31226667</v>
      </c>
      <c r="AF36" s="9">
        <v>3.931605</v>
      </c>
      <c r="AG36" s="9">
        <v>40.12651667</v>
      </c>
      <c r="AH36" s="9">
        <v>3.475505</v>
      </c>
      <c r="AI36" s="9">
        <v>37.22383333</v>
      </c>
      <c r="AJ36" s="9">
        <v>4.63345</v>
      </c>
      <c r="AK36" s="9">
        <v>3.244278333</v>
      </c>
      <c r="AL36" s="9">
        <v>0.3428766667</v>
      </c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</row>
    <row r="37" ht="15.75" customHeight="1">
      <c r="A37" s="9">
        <v>31.21951833</v>
      </c>
      <c r="B37" s="9">
        <v>5.481016667</v>
      </c>
      <c r="C37" s="9">
        <v>37.96918167</v>
      </c>
      <c r="D37" s="9">
        <v>4.03726</v>
      </c>
      <c r="E37" s="9">
        <v>20.12825</v>
      </c>
      <c r="F37" s="9">
        <v>5.698613333</v>
      </c>
      <c r="G37" s="9">
        <v>31.12111667</v>
      </c>
      <c r="H37" s="9">
        <v>7.77516</v>
      </c>
      <c r="I37" s="9">
        <v>23.03876667</v>
      </c>
      <c r="J37" s="9">
        <v>6.361306667</v>
      </c>
      <c r="K37" s="9">
        <v>31.28078333</v>
      </c>
      <c r="L37" s="9">
        <v>5.651246667</v>
      </c>
      <c r="M37" s="9">
        <v>43.44308333</v>
      </c>
      <c r="N37" s="9">
        <v>9.500363333</v>
      </c>
      <c r="O37" s="9">
        <v>30.98528333</v>
      </c>
      <c r="P37" s="9">
        <v>7.316371667</v>
      </c>
      <c r="Q37" s="9">
        <v>30.94176667</v>
      </c>
      <c r="R37" s="9">
        <v>5.156441667</v>
      </c>
      <c r="S37" s="9">
        <v>26.12941667</v>
      </c>
      <c r="T37" s="9">
        <v>6.889895</v>
      </c>
      <c r="U37" s="9">
        <v>22.10008333</v>
      </c>
      <c r="V37" s="9">
        <v>5.973913333</v>
      </c>
      <c r="W37" s="9">
        <v>33.33405</v>
      </c>
      <c r="X37" s="9">
        <v>5.273795</v>
      </c>
      <c r="Y37" s="9">
        <v>28.78566667</v>
      </c>
      <c r="Z37" s="9">
        <v>4.762555</v>
      </c>
      <c r="AA37" s="9">
        <v>28.60941667</v>
      </c>
      <c r="AB37" s="9">
        <v>6.742526667</v>
      </c>
      <c r="AC37" s="9">
        <v>29.64565</v>
      </c>
      <c r="AD37" s="9">
        <v>4.78118</v>
      </c>
      <c r="AE37" s="9">
        <v>33.45351667</v>
      </c>
      <c r="AF37" s="9">
        <v>4.558853333</v>
      </c>
      <c r="AG37" s="9">
        <v>26.76603333</v>
      </c>
      <c r="AH37" s="9">
        <v>5.176025</v>
      </c>
      <c r="AI37" s="9">
        <v>30.99403333</v>
      </c>
      <c r="AJ37" s="9">
        <v>5.74594</v>
      </c>
      <c r="AK37" s="9">
        <v>3.255561667</v>
      </c>
      <c r="AL37" s="9">
        <v>0.6077715</v>
      </c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</row>
    <row r="38" ht="15.75" customHeight="1">
      <c r="A38" s="9">
        <v>34.34569</v>
      </c>
      <c r="B38" s="9">
        <v>5.023308333</v>
      </c>
      <c r="C38" s="9">
        <v>47.69088333</v>
      </c>
      <c r="D38" s="9">
        <v>4.022406667</v>
      </c>
      <c r="E38" s="9">
        <v>23.23788333</v>
      </c>
      <c r="F38" s="9">
        <v>5.78237</v>
      </c>
      <c r="G38" s="9">
        <v>36.8888</v>
      </c>
      <c r="H38" s="9">
        <v>7.04579</v>
      </c>
      <c r="I38" s="9">
        <v>34.237</v>
      </c>
      <c r="J38" s="9">
        <v>6.605611667</v>
      </c>
      <c r="K38" s="9">
        <v>47.85023333</v>
      </c>
      <c r="L38" s="9">
        <v>5.270955</v>
      </c>
      <c r="M38" s="9">
        <v>42.34241667</v>
      </c>
      <c r="N38" s="9">
        <v>7.803653333</v>
      </c>
      <c r="O38" s="9">
        <v>38.31133333</v>
      </c>
      <c r="P38" s="9">
        <v>7.087796667</v>
      </c>
      <c r="Q38" s="9">
        <v>33.64243333</v>
      </c>
      <c r="R38" s="9">
        <v>5.084593333</v>
      </c>
      <c r="S38" s="9">
        <v>42.98736667</v>
      </c>
      <c r="T38" s="9">
        <v>6.20226</v>
      </c>
      <c r="U38" s="9">
        <v>23.15225</v>
      </c>
      <c r="V38" s="9">
        <v>5.70403</v>
      </c>
      <c r="W38" s="9">
        <v>37.94696667</v>
      </c>
      <c r="X38" s="9">
        <v>5.708925</v>
      </c>
      <c r="Y38" s="9">
        <v>35.46208333</v>
      </c>
      <c r="Z38" s="9">
        <v>5.626128333</v>
      </c>
      <c r="AA38" s="9">
        <v>39.63308333</v>
      </c>
      <c r="AB38" s="9">
        <v>7.551901667</v>
      </c>
      <c r="AC38" s="9">
        <v>35.60026667</v>
      </c>
      <c r="AD38" s="9">
        <v>6.472023333</v>
      </c>
      <c r="AE38" s="9">
        <v>40.92108333</v>
      </c>
      <c r="AF38" s="9">
        <v>5.9638</v>
      </c>
      <c r="AG38" s="9">
        <v>34.98013333</v>
      </c>
      <c r="AH38" s="9">
        <v>4.82364</v>
      </c>
      <c r="AI38" s="9">
        <v>37.82001667</v>
      </c>
      <c r="AJ38" s="9">
        <v>5.874533333</v>
      </c>
      <c r="AK38" s="9">
        <v>3.257025</v>
      </c>
      <c r="AL38" s="9">
        <v>0.6115075</v>
      </c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</row>
    <row r="39" ht="15.75" customHeight="1">
      <c r="A39" s="9">
        <v>26.43029167</v>
      </c>
      <c r="B39" s="9">
        <v>4.639261667</v>
      </c>
      <c r="C39" s="9">
        <v>28.977145</v>
      </c>
      <c r="D39" s="9">
        <v>4.904273333</v>
      </c>
      <c r="E39" s="9">
        <v>19.68835</v>
      </c>
      <c r="F39" s="9">
        <v>5.781418333</v>
      </c>
      <c r="G39" s="9">
        <v>32.71236667</v>
      </c>
      <c r="H39" s="9">
        <v>6.878891667</v>
      </c>
      <c r="I39" s="9">
        <v>27.38765</v>
      </c>
      <c r="J39" s="9">
        <v>6.177648333</v>
      </c>
      <c r="K39" s="9">
        <v>37.84311667</v>
      </c>
      <c r="L39" s="9">
        <v>5.650585</v>
      </c>
      <c r="M39" s="9">
        <v>43.91595</v>
      </c>
      <c r="N39" s="9">
        <v>9.46739</v>
      </c>
      <c r="O39" s="9">
        <v>33.49175</v>
      </c>
      <c r="P39" s="9">
        <v>7.806813333</v>
      </c>
      <c r="Q39" s="9">
        <v>32.1983</v>
      </c>
      <c r="R39" s="9">
        <v>5.349523333</v>
      </c>
      <c r="S39" s="9">
        <v>45.88613333</v>
      </c>
      <c r="T39" s="9">
        <v>7.138215</v>
      </c>
      <c r="U39" s="9">
        <v>24.28316667</v>
      </c>
      <c r="V39" s="9">
        <v>5.632318333</v>
      </c>
      <c r="W39" s="9">
        <v>35.644</v>
      </c>
      <c r="X39" s="9">
        <v>5.325016667</v>
      </c>
      <c r="Y39" s="9">
        <v>25.40698333</v>
      </c>
      <c r="Z39" s="9">
        <v>5.507661667</v>
      </c>
      <c r="AA39" s="9">
        <v>28.10766667</v>
      </c>
      <c r="AB39" s="9">
        <v>8.186101667</v>
      </c>
      <c r="AC39" s="9">
        <v>28.86783333</v>
      </c>
      <c r="AD39" s="9">
        <v>7.60689</v>
      </c>
      <c r="AE39" s="9">
        <v>29.3908</v>
      </c>
      <c r="AF39" s="9">
        <v>5.311388333</v>
      </c>
      <c r="AG39" s="9">
        <v>25.75835</v>
      </c>
      <c r="AH39" s="9">
        <v>5.014988333</v>
      </c>
      <c r="AI39" s="9">
        <v>31.6068</v>
      </c>
      <c r="AJ39" s="9">
        <v>5.040795</v>
      </c>
      <c r="AK39" s="9">
        <v>3.320168333</v>
      </c>
      <c r="AL39" s="9">
        <v>0.5975308333</v>
      </c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</row>
    <row r="40" ht="15.75" customHeight="1">
      <c r="A40" s="9">
        <v>15.2987525</v>
      </c>
      <c r="B40" s="9">
        <v>5.535245</v>
      </c>
      <c r="C40" s="9">
        <v>19.97190167</v>
      </c>
      <c r="D40" s="9">
        <v>3.62505</v>
      </c>
      <c r="E40" s="9">
        <v>12.59153833</v>
      </c>
      <c r="F40" s="9">
        <v>5.55162</v>
      </c>
      <c r="G40" s="9">
        <v>20.34805</v>
      </c>
      <c r="H40" s="9">
        <v>6.597408333</v>
      </c>
      <c r="I40" s="9">
        <v>19.3978</v>
      </c>
      <c r="J40" s="9">
        <v>7.054016667</v>
      </c>
      <c r="K40" s="9">
        <v>23.20165</v>
      </c>
      <c r="L40" s="9">
        <v>5.234095</v>
      </c>
      <c r="M40" s="9">
        <v>29.33921667</v>
      </c>
      <c r="N40" s="9">
        <v>7.27585</v>
      </c>
      <c r="O40" s="9">
        <v>28.90968333</v>
      </c>
      <c r="P40" s="9">
        <v>7.450233333</v>
      </c>
      <c r="Q40" s="9">
        <v>19.15635</v>
      </c>
      <c r="R40" s="9">
        <v>5.889235</v>
      </c>
      <c r="S40" s="9">
        <v>24.94448333</v>
      </c>
      <c r="T40" s="9">
        <v>6.734965</v>
      </c>
      <c r="U40" s="9">
        <v>17.64326667</v>
      </c>
      <c r="V40" s="9">
        <v>5.161423333</v>
      </c>
      <c r="W40" s="9">
        <v>33.38643333</v>
      </c>
      <c r="X40" s="9">
        <v>5.311801667</v>
      </c>
      <c r="Y40" s="9">
        <v>20.63028333</v>
      </c>
      <c r="Z40" s="9">
        <v>6.078545</v>
      </c>
      <c r="AA40" s="9">
        <v>26.5321</v>
      </c>
      <c r="AB40" s="9">
        <v>6.437981667</v>
      </c>
      <c r="AC40" s="9">
        <v>25.1864</v>
      </c>
      <c r="AD40" s="9">
        <v>5.601545</v>
      </c>
      <c r="AE40" s="9">
        <v>24.69971667</v>
      </c>
      <c r="AF40" s="9">
        <v>5.656041667</v>
      </c>
      <c r="AG40" s="9">
        <v>22.27901667</v>
      </c>
      <c r="AH40" s="9">
        <v>5.381545</v>
      </c>
      <c r="AI40" s="9">
        <v>24.18648333</v>
      </c>
      <c r="AJ40" s="9">
        <v>6.61102</v>
      </c>
      <c r="AK40" s="9">
        <v>3.33843</v>
      </c>
      <c r="AL40" s="9">
        <v>0.4373073333</v>
      </c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</row>
    <row r="41" ht="15.75" customHeight="1">
      <c r="A41" s="9">
        <v>18.89376833</v>
      </c>
      <c r="B41" s="9">
        <v>5.866221667</v>
      </c>
      <c r="C41" s="9">
        <v>25.47386167</v>
      </c>
      <c r="D41" s="9">
        <v>4.024756667</v>
      </c>
      <c r="E41" s="9">
        <v>19.57093333</v>
      </c>
      <c r="F41" s="9">
        <v>6.040768333</v>
      </c>
      <c r="G41" s="9">
        <v>26.32066667</v>
      </c>
      <c r="H41" s="9">
        <v>5.979288333</v>
      </c>
      <c r="I41" s="9">
        <v>21.53821667</v>
      </c>
      <c r="J41" s="9">
        <v>7.402958333</v>
      </c>
      <c r="K41" s="9">
        <v>26.18591667</v>
      </c>
      <c r="L41" s="9">
        <v>5.219113333</v>
      </c>
      <c r="M41" s="9">
        <v>23.51381667</v>
      </c>
      <c r="N41" s="9">
        <v>8.08099</v>
      </c>
      <c r="O41" s="9">
        <v>25.49136667</v>
      </c>
      <c r="P41" s="9">
        <v>7.219755</v>
      </c>
      <c r="Q41" s="9">
        <v>23.3447</v>
      </c>
      <c r="R41" s="9">
        <v>5.377343333</v>
      </c>
      <c r="S41" s="9">
        <v>22.76756667</v>
      </c>
      <c r="T41" s="9">
        <v>8.437836667</v>
      </c>
      <c r="U41" s="9">
        <v>20.31353333</v>
      </c>
      <c r="V41" s="9">
        <v>6.322091667</v>
      </c>
      <c r="W41" s="9">
        <v>23.8936</v>
      </c>
      <c r="X41" s="9">
        <v>5.915733333</v>
      </c>
      <c r="Y41" s="9">
        <v>23.95096667</v>
      </c>
      <c r="Z41" s="9">
        <v>5.550251667</v>
      </c>
      <c r="AA41" s="9">
        <v>19.9901</v>
      </c>
      <c r="AB41" s="9">
        <v>8.960106667</v>
      </c>
      <c r="AC41" s="9">
        <v>22.5305</v>
      </c>
      <c r="AD41" s="9">
        <v>6.01572</v>
      </c>
      <c r="AE41" s="9">
        <v>28.28986667</v>
      </c>
      <c r="AF41" s="9">
        <v>5.418285</v>
      </c>
      <c r="AG41" s="9">
        <v>24.06183333</v>
      </c>
      <c r="AH41" s="9">
        <v>5.580358333</v>
      </c>
      <c r="AI41" s="9">
        <v>26.1666</v>
      </c>
      <c r="AJ41" s="9">
        <v>6.022191667</v>
      </c>
      <c r="AK41" s="9">
        <v>3.514236667</v>
      </c>
      <c r="AL41" s="9">
        <v>0.6468088333</v>
      </c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</row>
    <row r="42" ht="15.75" customHeight="1">
      <c r="A42" s="9">
        <v>23.914695</v>
      </c>
      <c r="B42" s="9">
        <v>5.165008333</v>
      </c>
      <c r="C42" s="9">
        <v>9.526429167</v>
      </c>
      <c r="D42" s="9">
        <v>2.419823333</v>
      </c>
      <c r="E42" s="9">
        <v>12.67826167</v>
      </c>
      <c r="F42" s="9">
        <v>4.000186667</v>
      </c>
      <c r="G42" s="9">
        <v>9.573905</v>
      </c>
      <c r="H42" s="9">
        <v>5.111328333</v>
      </c>
      <c r="I42" s="9">
        <v>13.08745833</v>
      </c>
      <c r="J42" s="9">
        <v>4.659995</v>
      </c>
      <c r="K42" s="9">
        <v>18.3493</v>
      </c>
      <c r="L42" s="9">
        <v>3.965798333</v>
      </c>
      <c r="M42" s="9">
        <v>15.71596</v>
      </c>
      <c r="N42" s="9">
        <v>5.901948333</v>
      </c>
      <c r="O42" s="9">
        <v>17.46596667</v>
      </c>
      <c r="P42" s="9">
        <v>5.355153333</v>
      </c>
      <c r="Q42" s="9">
        <v>9.141178333</v>
      </c>
      <c r="R42" s="9">
        <v>4.765183333</v>
      </c>
      <c r="S42" s="9">
        <v>9.566935</v>
      </c>
      <c r="T42" s="9">
        <v>5.279615</v>
      </c>
      <c r="U42" s="9">
        <v>10.043665</v>
      </c>
      <c r="V42" s="9">
        <v>3.060651667</v>
      </c>
      <c r="W42" s="9">
        <v>11.946955</v>
      </c>
      <c r="X42" s="9">
        <v>3.047953333</v>
      </c>
      <c r="Y42" s="9">
        <v>10.31446333</v>
      </c>
      <c r="Z42" s="9">
        <v>4.040446667</v>
      </c>
      <c r="AA42" s="9">
        <v>11.38998833</v>
      </c>
      <c r="AB42" s="9">
        <v>5.330991667</v>
      </c>
      <c r="AC42" s="9">
        <v>15.486315</v>
      </c>
      <c r="AD42" s="9">
        <v>4.216971667</v>
      </c>
      <c r="AE42" s="9">
        <v>17.76211667</v>
      </c>
      <c r="AF42" s="9">
        <v>4.890386667</v>
      </c>
      <c r="AG42" s="9">
        <v>10.923955</v>
      </c>
      <c r="AH42" s="9">
        <v>3.170191667</v>
      </c>
      <c r="AI42" s="9">
        <v>11.85133333</v>
      </c>
      <c r="AJ42" s="9">
        <v>4.612635</v>
      </c>
      <c r="AK42" s="9">
        <v>3.21223</v>
      </c>
      <c r="AL42" s="9">
        <v>0.3211211667</v>
      </c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</row>
    <row r="43" ht="15.75" customHeight="1">
      <c r="A43" s="9">
        <v>30.33513667</v>
      </c>
      <c r="B43" s="9">
        <v>4.57002</v>
      </c>
      <c r="C43" s="9">
        <v>18.246195</v>
      </c>
      <c r="D43" s="9">
        <v>2.516421667</v>
      </c>
      <c r="E43" s="9">
        <v>16.02726833</v>
      </c>
      <c r="F43" s="9">
        <v>3.870626667</v>
      </c>
      <c r="G43" s="9">
        <v>21.75456667</v>
      </c>
      <c r="H43" s="9">
        <v>5.38775</v>
      </c>
      <c r="I43" s="9">
        <v>19.70826667</v>
      </c>
      <c r="J43" s="9">
        <v>3.568616667</v>
      </c>
      <c r="K43" s="9">
        <v>19.53753333</v>
      </c>
      <c r="L43" s="9">
        <v>3.115358333</v>
      </c>
      <c r="M43" s="9">
        <v>21.35888333</v>
      </c>
      <c r="N43" s="9">
        <v>7.46478</v>
      </c>
      <c r="O43" s="9">
        <v>30.85231667</v>
      </c>
      <c r="P43" s="9">
        <v>4.461595</v>
      </c>
      <c r="Q43" s="9">
        <v>33.907</v>
      </c>
      <c r="R43" s="9">
        <v>4.314913333</v>
      </c>
      <c r="S43" s="9">
        <v>26.62566667</v>
      </c>
      <c r="T43" s="9">
        <v>3.897173333</v>
      </c>
      <c r="U43" s="9">
        <v>18.87325</v>
      </c>
      <c r="V43" s="9">
        <v>3.427553333</v>
      </c>
      <c r="W43" s="9">
        <v>18.83715</v>
      </c>
      <c r="X43" s="9">
        <v>4.56916</v>
      </c>
      <c r="Y43" s="9">
        <v>35.85426667</v>
      </c>
      <c r="Z43" s="9">
        <v>3.6692</v>
      </c>
      <c r="AA43" s="9">
        <v>22.61791667</v>
      </c>
      <c r="AB43" s="9">
        <v>4.18035</v>
      </c>
      <c r="AC43" s="9">
        <v>25.1548</v>
      </c>
      <c r="AD43" s="9">
        <v>3.522188333</v>
      </c>
      <c r="AE43" s="9">
        <v>38.58231667</v>
      </c>
      <c r="AF43" s="9">
        <v>3.464688333</v>
      </c>
      <c r="AG43" s="9">
        <v>33.35373333</v>
      </c>
      <c r="AH43" s="9">
        <v>3.669718333</v>
      </c>
      <c r="AI43" s="9">
        <v>17.85778333</v>
      </c>
      <c r="AJ43" s="9">
        <v>4.306733333</v>
      </c>
      <c r="AK43" s="9">
        <v>3.2356</v>
      </c>
      <c r="AL43" s="9">
        <v>0.3040186667</v>
      </c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</row>
    <row r="44" ht="15.75" customHeight="1">
      <c r="A44" s="9">
        <v>31.37055833</v>
      </c>
      <c r="B44" s="9">
        <v>4.794413333</v>
      </c>
      <c r="C44" s="9">
        <v>27.22019333</v>
      </c>
      <c r="D44" s="9">
        <v>3.595546667</v>
      </c>
      <c r="E44" s="9">
        <v>14.25260167</v>
      </c>
      <c r="F44" s="9">
        <v>5.031228333</v>
      </c>
      <c r="G44" s="9">
        <v>23.88255</v>
      </c>
      <c r="H44" s="9">
        <v>6.344193333</v>
      </c>
      <c r="I44" s="9">
        <v>21.16061667</v>
      </c>
      <c r="J44" s="9">
        <v>5.830966667</v>
      </c>
      <c r="K44" s="9">
        <v>23.70746667</v>
      </c>
      <c r="L44" s="9">
        <v>5.606295</v>
      </c>
      <c r="M44" s="9">
        <v>16.80825</v>
      </c>
      <c r="N44" s="9">
        <v>7.22249</v>
      </c>
      <c r="O44" s="9">
        <v>18.72063333</v>
      </c>
      <c r="P44" s="9">
        <v>6.353185</v>
      </c>
      <c r="Q44" s="9">
        <v>19.16775</v>
      </c>
      <c r="R44" s="9">
        <v>6.034556667</v>
      </c>
      <c r="S44" s="9">
        <v>21.65526667</v>
      </c>
      <c r="T44" s="9">
        <v>6.682846667</v>
      </c>
      <c r="U44" s="9">
        <v>13.83773833</v>
      </c>
      <c r="V44" s="9">
        <v>4.94448</v>
      </c>
      <c r="W44" s="9">
        <v>22.48751667</v>
      </c>
      <c r="X44" s="9">
        <v>4.828731667</v>
      </c>
      <c r="Y44" s="9">
        <v>43.8854</v>
      </c>
      <c r="Z44" s="9">
        <v>4.730451667</v>
      </c>
      <c r="AA44" s="9">
        <v>25.57091667</v>
      </c>
      <c r="AB44" s="9">
        <v>7.508146667</v>
      </c>
      <c r="AC44" s="9">
        <v>24.54413333</v>
      </c>
      <c r="AD44" s="9">
        <v>4.986393333</v>
      </c>
      <c r="AE44" s="9">
        <v>21.0009</v>
      </c>
      <c r="AF44" s="9">
        <v>6.167335</v>
      </c>
      <c r="AG44" s="9">
        <v>18.21435</v>
      </c>
      <c r="AH44" s="9">
        <v>5.770046667</v>
      </c>
      <c r="AI44" s="9">
        <v>19.91126667</v>
      </c>
      <c r="AJ44" s="9">
        <v>5.49502</v>
      </c>
      <c r="AK44" s="9">
        <v>3.320925</v>
      </c>
      <c r="AL44" s="9">
        <v>0.3974311667</v>
      </c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</row>
    <row r="45" ht="15.75" customHeight="1">
      <c r="A45" s="9">
        <v>54.11044667</v>
      </c>
      <c r="B45" s="9">
        <v>4.426273333</v>
      </c>
      <c r="C45" s="9">
        <v>41.81475</v>
      </c>
      <c r="D45" s="9">
        <v>3.912786667</v>
      </c>
      <c r="E45" s="9">
        <v>18.62693333</v>
      </c>
      <c r="F45" s="9">
        <v>3.932485</v>
      </c>
      <c r="G45" s="9">
        <v>22.95585</v>
      </c>
      <c r="H45" s="9">
        <v>5.074763333</v>
      </c>
      <c r="I45" s="9">
        <v>21.1995</v>
      </c>
      <c r="J45" s="9">
        <v>3.841275</v>
      </c>
      <c r="K45" s="9">
        <v>29.63028333</v>
      </c>
      <c r="L45" s="9">
        <v>4.058078333</v>
      </c>
      <c r="M45" s="9">
        <v>22.14738333</v>
      </c>
      <c r="N45" s="9">
        <v>5.398245</v>
      </c>
      <c r="O45" s="9">
        <v>25.80691667</v>
      </c>
      <c r="P45" s="9">
        <v>5.27325</v>
      </c>
      <c r="Q45" s="9">
        <v>21.40925</v>
      </c>
      <c r="R45" s="9">
        <v>3.432331667</v>
      </c>
      <c r="S45" s="9">
        <v>26.2725</v>
      </c>
      <c r="T45" s="9">
        <v>5.558066667</v>
      </c>
      <c r="U45" s="9">
        <v>21.84863333</v>
      </c>
      <c r="V45" s="9">
        <v>3.85004</v>
      </c>
      <c r="W45" s="9">
        <v>28.22673333</v>
      </c>
      <c r="X45" s="9">
        <v>3.741108333</v>
      </c>
      <c r="Y45" s="9">
        <v>32.52598333</v>
      </c>
      <c r="Z45" s="9">
        <v>3.766751667</v>
      </c>
      <c r="AA45" s="9">
        <v>24.36745</v>
      </c>
      <c r="AB45" s="9">
        <v>5.750873333</v>
      </c>
      <c r="AC45" s="9">
        <v>23.90495</v>
      </c>
      <c r="AD45" s="9">
        <v>5.106055</v>
      </c>
      <c r="AE45" s="9">
        <v>27.40558333</v>
      </c>
      <c r="AF45" s="9">
        <v>4.28563</v>
      </c>
      <c r="AG45" s="9">
        <v>28.26026667</v>
      </c>
      <c r="AH45" s="9">
        <v>3.743983333</v>
      </c>
      <c r="AI45" s="9">
        <v>17.12131667</v>
      </c>
      <c r="AJ45" s="9">
        <v>3.92942</v>
      </c>
      <c r="AK45" s="9">
        <v>3.34483</v>
      </c>
      <c r="AL45" s="9">
        <v>0.3799248333</v>
      </c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</row>
    <row r="46" ht="15.75" customHeight="1">
      <c r="A46" s="9">
        <v>32.66919333</v>
      </c>
      <c r="B46" s="9">
        <v>2.300613333</v>
      </c>
      <c r="C46" s="9">
        <v>25.31782167</v>
      </c>
      <c r="D46" s="9">
        <v>1.489534167</v>
      </c>
      <c r="E46" s="9">
        <v>11.19921</v>
      </c>
      <c r="F46" s="9">
        <v>2.361308333</v>
      </c>
      <c r="G46" s="9">
        <v>23.40858333</v>
      </c>
      <c r="H46" s="9">
        <v>3.040273333</v>
      </c>
      <c r="I46" s="9">
        <v>16.03463333</v>
      </c>
      <c r="J46" s="9">
        <v>2.36311</v>
      </c>
      <c r="K46" s="9">
        <v>30.10101667</v>
      </c>
      <c r="L46" s="9">
        <v>2.812018333</v>
      </c>
      <c r="M46" s="9">
        <v>10.42599667</v>
      </c>
      <c r="N46" s="9">
        <v>2.964151667</v>
      </c>
      <c r="O46" s="9">
        <v>20.33458333</v>
      </c>
      <c r="P46" s="9">
        <v>3.552321667</v>
      </c>
      <c r="Q46" s="9">
        <v>20.82018333</v>
      </c>
      <c r="R46" s="9">
        <v>2.147415</v>
      </c>
      <c r="S46" s="9">
        <v>23.67978333</v>
      </c>
      <c r="T46" s="9">
        <v>3.509108333</v>
      </c>
      <c r="U46" s="9">
        <v>14.32561333</v>
      </c>
      <c r="V46" s="9">
        <v>2.104496667</v>
      </c>
      <c r="W46" s="9">
        <v>19.81546667</v>
      </c>
      <c r="X46" s="9">
        <v>2.732391667</v>
      </c>
      <c r="Y46" s="9">
        <v>22.19545</v>
      </c>
      <c r="Z46" s="9">
        <v>2.643015</v>
      </c>
      <c r="AA46" s="9">
        <v>20.27421667</v>
      </c>
      <c r="AB46" s="9">
        <v>2.609025</v>
      </c>
      <c r="AC46" s="9">
        <v>15.77739333</v>
      </c>
      <c r="AD46" s="9">
        <v>2.216591667</v>
      </c>
      <c r="AE46" s="9">
        <v>26.81411667</v>
      </c>
      <c r="AF46" s="9">
        <v>3.041181667</v>
      </c>
      <c r="AG46" s="9">
        <v>12.255805</v>
      </c>
      <c r="AH46" s="9">
        <v>2.009235</v>
      </c>
      <c r="AI46" s="9">
        <v>16.10457667</v>
      </c>
      <c r="AJ46" s="9">
        <v>2.039293333</v>
      </c>
      <c r="AK46" s="9">
        <v>3.261296667</v>
      </c>
      <c r="AL46" s="9">
        <v>0.3397505</v>
      </c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</row>
    <row r="47" ht="15.75" customHeight="1">
      <c r="A47" s="9">
        <v>37.342245</v>
      </c>
      <c r="B47" s="9">
        <v>3.997743333</v>
      </c>
      <c r="C47" s="9">
        <v>43.339495</v>
      </c>
      <c r="D47" s="9">
        <v>1.831778333</v>
      </c>
      <c r="E47" s="9">
        <v>25.64071667</v>
      </c>
      <c r="F47" s="9">
        <v>4.453188333</v>
      </c>
      <c r="G47" s="9">
        <v>35.82433333</v>
      </c>
      <c r="H47" s="9">
        <v>5.119025</v>
      </c>
      <c r="I47" s="9">
        <v>24.16528333</v>
      </c>
      <c r="J47" s="9">
        <v>5.116505</v>
      </c>
      <c r="K47" s="9">
        <v>57.01748333</v>
      </c>
      <c r="L47" s="9">
        <v>4.578715</v>
      </c>
      <c r="M47" s="9">
        <v>27.47515</v>
      </c>
      <c r="N47" s="9">
        <v>6.320641667</v>
      </c>
      <c r="O47" s="9">
        <v>41.84216667</v>
      </c>
      <c r="P47" s="9">
        <v>5.018863333</v>
      </c>
      <c r="Q47" s="9">
        <v>26.34775</v>
      </c>
      <c r="R47" s="9">
        <v>3.789781667</v>
      </c>
      <c r="S47" s="9">
        <v>30.05361667</v>
      </c>
      <c r="T47" s="9">
        <v>4.884578333</v>
      </c>
      <c r="U47" s="9">
        <v>28.57676667</v>
      </c>
      <c r="V47" s="9">
        <v>4.03182</v>
      </c>
      <c r="W47" s="9">
        <v>37.6993</v>
      </c>
      <c r="X47" s="9">
        <v>3.823765</v>
      </c>
      <c r="Y47" s="9">
        <v>43.9242</v>
      </c>
      <c r="Z47" s="9">
        <v>4.318613333</v>
      </c>
      <c r="AA47" s="9">
        <v>30.78145</v>
      </c>
      <c r="AB47" s="9">
        <v>5.508215</v>
      </c>
      <c r="AC47" s="9">
        <v>41.97055</v>
      </c>
      <c r="AD47" s="9">
        <v>4.780896667</v>
      </c>
      <c r="AE47" s="9">
        <v>30.40978333</v>
      </c>
      <c r="AF47" s="9">
        <v>4.302806667</v>
      </c>
      <c r="AG47" s="9">
        <v>33.14646667</v>
      </c>
      <c r="AH47" s="9">
        <v>4.147735</v>
      </c>
      <c r="AI47" s="9">
        <v>38.00701667</v>
      </c>
      <c r="AJ47" s="9">
        <v>4.87049</v>
      </c>
      <c r="AK47" s="9">
        <v>3.300425</v>
      </c>
      <c r="AL47" s="9">
        <v>0.3827431667</v>
      </c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</row>
    <row r="48" ht="15.75" customHeight="1">
      <c r="A48" s="9">
        <v>43.88457667</v>
      </c>
      <c r="B48" s="9">
        <v>12.876395</v>
      </c>
      <c r="C48" s="9">
        <v>35.076335</v>
      </c>
      <c r="D48" s="9">
        <v>11.15761667</v>
      </c>
      <c r="E48" s="9">
        <v>32.30056667</v>
      </c>
      <c r="F48" s="9">
        <v>13.86420833</v>
      </c>
      <c r="G48" s="9">
        <v>38.76606667</v>
      </c>
      <c r="H48" s="9">
        <v>14.65172667</v>
      </c>
      <c r="I48" s="9">
        <v>39.07901667</v>
      </c>
      <c r="J48" s="9">
        <v>13.821365</v>
      </c>
      <c r="K48" s="9">
        <v>41.80788333</v>
      </c>
      <c r="L48" s="9">
        <v>14.086255</v>
      </c>
      <c r="M48" s="9">
        <v>35.98625</v>
      </c>
      <c r="N48" s="9">
        <v>14.832245</v>
      </c>
      <c r="O48" s="9">
        <v>37.01073333</v>
      </c>
      <c r="P48" s="9">
        <v>13.69424167</v>
      </c>
      <c r="Q48" s="9">
        <v>38.4641</v>
      </c>
      <c r="R48" s="9">
        <v>14.33548</v>
      </c>
      <c r="S48" s="9">
        <v>40.97641667</v>
      </c>
      <c r="T48" s="9">
        <v>16.149575</v>
      </c>
      <c r="U48" s="9">
        <v>32.24393333</v>
      </c>
      <c r="V48" s="9">
        <v>12.58689833</v>
      </c>
      <c r="W48" s="9">
        <v>40.3995</v>
      </c>
      <c r="X48" s="9">
        <v>13.49004167</v>
      </c>
      <c r="Y48" s="9">
        <v>36.93743333</v>
      </c>
      <c r="Z48" s="9">
        <v>12.362195</v>
      </c>
      <c r="AA48" s="9">
        <v>41.4345</v>
      </c>
      <c r="AB48" s="9">
        <v>14.787275</v>
      </c>
      <c r="AC48" s="9">
        <v>34.08178333</v>
      </c>
      <c r="AD48" s="9">
        <v>13.19035333</v>
      </c>
      <c r="AE48" s="9">
        <v>39.61828333</v>
      </c>
      <c r="AF48" s="9">
        <v>13.826385</v>
      </c>
      <c r="AG48" s="9">
        <v>41.9439</v>
      </c>
      <c r="AH48" s="9">
        <v>12.926045</v>
      </c>
      <c r="AI48" s="9">
        <v>36.73316667</v>
      </c>
      <c r="AJ48" s="9">
        <v>12.366445</v>
      </c>
      <c r="AK48" s="9">
        <v>6.78615</v>
      </c>
      <c r="AL48" s="9">
        <v>0.882429</v>
      </c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</row>
    <row r="49" ht="15.75" customHeight="1">
      <c r="A49" s="9">
        <v>6.924497167</v>
      </c>
      <c r="B49" s="9">
        <v>1.413971833</v>
      </c>
      <c r="C49" s="9">
        <v>6.823264</v>
      </c>
      <c r="D49" s="9">
        <v>1.354959</v>
      </c>
      <c r="E49" s="9">
        <v>6.908105</v>
      </c>
      <c r="F49" s="9">
        <v>1.391798</v>
      </c>
      <c r="G49" s="9">
        <v>6.899036667</v>
      </c>
      <c r="H49" s="9">
        <v>1.391617333</v>
      </c>
      <c r="I49" s="9">
        <v>6.879586667</v>
      </c>
      <c r="J49" s="9">
        <v>1.452889</v>
      </c>
      <c r="K49" s="9">
        <v>6.950638333</v>
      </c>
      <c r="L49" s="9">
        <v>1.4462675</v>
      </c>
      <c r="M49" s="9">
        <v>6.81491</v>
      </c>
      <c r="N49" s="9">
        <v>2.529906667</v>
      </c>
      <c r="O49" s="9">
        <v>6.799746667</v>
      </c>
      <c r="P49" s="9">
        <v>1.5460025</v>
      </c>
      <c r="Q49" s="9">
        <v>6.741445</v>
      </c>
      <c r="R49" s="9">
        <v>1.438772333</v>
      </c>
      <c r="S49" s="9">
        <v>6.931683333</v>
      </c>
      <c r="T49" s="9">
        <v>1.582062833</v>
      </c>
      <c r="U49" s="9">
        <v>6.938188333</v>
      </c>
      <c r="V49" s="9">
        <v>1.398327667</v>
      </c>
      <c r="W49" s="9">
        <v>6.916353333</v>
      </c>
      <c r="X49" s="9">
        <v>1.397594333</v>
      </c>
      <c r="Y49" s="9">
        <v>6.766996667</v>
      </c>
      <c r="Z49" s="9">
        <v>1.392745667</v>
      </c>
      <c r="AA49" s="9">
        <v>6.924925</v>
      </c>
      <c r="AB49" s="9">
        <v>2.798186667</v>
      </c>
      <c r="AC49" s="9">
        <v>6.96609</v>
      </c>
      <c r="AD49" s="9">
        <v>1.419545333</v>
      </c>
      <c r="AE49" s="9">
        <v>6.79231</v>
      </c>
      <c r="AF49" s="9">
        <v>1.397462833</v>
      </c>
      <c r="AG49" s="9">
        <v>6.825136667</v>
      </c>
      <c r="AH49" s="9">
        <v>1.393335667</v>
      </c>
      <c r="AI49" s="9">
        <v>6.769031667</v>
      </c>
      <c r="AJ49" s="9">
        <v>1.366557667</v>
      </c>
      <c r="AK49" s="9">
        <v>3.241375</v>
      </c>
      <c r="AL49" s="9">
        <v>0.3041253333</v>
      </c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</row>
    <row r="50" ht="15.75" customHeight="1">
      <c r="A50" s="9">
        <v>31.96021667</v>
      </c>
      <c r="B50" s="9">
        <v>4.486498333</v>
      </c>
      <c r="C50" s="9">
        <v>26.66704833</v>
      </c>
      <c r="D50" s="9">
        <v>2.23619</v>
      </c>
      <c r="E50" s="9">
        <v>23.40433333</v>
      </c>
      <c r="F50" s="9">
        <v>4.007246667</v>
      </c>
      <c r="G50" s="9">
        <v>37.64343333</v>
      </c>
      <c r="H50" s="9">
        <v>4.857348333</v>
      </c>
      <c r="I50" s="9">
        <v>22.35463333</v>
      </c>
      <c r="J50" s="9">
        <v>3.754263333</v>
      </c>
      <c r="K50" s="9">
        <v>39.28135</v>
      </c>
      <c r="L50" s="9">
        <v>5.191988333</v>
      </c>
      <c r="M50" s="9">
        <v>31.13263333</v>
      </c>
      <c r="N50" s="9">
        <v>6.564063333</v>
      </c>
      <c r="O50" s="9">
        <v>36.56713333</v>
      </c>
      <c r="P50" s="9">
        <v>4.56408</v>
      </c>
      <c r="Q50" s="9">
        <v>32.79698333</v>
      </c>
      <c r="R50" s="9">
        <v>5.248625</v>
      </c>
      <c r="S50" s="9">
        <v>30.9091</v>
      </c>
      <c r="T50" s="9">
        <v>5.958161667</v>
      </c>
      <c r="U50" s="9">
        <v>24.13078333</v>
      </c>
      <c r="V50" s="9">
        <v>3.993851667</v>
      </c>
      <c r="W50" s="9">
        <v>28.92556667</v>
      </c>
      <c r="X50" s="9">
        <v>4.490466667</v>
      </c>
      <c r="Y50" s="9">
        <v>28.87655</v>
      </c>
      <c r="Z50" s="9">
        <v>4.076126667</v>
      </c>
      <c r="AA50" s="9">
        <v>29.7569</v>
      </c>
      <c r="AB50" s="9">
        <v>5.758058333</v>
      </c>
      <c r="AC50" s="9">
        <v>29.11181667</v>
      </c>
      <c r="AD50" s="9">
        <v>3.509296667</v>
      </c>
      <c r="AE50" s="9">
        <v>44.4913</v>
      </c>
      <c r="AF50" s="9">
        <v>3.998965</v>
      </c>
      <c r="AG50" s="9">
        <v>36.98506667</v>
      </c>
      <c r="AH50" s="9">
        <v>4.341593333</v>
      </c>
      <c r="AI50" s="9">
        <v>39.42218333</v>
      </c>
      <c r="AJ50" s="9">
        <v>4.046343333</v>
      </c>
      <c r="AK50" s="9">
        <v>4.00609</v>
      </c>
      <c r="AL50" s="9">
        <v>0.3731865</v>
      </c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</row>
    <row r="51" ht="15.75" customHeight="1">
      <c r="A51" s="9">
        <v>26.739265</v>
      </c>
      <c r="B51" s="9">
        <v>4.442365</v>
      </c>
      <c r="C51" s="9">
        <v>45.58399833</v>
      </c>
      <c r="D51" s="9">
        <v>2.811911667</v>
      </c>
      <c r="E51" s="9">
        <v>31.24015</v>
      </c>
      <c r="F51" s="9">
        <v>4.204671667</v>
      </c>
      <c r="G51" s="9">
        <v>42.36111667</v>
      </c>
      <c r="H51" s="9">
        <v>4.158756667</v>
      </c>
      <c r="I51" s="9">
        <v>30.64515</v>
      </c>
      <c r="J51" s="9">
        <v>3.880303333</v>
      </c>
      <c r="K51" s="9">
        <v>47.484</v>
      </c>
      <c r="L51" s="9">
        <v>5.378133333</v>
      </c>
      <c r="M51" s="9">
        <v>25.23855</v>
      </c>
      <c r="N51" s="9">
        <v>4.25859</v>
      </c>
      <c r="O51" s="9">
        <v>35.22466667</v>
      </c>
      <c r="P51" s="9">
        <v>3.687006667</v>
      </c>
      <c r="Q51" s="9">
        <v>32.75726667</v>
      </c>
      <c r="R51" s="9">
        <v>3.764651667</v>
      </c>
      <c r="S51" s="9">
        <v>39.20326667</v>
      </c>
      <c r="T51" s="9">
        <v>5.499838333</v>
      </c>
      <c r="U51" s="9">
        <v>27.59038333</v>
      </c>
      <c r="V51" s="9">
        <v>4.253011667</v>
      </c>
      <c r="W51" s="9">
        <v>29.90988333</v>
      </c>
      <c r="X51" s="9">
        <v>3.51254</v>
      </c>
      <c r="Y51" s="9">
        <v>36.05765</v>
      </c>
      <c r="Z51" s="9">
        <v>2.955225</v>
      </c>
      <c r="AA51" s="9">
        <v>43.23263333</v>
      </c>
      <c r="AB51" s="9">
        <v>6.208323333</v>
      </c>
      <c r="AC51" s="9">
        <v>29.27756667</v>
      </c>
      <c r="AD51" s="9">
        <v>2.552611667</v>
      </c>
      <c r="AE51" s="9">
        <v>35.91605</v>
      </c>
      <c r="AF51" s="9">
        <v>3.738943333</v>
      </c>
      <c r="AG51" s="9">
        <v>41.78708333</v>
      </c>
      <c r="AH51" s="9">
        <v>3.303975</v>
      </c>
      <c r="AI51" s="9">
        <v>34.46388333</v>
      </c>
      <c r="AJ51" s="9">
        <v>3.340016667</v>
      </c>
      <c r="AK51" s="9">
        <v>4.451088333</v>
      </c>
      <c r="AL51" s="9">
        <v>0.3902563333</v>
      </c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</row>
    <row r="52" ht="15.75" customHeight="1">
      <c r="A52" s="9">
        <v>44.217265</v>
      </c>
      <c r="B52" s="9">
        <v>3.859171667</v>
      </c>
      <c r="C52" s="9">
        <v>71.857375</v>
      </c>
      <c r="D52" s="9">
        <v>3.996888333</v>
      </c>
      <c r="E52" s="9">
        <v>23.45316667</v>
      </c>
      <c r="F52" s="9">
        <v>2.869008333</v>
      </c>
      <c r="G52" s="9">
        <v>34.73703333</v>
      </c>
      <c r="H52" s="9">
        <v>3.405016667</v>
      </c>
      <c r="I52" s="9">
        <v>44.0069</v>
      </c>
      <c r="J52" s="9">
        <v>4.56379</v>
      </c>
      <c r="K52" s="9">
        <v>61.21036667</v>
      </c>
      <c r="L52" s="9">
        <v>4.54847</v>
      </c>
      <c r="M52" s="9">
        <v>41.52001667</v>
      </c>
      <c r="N52" s="9">
        <v>4.57304</v>
      </c>
      <c r="O52" s="9">
        <v>38.851</v>
      </c>
      <c r="P52" s="9">
        <v>3.978093333</v>
      </c>
      <c r="Q52" s="9">
        <v>43.05813333</v>
      </c>
      <c r="R52" s="9">
        <v>3.634</v>
      </c>
      <c r="S52" s="9">
        <v>43.04716667</v>
      </c>
      <c r="T52" s="9">
        <v>3.133125</v>
      </c>
      <c r="U52" s="9">
        <v>28.01431667</v>
      </c>
      <c r="V52" s="9">
        <v>4.145945</v>
      </c>
      <c r="W52" s="9">
        <v>36.173</v>
      </c>
      <c r="X52" s="9">
        <v>3.334898333</v>
      </c>
      <c r="Y52" s="9">
        <v>33.2272</v>
      </c>
      <c r="Z52" s="9">
        <v>3.802175</v>
      </c>
      <c r="AA52" s="9">
        <v>43.65013333</v>
      </c>
      <c r="AB52" s="9">
        <v>4.714776667</v>
      </c>
      <c r="AC52" s="9">
        <v>40.72208333</v>
      </c>
      <c r="AD52" s="9">
        <v>3.241648333</v>
      </c>
      <c r="AE52" s="9">
        <v>29.62253333</v>
      </c>
      <c r="AF52" s="9">
        <v>2.176708333</v>
      </c>
      <c r="AG52" s="9">
        <v>50.47621667</v>
      </c>
      <c r="AH52" s="9">
        <v>3.456648333</v>
      </c>
      <c r="AI52" s="9">
        <v>25.07175</v>
      </c>
      <c r="AJ52" s="9">
        <v>2.113741667</v>
      </c>
      <c r="AK52" s="9">
        <v>3.619995</v>
      </c>
      <c r="AL52" s="9">
        <v>0.3828483333</v>
      </c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</row>
    <row r="53" ht="15.75" customHeight="1">
      <c r="A53" s="9">
        <v>38.96933333</v>
      </c>
      <c r="B53" s="9">
        <v>13.18348833</v>
      </c>
      <c r="C53" s="9">
        <v>37.12542333</v>
      </c>
      <c r="D53" s="9">
        <v>27.46488333</v>
      </c>
      <c r="E53" s="9">
        <v>32.60456667</v>
      </c>
      <c r="F53" s="9">
        <v>13.671805</v>
      </c>
      <c r="G53" s="9">
        <v>44.14701667</v>
      </c>
      <c r="H53" s="9">
        <v>15.68676167</v>
      </c>
      <c r="I53" s="9">
        <v>35.61838333</v>
      </c>
      <c r="J53" s="9">
        <v>15.72054</v>
      </c>
      <c r="K53" s="9">
        <v>45.67576667</v>
      </c>
      <c r="L53" s="9">
        <v>14.71283833</v>
      </c>
      <c r="M53" s="9">
        <v>43.10645</v>
      </c>
      <c r="N53" s="9">
        <v>15.20923833</v>
      </c>
      <c r="O53" s="9">
        <v>45.41543333</v>
      </c>
      <c r="P53" s="9">
        <v>14.64793</v>
      </c>
      <c r="Q53" s="9">
        <v>44.63456667</v>
      </c>
      <c r="R53" s="9">
        <v>14.05103667</v>
      </c>
      <c r="S53" s="9">
        <v>32.84791667</v>
      </c>
      <c r="T53" s="9">
        <v>16.99088333</v>
      </c>
      <c r="U53" s="9">
        <v>33.30568333</v>
      </c>
      <c r="V53" s="9">
        <v>14.90053</v>
      </c>
      <c r="W53" s="9">
        <v>46.222</v>
      </c>
      <c r="X53" s="9">
        <v>15.33237333</v>
      </c>
      <c r="Y53" s="9">
        <v>32.69648333</v>
      </c>
      <c r="Z53" s="9">
        <v>12.79986</v>
      </c>
      <c r="AA53" s="9">
        <v>40.99433333</v>
      </c>
      <c r="AB53" s="9">
        <v>15.54611833</v>
      </c>
      <c r="AC53" s="9">
        <v>34.94095</v>
      </c>
      <c r="AD53" s="9">
        <v>13.33463167</v>
      </c>
      <c r="AE53" s="9">
        <v>34.54251667</v>
      </c>
      <c r="AF53" s="9">
        <v>15.28562</v>
      </c>
      <c r="AG53" s="9">
        <v>40.91148333</v>
      </c>
      <c r="AH53" s="9">
        <v>14.42491167</v>
      </c>
      <c r="AI53" s="9">
        <v>51.22963333</v>
      </c>
      <c r="AJ53" s="9">
        <v>13.32233833</v>
      </c>
      <c r="AK53" s="9">
        <v>7.438311667</v>
      </c>
      <c r="AL53" s="9">
        <v>0.8625608333</v>
      </c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</row>
    <row r="54" ht="15.75" customHeight="1">
      <c r="A54" s="9">
        <v>47.48406667</v>
      </c>
      <c r="B54" s="9">
        <v>12.90365667</v>
      </c>
      <c r="C54" s="9">
        <v>49.803275</v>
      </c>
      <c r="D54" s="9">
        <v>26.68336667</v>
      </c>
      <c r="E54" s="9">
        <v>29.7252</v>
      </c>
      <c r="F54" s="9">
        <v>11.858185</v>
      </c>
      <c r="G54" s="9">
        <v>49.40113333</v>
      </c>
      <c r="H54" s="9">
        <v>13.22846333</v>
      </c>
      <c r="I54" s="9">
        <v>45.00788333</v>
      </c>
      <c r="J54" s="9">
        <v>14.36537333</v>
      </c>
      <c r="K54" s="9">
        <v>29.65886667</v>
      </c>
      <c r="L54" s="9">
        <v>13.22539167</v>
      </c>
      <c r="M54" s="9">
        <v>39.81865</v>
      </c>
      <c r="N54" s="9">
        <v>13.911445</v>
      </c>
      <c r="O54" s="9">
        <v>53.8728</v>
      </c>
      <c r="P54" s="9">
        <v>11.59393333</v>
      </c>
      <c r="Q54" s="9">
        <v>32.38945</v>
      </c>
      <c r="R54" s="9">
        <v>13.18024333</v>
      </c>
      <c r="S54" s="9">
        <v>31.96551667</v>
      </c>
      <c r="T54" s="9">
        <v>15.59842167</v>
      </c>
      <c r="U54" s="9">
        <v>31.31506667</v>
      </c>
      <c r="V54" s="9">
        <v>13.260775</v>
      </c>
      <c r="W54" s="9">
        <v>55.40155</v>
      </c>
      <c r="X54" s="9">
        <v>13.89860167</v>
      </c>
      <c r="Y54" s="9">
        <v>32.63131667</v>
      </c>
      <c r="Z54" s="9">
        <v>11.96308833</v>
      </c>
      <c r="AA54" s="9">
        <v>38.17626667</v>
      </c>
      <c r="AB54" s="9">
        <v>13.29714667</v>
      </c>
      <c r="AC54" s="9">
        <v>41.99785</v>
      </c>
      <c r="AD54" s="9">
        <v>13.224545</v>
      </c>
      <c r="AE54" s="9">
        <v>46.30955</v>
      </c>
      <c r="AF54" s="9">
        <v>13.854955</v>
      </c>
      <c r="AG54" s="9">
        <v>50.78521667</v>
      </c>
      <c r="AH54" s="9">
        <v>13.035575</v>
      </c>
      <c r="AI54" s="9">
        <v>48.88748333</v>
      </c>
      <c r="AJ54" s="9">
        <v>12.52331333</v>
      </c>
      <c r="AK54" s="9">
        <v>7.136786667</v>
      </c>
      <c r="AL54" s="9">
        <v>1.1273275</v>
      </c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</row>
    <row r="55" ht="15.75" customHeight="1">
      <c r="A55" s="9">
        <v>58.64512</v>
      </c>
      <c r="B55" s="9">
        <v>13.76873833</v>
      </c>
      <c r="C55" s="9">
        <v>61.56755833</v>
      </c>
      <c r="D55" s="9">
        <v>33.25536667</v>
      </c>
      <c r="E55" s="9">
        <v>44.22781667</v>
      </c>
      <c r="F55" s="9">
        <v>13.77875167</v>
      </c>
      <c r="G55" s="9">
        <v>63.92613333</v>
      </c>
      <c r="H55" s="9">
        <v>14.52689333</v>
      </c>
      <c r="I55" s="9">
        <v>59.01625</v>
      </c>
      <c r="J55" s="9">
        <v>14.46134667</v>
      </c>
      <c r="K55" s="9">
        <v>63.16965</v>
      </c>
      <c r="L55" s="9">
        <v>13.152995</v>
      </c>
      <c r="M55" s="9">
        <v>65.83306667</v>
      </c>
      <c r="N55" s="9">
        <v>21.78423333</v>
      </c>
      <c r="O55" s="9">
        <v>64.20691667</v>
      </c>
      <c r="P55" s="9">
        <v>13.86397833</v>
      </c>
      <c r="Q55" s="9">
        <v>59.82488333</v>
      </c>
      <c r="R55" s="9">
        <v>13.730695</v>
      </c>
      <c r="S55" s="9">
        <v>61.64025</v>
      </c>
      <c r="T55" s="9">
        <v>14.34695833</v>
      </c>
      <c r="U55" s="9">
        <v>45.53378333</v>
      </c>
      <c r="V55" s="9">
        <v>14.12272833</v>
      </c>
      <c r="W55" s="9">
        <v>65.54103333</v>
      </c>
      <c r="X55" s="9">
        <v>13.98835167</v>
      </c>
      <c r="Y55" s="9">
        <v>59.75246667</v>
      </c>
      <c r="Z55" s="9">
        <v>13.257955</v>
      </c>
      <c r="AA55" s="9">
        <v>63.0478</v>
      </c>
      <c r="AB55" s="9">
        <v>22.25263333</v>
      </c>
      <c r="AC55" s="9">
        <v>60.89751667</v>
      </c>
      <c r="AD55" s="9">
        <v>12.89699</v>
      </c>
      <c r="AE55" s="9">
        <v>61.84288333</v>
      </c>
      <c r="AF55" s="9">
        <v>14.26045667</v>
      </c>
      <c r="AG55" s="9">
        <v>62.53268333</v>
      </c>
      <c r="AH55" s="9">
        <v>13.08368</v>
      </c>
      <c r="AI55" s="9">
        <v>61.07025</v>
      </c>
      <c r="AJ55" s="9">
        <v>15.10567167</v>
      </c>
      <c r="AK55" s="9">
        <v>7.477445</v>
      </c>
      <c r="AL55" s="9">
        <v>1.3109975</v>
      </c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</row>
    <row r="56" ht="15.75" customHeight="1">
      <c r="A56" s="9">
        <v>50.373065</v>
      </c>
      <c r="B56" s="9">
        <v>12.73493167</v>
      </c>
      <c r="C56" s="9">
        <v>44.89999167</v>
      </c>
      <c r="D56" s="9">
        <v>25.86991667</v>
      </c>
      <c r="E56" s="9">
        <v>32.80448333</v>
      </c>
      <c r="F56" s="9">
        <v>12.06100167</v>
      </c>
      <c r="G56" s="9">
        <v>62.30085</v>
      </c>
      <c r="H56" s="9">
        <v>14.25053833</v>
      </c>
      <c r="I56" s="9">
        <v>49.34385</v>
      </c>
      <c r="J56" s="9">
        <v>13.092695</v>
      </c>
      <c r="K56" s="9">
        <v>44.01005</v>
      </c>
      <c r="L56" s="9">
        <v>12.712665</v>
      </c>
      <c r="M56" s="9">
        <v>64.21378333</v>
      </c>
      <c r="N56" s="9">
        <v>14.69811667</v>
      </c>
      <c r="O56" s="9">
        <v>63.37541667</v>
      </c>
      <c r="P56" s="9">
        <v>13.56224833</v>
      </c>
      <c r="Q56" s="9">
        <v>32.3109</v>
      </c>
      <c r="R56" s="9">
        <v>12.53552833</v>
      </c>
      <c r="S56" s="9">
        <v>46.96528333</v>
      </c>
      <c r="T56" s="9">
        <v>17.64688333</v>
      </c>
      <c r="U56" s="9">
        <v>36.01243333</v>
      </c>
      <c r="V56" s="9">
        <v>12.60777</v>
      </c>
      <c r="W56" s="9">
        <v>59.31441667</v>
      </c>
      <c r="X56" s="9">
        <v>13.42649333</v>
      </c>
      <c r="Y56" s="9">
        <v>33.87355</v>
      </c>
      <c r="Z56" s="9">
        <v>12.73357833</v>
      </c>
      <c r="AA56" s="9">
        <v>41.35108333</v>
      </c>
      <c r="AB56" s="9">
        <v>13.89819333</v>
      </c>
      <c r="AC56" s="9">
        <v>49.98558333</v>
      </c>
      <c r="AD56" s="9">
        <v>12.97231333</v>
      </c>
      <c r="AE56" s="9">
        <v>54.75196667</v>
      </c>
      <c r="AF56" s="9">
        <v>14.76209833</v>
      </c>
      <c r="AG56" s="9">
        <v>54.47681667</v>
      </c>
      <c r="AH56" s="9">
        <v>12.86536333</v>
      </c>
      <c r="AI56" s="9">
        <v>60.03703333</v>
      </c>
      <c r="AJ56" s="9">
        <v>12.86409</v>
      </c>
      <c r="AK56" s="9">
        <v>7.280925</v>
      </c>
      <c r="AL56" s="9">
        <v>1.1749025</v>
      </c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</row>
    <row r="57" ht="15.75" customHeight="1">
      <c r="A57" s="9">
        <v>61.40559</v>
      </c>
      <c r="B57" s="9">
        <v>13.95530833</v>
      </c>
      <c r="C57" s="9">
        <v>68.651885</v>
      </c>
      <c r="D57" s="9">
        <v>10.8304</v>
      </c>
      <c r="E57" s="9">
        <v>41.08495</v>
      </c>
      <c r="F57" s="9">
        <v>12.97848</v>
      </c>
      <c r="G57" s="9">
        <v>68.22088333</v>
      </c>
      <c r="H57" s="9">
        <v>14.28577667</v>
      </c>
      <c r="I57" s="9">
        <v>64.00213333</v>
      </c>
      <c r="J57" s="9">
        <v>15.80657167</v>
      </c>
      <c r="K57" s="9">
        <v>69.3402</v>
      </c>
      <c r="L57" s="9">
        <v>14.13945333</v>
      </c>
      <c r="M57" s="9">
        <v>69.74118333</v>
      </c>
      <c r="N57" s="9">
        <v>16.07782</v>
      </c>
      <c r="O57" s="9">
        <v>67.17955</v>
      </c>
      <c r="P57" s="9">
        <v>15.128105</v>
      </c>
      <c r="Q57" s="9">
        <v>66.32173333</v>
      </c>
      <c r="R57" s="9">
        <v>13.41813167</v>
      </c>
      <c r="S57" s="9">
        <v>65.57265</v>
      </c>
      <c r="T57" s="9">
        <v>18.18685</v>
      </c>
      <c r="U57" s="9">
        <v>44.27035</v>
      </c>
      <c r="V57" s="9">
        <v>13.18438833</v>
      </c>
      <c r="W57" s="9">
        <v>65.67306667</v>
      </c>
      <c r="X57" s="9">
        <v>13.53428833</v>
      </c>
      <c r="Y57" s="9">
        <v>62.23051667</v>
      </c>
      <c r="Z57" s="9">
        <v>13.66171</v>
      </c>
      <c r="AA57" s="9">
        <v>65.78085</v>
      </c>
      <c r="AB57" s="9">
        <v>14.75003</v>
      </c>
      <c r="AC57" s="9">
        <v>63.14745</v>
      </c>
      <c r="AD57" s="9">
        <v>13.922595</v>
      </c>
      <c r="AE57" s="9">
        <v>66.81385</v>
      </c>
      <c r="AF57" s="9">
        <v>15.50008833</v>
      </c>
      <c r="AG57" s="9">
        <v>64.60486667</v>
      </c>
      <c r="AH57" s="9">
        <v>12.63484667</v>
      </c>
      <c r="AI57" s="9">
        <v>63.73151667</v>
      </c>
      <c r="AJ57" s="9">
        <v>15.02683167</v>
      </c>
      <c r="AK57" s="9">
        <v>7.58374</v>
      </c>
      <c r="AL57" s="9">
        <v>1.343408167</v>
      </c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</row>
    <row r="58" ht="15.75" customHeight="1">
      <c r="A58" s="9">
        <v>34.82830167</v>
      </c>
      <c r="B58" s="9">
        <v>5.3968</v>
      </c>
      <c r="C58" s="9">
        <v>49.564085</v>
      </c>
      <c r="D58" s="9">
        <v>3.52119</v>
      </c>
      <c r="E58" s="9">
        <v>26.44581667</v>
      </c>
      <c r="F58" s="9">
        <v>4.98024</v>
      </c>
      <c r="G58" s="9">
        <v>47.08991667</v>
      </c>
      <c r="H58" s="9">
        <v>6.870261667</v>
      </c>
      <c r="I58" s="9">
        <v>35.47105</v>
      </c>
      <c r="J58" s="9">
        <v>6.991178333</v>
      </c>
      <c r="K58" s="9">
        <v>44.49533333</v>
      </c>
      <c r="L58" s="9">
        <v>4.975615</v>
      </c>
      <c r="M58" s="9">
        <v>43.52836667</v>
      </c>
      <c r="N58" s="9">
        <v>7.475201667</v>
      </c>
      <c r="O58" s="9">
        <v>47.68823333</v>
      </c>
      <c r="P58" s="9">
        <v>6.004155</v>
      </c>
      <c r="Q58" s="9">
        <v>45.53766667</v>
      </c>
      <c r="R58" s="9">
        <v>5.377885</v>
      </c>
      <c r="S58" s="9">
        <v>37.94073333</v>
      </c>
      <c r="T58" s="9">
        <v>8.361318333</v>
      </c>
      <c r="U58" s="9">
        <v>27.62103333</v>
      </c>
      <c r="V58" s="9">
        <v>4.587716667</v>
      </c>
      <c r="W58" s="9">
        <v>37.3143</v>
      </c>
      <c r="X58" s="9">
        <v>6.616351667</v>
      </c>
      <c r="Y58" s="9">
        <v>33.06818333</v>
      </c>
      <c r="Z58" s="9">
        <v>5.615545</v>
      </c>
      <c r="AA58" s="9">
        <v>35.19228333</v>
      </c>
      <c r="AB58" s="9">
        <v>5.751978333</v>
      </c>
      <c r="AC58" s="9">
        <v>34.47351667</v>
      </c>
      <c r="AD58" s="9">
        <v>5.429308333</v>
      </c>
      <c r="AE58" s="9">
        <v>43.65633333</v>
      </c>
      <c r="AF58" s="9">
        <v>5.54499</v>
      </c>
      <c r="AG58" s="9">
        <v>34.91656667</v>
      </c>
      <c r="AH58" s="9">
        <v>4.998985</v>
      </c>
      <c r="AI58" s="9">
        <v>36.73828333</v>
      </c>
      <c r="AJ58" s="9">
        <v>5.278721667</v>
      </c>
      <c r="AK58" s="9">
        <v>3.984456667</v>
      </c>
      <c r="AL58" s="9">
        <v>0.4359158333</v>
      </c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</row>
    <row r="59" ht="15.75" customHeight="1">
      <c r="A59" s="9">
        <v>11.6282715</v>
      </c>
      <c r="B59" s="9">
        <v>3.090571667</v>
      </c>
      <c r="C59" s="9">
        <v>28.02983167</v>
      </c>
      <c r="D59" s="9">
        <v>1.995593333</v>
      </c>
      <c r="E59" s="9">
        <v>18.78775</v>
      </c>
      <c r="F59" s="9">
        <v>2.826405</v>
      </c>
      <c r="G59" s="9">
        <v>22.39943333</v>
      </c>
      <c r="H59" s="9">
        <v>3.5747</v>
      </c>
      <c r="I59" s="9">
        <v>28.77511667</v>
      </c>
      <c r="J59" s="9">
        <v>3.440013333</v>
      </c>
      <c r="K59" s="9">
        <v>22.13583333</v>
      </c>
      <c r="L59" s="9">
        <v>3.158513333</v>
      </c>
      <c r="M59" s="9">
        <v>11.71431</v>
      </c>
      <c r="N59" s="9">
        <v>3.274781667</v>
      </c>
      <c r="O59" s="9">
        <v>24.22576667</v>
      </c>
      <c r="P59" s="9">
        <v>3.001906667</v>
      </c>
      <c r="Q59" s="9">
        <v>18.14676667</v>
      </c>
      <c r="R59" s="9">
        <v>2.55548</v>
      </c>
      <c r="S59" s="9">
        <v>15.04830167</v>
      </c>
      <c r="T59" s="9">
        <v>4.320751667</v>
      </c>
      <c r="U59" s="9">
        <v>23.6718</v>
      </c>
      <c r="V59" s="9">
        <v>3.775161667</v>
      </c>
      <c r="W59" s="9">
        <v>44.50708333</v>
      </c>
      <c r="X59" s="9">
        <v>3.173431667</v>
      </c>
      <c r="Y59" s="9">
        <v>17.90323333</v>
      </c>
      <c r="Z59" s="9">
        <v>2.759708333</v>
      </c>
      <c r="AA59" s="9">
        <v>13.37513667</v>
      </c>
      <c r="AB59" s="9">
        <v>3.216218333</v>
      </c>
      <c r="AC59" s="9">
        <v>39.69471667</v>
      </c>
      <c r="AD59" s="9">
        <v>3.388625</v>
      </c>
      <c r="AE59" s="9">
        <v>35.89255</v>
      </c>
      <c r="AF59" s="9">
        <v>2.92166</v>
      </c>
      <c r="AG59" s="9">
        <v>11.10318667</v>
      </c>
      <c r="AH59" s="9">
        <v>2.658185</v>
      </c>
      <c r="AI59" s="9">
        <v>27.15893333</v>
      </c>
      <c r="AJ59" s="9">
        <v>3.647815</v>
      </c>
      <c r="AK59" s="9">
        <v>3.44864</v>
      </c>
      <c r="AL59" s="9">
        <v>0.3422311667</v>
      </c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</row>
    <row r="60" ht="15.75" customHeight="1">
      <c r="A60" s="9">
        <v>22.34196667</v>
      </c>
      <c r="B60" s="9">
        <v>2.24853</v>
      </c>
      <c r="C60" s="9">
        <v>26.03052833</v>
      </c>
      <c r="D60" s="9">
        <v>2.939128333</v>
      </c>
      <c r="E60" s="9">
        <v>6.874015</v>
      </c>
      <c r="F60" s="9">
        <v>1.706045</v>
      </c>
      <c r="G60" s="9">
        <v>10.56723</v>
      </c>
      <c r="H60" s="9">
        <v>1.607168</v>
      </c>
      <c r="I60" s="9">
        <v>19.93855</v>
      </c>
      <c r="J60" s="9">
        <v>3.483423333</v>
      </c>
      <c r="K60" s="9">
        <v>21.73708333</v>
      </c>
      <c r="L60" s="9">
        <v>2.567043333</v>
      </c>
      <c r="M60" s="9">
        <v>9.060445</v>
      </c>
      <c r="N60" s="9">
        <v>1.794468333</v>
      </c>
      <c r="O60" s="9">
        <v>26.84918333</v>
      </c>
      <c r="P60" s="9">
        <v>1.75598</v>
      </c>
      <c r="Q60" s="9">
        <v>21.30355</v>
      </c>
      <c r="R60" s="9">
        <v>2.86519</v>
      </c>
      <c r="S60" s="9">
        <v>18.78583333</v>
      </c>
      <c r="T60" s="9">
        <v>2.732858333</v>
      </c>
      <c r="U60" s="9">
        <v>8.228878333</v>
      </c>
      <c r="V60" s="9">
        <v>1.468256833</v>
      </c>
      <c r="W60" s="9">
        <v>10.275905</v>
      </c>
      <c r="X60" s="9">
        <v>1.745595</v>
      </c>
      <c r="Y60" s="9">
        <v>11.46736333</v>
      </c>
      <c r="Z60" s="9">
        <v>1.89315</v>
      </c>
      <c r="AA60" s="9">
        <v>24.84648333</v>
      </c>
      <c r="AB60" s="9">
        <v>3.139043333</v>
      </c>
      <c r="AC60" s="9">
        <v>9.838655</v>
      </c>
      <c r="AD60" s="9">
        <v>1.679703333</v>
      </c>
      <c r="AE60" s="9">
        <v>12.41986167</v>
      </c>
      <c r="AF60" s="9">
        <v>2.005783333</v>
      </c>
      <c r="AG60" s="9">
        <v>18.8523</v>
      </c>
      <c r="AH60" s="9">
        <v>2.212555</v>
      </c>
      <c r="AI60" s="9">
        <v>9.175561667</v>
      </c>
      <c r="AJ60" s="9">
        <v>1.825366667</v>
      </c>
      <c r="AK60" s="9">
        <v>3.371721667</v>
      </c>
      <c r="AL60" s="9">
        <v>0.3405905</v>
      </c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</row>
    <row r="61" ht="15.75" customHeight="1">
      <c r="A61" s="9">
        <v>33.41018833</v>
      </c>
      <c r="B61" s="9">
        <v>8.528688333</v>
      </c>
      <c r="C61" s="9">
        <v>35.93460167</v>
      </c>
      <c r="D61" s="9">
        <v>6.199711667</v>
      </c>
      <c r="E61" s="9">
        <v>22.91631667</v>
      </c>
      <c r="F61" s="9">
        <v>9.05304</v>
      </c>
      <c r="G61" s="9">
        <v>40.7198</v>
      </c>
      <c r="H61" s="9">
        <v>8.817041667</v>
      </c>
      <c r="I61" s="9">
        <v>33.05996667</v>
      </c>
      <c r="J61" s="9">
        <v>8.516853333</v>
      </c>
      <c r="K61" s="9">
        <v>37.63028333</v>
      </c>
      <c r="L61" s="9">
        <v>8.005945</v>
      </c>
      <c r="M61" s="9">
        <v>37.1188</v>
      </c>
      <c r="N61" s="9">
        <v>9.715423333</v>
      </c>
      <c r="O61" s="9">
        <v>38.161</v>
      </c>
      <c r="P61" s="9">
        <v>8.019453333</v>
      </c>
      <c r="Q61" s="9">
        <v>41.25261667</v>
      </c>
      <c r="R61" s="9">
        <v>9.049113333</v>
      </c>
      <c r="S61" s="9">
        <v>38.50288333</v>
      </c>
      <c r="T61" s="9">
        <v>9.708473333</v>
      </c>
      <c r="U61" s="9">
        <v>22.90966667</v>
      </c>
      <c r="V61" s="9">
        <v>7.507746667</v>
      </c>
      <c r="W61" s="9">
        <v>41.58121667</v>
      </c>
      <c r="X61" s="9">
        <v>7.751645</v>
      </c>
      <c r="Y61" s="9">
        <v>36.16886667</v>
      </c>
      <c r="Z61" s="9">
        <v>8.273683333</v>
      </c>
      <c r="AA61" s="9">
        <v>38.58311667</v>
      </c>
      <c r="AB61" s="9">
        <v>8.343188333</v>
      </c>
      <c r="AC61" s="9">
        <v>37.30055</v>
      </c>
      <c r="AD61" s="9">
        <v>7.642353333</v>
      </c>
      <c r="AE61" s="9">
        <v>39.13631667</v>
      </c>
      <c r="AF61" s="9">
        <v>7.533921667</v>
      </c>
      <c r="AG61" s="9">
        <v>34.9026</v>
      </c>
      <c r="AH61" s="9">
        <v>7.573525</v>
      </c>
      <c r="AI61" s="9">
        <v>38.20585</v>
      </c>
      <c r="AJ61" s="9">
        <v>7.91106</v>
      </c>
      <c r="AK61" s="9">
        <v>5.290643333</v>
      </c>
      <c r="AL61" s="9">
        <v>0.6494235</v>
      </c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</row>
    <row r="62" ht="15.75" customHeight="1">
      <c r="A62" s="9">
        <v>213.171</v>
      </c>
      <c r="B62" s="9">
        <v>43.78406667</v>
      </c>
      <c r="C62" s="9">
        <v>213.9646833</v>
      </c>
      <c r="D62" s="9">
        <v>44.75615</v>
      </c>
      <c r="E62" s="9">
        <v>117.3087167</v>
      </c>
      <c r="F62" s="9">
        <v>43.11241667</v>
      </c>
      <c r="G62" s="9">
        <v>213.6578333</v>
      </c>
      <c r="H62" s="9">
        <v>45.15441667</v>
      </c>
      <c r="I62" s="9">
        <v>213.376</v>
      </c>
      <c r="J62" s="9">
        <v>43.44361667</v>
      </c>
      <c r="K62" s="9">
        <v>214.71</v>
      </c>
      <c r="L62" s="9">
        <v>43.01518333</v>
      </c>
      <c r="M62" s="9">
        <v>216.4938333</v>
      </c>
      <c r="N62" s="9">
        <v>47.05835</v>
      </c>
      <c r="O62" s="9">
        <v>213.313</v>
      </c>
      <c r="P62" s="9">
        <v>45.15205</v>
      </c>
      <c r="Q62" s="9">
        <v>214.7916667</v>
      </c>
      <c r="R62" s="9">
        <v>43.28315</v>
      </c>
      <c r="S62" s="9">
        <v>217.1313333</v>
      </c>
      <c r="T62" s="9">
        <v>51.29181667</v>
      </c>
      <c r="U62" s="9">
        <v>119.7875167</v>
      </c>
      <c r="V62" s="9">
        <v>42.75565</v>
      </c>
      <c r="W62" s="9">
        <v>214.1221667</v>
      </c>
      <c r="X62" s="9">
        <v>43.45191667</v>
      </c>
      <c r="Y62" s="9">
        <v>213.1876667</v>
      </c>
      <c r="Z62" s="9">
        <v>43.43993333</v>
      </c>
      <c r="AA62" s="9">
        <v>213.4831667</v>
      </c>
      <c r="AB62" s="9">
        <v>45.14033333</v>
      </c>
      <c r="AC62" s="9">
        <v>213.5811667</v>
      </c>
      <c r="AD62" s="9">
        <v>44.48403333</v>
      </c>
      <c r="AE62" s="9">
        <v>213.577</v>
      </c>
      <c r="AF62" s="9">
        <v>42.94603333</v>
      </c>
      <c r="AG62" s="9">
        <v>213.5536667</v>
      </c>
      <c r="AH62" s="9">
        <v>42.75861667</v>
      </c>
      <c r="AI62" s="9">
        <v>213.6971667</v>
      </c>
      <c r="AJ62" s="9">
        <v>42.92501667</v>
      </c>
      <c r="AK62" s="9">
        <v>14.127885</v>
      </c>
      <c r="AL62" s="9">
        <v>2.653331667</v>
      </c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</row>
    <row r="63" ht="15.75" customHeight="1">
      <c r="A63" s="9">
        <v>31.63536667</v>
      </c>
      <c r="B63" s="9">
        <v>9.592015</v>
      </c>
      <c r="C63" s="9">
        <v>36.29375333</v>
      </c>
      <c r="D63" s="9">
        <v>7.84188</v>
      </c>
      <c r="E63" s="9">
        <v>21.7876</v>
      </c>
      <c r="F63" s="9">
        <v>8.723393333</v>
      </c>
      <c r="G63" s="9">
        <v>37.71063333</v>
      </c>
      <c r="H63" s="9">
        <v>8.908371667</v>
      </c>
      <c r="I63" s="9">
        <v>34.21868333</v>
      </c>
      <c r="J63" s="9">
        <v>7.57512</v>
      </c>
      <c r="K63" s="9">
        <v>34.81358333</v>
      </c>
      <c r="L63" s="9">
        <v>8.200631667</v>
      </c>
      <c r="M63" s="9">
        <v>34.52528333</v>
      </c>
      <c r="N63" s="9">
        <v>8.65919</v>
      </c>
      <c r="O63" s="9">
        <v>37.7696</v>
      </c>
      <c r="P63" s="9">
        <v>8.24114</v>
      </c>
      <c r="Q63" s="9">
        <v>33.22983333</v>
      </c>
      <c r="R63" s="9">
        <v>7.173353333</v>
      </c>
      <c r="S63" s="9">
        <v>35.93493333</v>
      </c>
      <c r="T63" s="9">
        <v>12.38256</v>
      </c>
      <c r="U63" s="9">
        <v>26.34368333</v>
      </c>
      <c r="V63" s="9">
        <v>8.546035</v>
      </c>
      <c r="W63" s="9">
        <v>37.35481667</v>
      </c>
      <c r="X63" s="9">
        <v>10.63762667</v>
      </c>
      <c r="Y63" s="9">
        <v>32.62648333</v>
      </c>
      <c r="Z63" s="9">
        <v>8.419836667</v>
      </c>
      <c r="AA63" s="9">
        <v>34.8478</v>
      </c>
      <c r="AB63" s="9">
        <v>8.506765</v>
      </c>
      <c r="AC63" s="9">
        <v>35.00188333</v>
      </c>
      <c r="AD63" s="9">
        <v>7.414156667</v>
      </c>
      <c r="AE63" s="9">
        <v>36.05855</v>
      </c>
      <c r="AF63" s="9">
        <v>7.944113333</v>
      </c>
      <c r="AG63" s="9">
        <v>34.61763333</v>
      </c>
      <c r="AH63" s="9">
        <v>8.545733333</v>
      </c>
      <c r="AI63" s="9">
        <v>38.28255</v>
      </c>
      <c r="AJ63" s="9">
        <v>7.670318333</v>
      </c>
      <c r="AK63" s="9">
        <v>4.191883333</v>
      </c>
      <c r="AL63" s="9">
        <v>0.6694736667</v>
      </c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</row>
    <row r="64" ht="15.75" customHeight="1">
      <c r="A64" s="9">
        <v>14.86081567</v>
      </c>
      <c r="B64" s="9">
        <v>5.320128333</v>
      </c>
      <c r="C64" s="9">
        <v>15.54849867</v>
      </c>
      <c r="D64" s="9">
        <v>2.918286667</v>
      </c>
      <c r="E64" s="9">
        <v>12.07679833</v>
      </c>
      <c r="F64" s="9">
        <v>4.967865</v>
      </c>
      <c r="G64" s="9">
        <v>14.490005</v>
      </c>
      <c r="H64" s="9">
        <v>5.188943333</v>
      </c>
      <c r="I64" s="9">
        <v>15.05099</v>
      </c>
      <c r="J64" s="9">
        <v>4.96297</v>
      </c>
      <c r="K64" s="9">
        <v>16.0781</v>
      </c>
      <c r="L64" s="9">
        <v>4.673771667</v>
      </c>
      <c r="M64" s="9">
        <v>16.07226333</v>
      </c>
      <c r="N64" s="9">
        <v>4.523173333</v>
      </c>
      <c r="O64" s="9">
        <v>15.447225</v>
      </c>
      <c r="P64" s="9">
        <v>4.326193333</v>
      </c>
      <c r="Q64" s="9">
        <v>16.34403667</v>
      </c>
      <c r="R64" s="9">
        <v>4.322513333</v>
      </c>
      <c r="S64" s="9">
        <v>15.50340167</v>
      </c>
      <c r="T64" s="9">
        <v>4.635016667</v>
      </c>
      <c r="U64" s="9">
        <v>12.29540167</v>
      </c>
      <c r="V64" s="9">
        <v>4.800828333</v>
      </c>
      <c r="W64" s="9">
        <v>15.24786</v>
      </c>
      <c r="X64" s="9">
        <v>4.347306667</v>
      </c>
      <c r="Y64" s="9">
        <v>15.42170333</v>
      </c>
      <c r="Z64" s="9">
        <v>4.679593333</v>
      </c>
      <c r="AA64" s="9">
        <v>15.824385</v>
      </c>
      <c r="AB64" s="9">
        <v>5.281545</v>
      </c>
      <c r="AC64" s="9">
        <v>16.77138333</v>
      </c>
      <c r="AD64" s="9">
        <v>4.005996667</v>
      </c>
      <c r="AE64" s="9">
        <v>15.53887833</v>
      </c>
      <c r="AF64" s="9">
        <v>3.730191667</v>
      </c>
      <c r="AG64" s="9">
        <v>14.616725</v>
      </c>
      <c r="AH64" s="9">
        <v>4.508158333</v>
      </c>
      <c r="AI64" s="9">
        <v>15.50572167</v>
      </c>
      <c r="AJ64" s="9">
        <v>4.631186667</v>
      </c>
      <c r="AK64" s="9">
        <v>3.236923333</v>
      </c>
      <c r="AL64" s="9">
        <v>0.4692021667</v>
      </c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</row>
    <row r="65" ht="15.75" customHeight="1">
      <c r="A65" s="9">
        <v>14.47421067</v>
      </c>
      <c r="B65" s="9">
        <v>5.405751667</v>
      </c>
      <c r="C65" s="9">
        <v>16.56996067</v>
      </c>
      <c r="D65" s="9">
        <v>3.235388333</v>
      </c>
      <c r="E65" s="9">
        <v>11.37202167</v>
      </c>
      <c r="F65" s="9">
        <v>4.698656667</v>
      </c>
      <c r="G65" s="9">
        <v>16.47673833</v>
      </c>
      <c r="H65" s="9">
        <v>6.615265</v>
      </c>
      <c r="I65" s="9">
        <v>14.876305</v>
      </c>
      <c r="J65" s="9">
        <v>5.153391667</v>
      </c>
      <c r="K65" s="9">
        <v>15.83296</v>
      </c>
      <c r="L65" s="9">
        <v>4.282845</v>
      </c>
      <c r="M65" s="9">
        <v>14.35974</v>
      </c>
      <c r="N65" s="9">
        <v>5.491938333</v>
      </c>
      <c r="O65" s="9">
        <v>15.15794</v>
      </c>
      <c r="P65" s="9">
        <v>4.515776667</v>
      </c>
      <c r="Q65" s="9">
        <v>18.4932</v>
      </c>
      <c r="R65" s="9">
        <v>4.2584</v>
      </c>
      <c r="S65" s="9">
        <v>14.60586167</v>
      </c>
      <c r="T65" s="9">
        <v>4.821783333</v>
      </c>
      <c r="U65" s="9">
        <v>12.02846167</v>
      </c>
      <c r="V65" s="9">
        <v>4.619183333</v>
      </c>
      <c r="W65" s="9">
        <v>14.946455</v>
      </c>
      <c r="X65" s="9">
        <v>2.9521</v>
      </c>
      <c r="Y65" s="9">
        <v>14.92710667</v>
      </c>
      <c r="Z65" s="9">
        <v>4.396285</v>
      </c>
      <c r="AA65" s="9">
        <v>14.296235</v>
      </c>
      <c r="AB65" s="9">
        <v>4.723348333</v>
      </c>
      <c r="AC65" s="9">
        <v>14.61553333</v>
      </c>
      <c r="AD65" s="9">
        <v>3.625376667</v>
      </c>
      <c r="AE65" s="9">
        <v>15.77200833</v>
      </c>
      <c r="AF65" s="9">
        <v>3.061701667</v>
      </c>
      <c r="AG65" s="9">
        <v>15.24871</v>
      </c>
      <c r="AH65" s="9">
        <v>4.967508333</v>
      </c>
      <c r="AI65" s="9">
        <v>15.44712167</v>
      </c>
      <c r="AJ65" s="9">
        <v>3.857488333</v>
      </c>
      <c r="AK65" s="9">
        <v>3.234925</v>
      </c>
      <c r="AL65" s="9">
        <v>0.3291178333</v>
      </c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</row>
    <row r="66" ht="15.75" customHeight="1">
      <c r="A66" s="9">
        <v>14.7902185</v>
      </c>
      <c r="B66" s="9">
        <v>5.980045</v>
      </c>
      <c r="C66" s="9">
        <v>16.44582983</v>
      </c>
      <c r="D66" s="9">
        <v>3.555693333</v>
      </c>
      <c r="E66" s="9">
        <v>11.00124667</v>
      </c>
      <c r="F66" s="9">
        <v>5.465546667</v>
      </c>
      <c r="G66" s="9">
        <v>14.7396</v>
      </c>
      <c r="H66" s="9">
        <v>4.722761667</v>
      </c>
      <c r="I66" s="9">
        <v>15.53134333</v>
      </c>
      <c r="J66" s="9">
        <v>5.001263333</v>
      </c>
      <c r="K66" s="9">
        <v>15.71588167</v>
      </c>
      <c r="L66" s="9">
        <v>4.45424</v>
      </c>
      <c r="M66" s="9">
        <v>15.21952333</v>
      </c>
      <c r="N66" s="9">
        <v>5.143601667</v>
      </c>
      <c r="O66" s="9">
        <v>16.64461167</v>
      </c>
      <c r="P66" s="9">
        <v>4.334048333</v>
      </c>
      <c r="Q66" s="9">
        <v>14.05638167</v>
      </c>
      <c r="R66" s="9">
        <v>4.890766667</v>
      </c>
      <c r="S66" s="9">
        <v>16.56059167</v>
      </c>
      <c r="T66" s="9">
        <v>5.28599</v>
      </c>
      <c r="U66" s="9">
        <v>11.74144</v>
      </c>
      <c r="V66" s="9">
        <v>4.124091667</v>
      </c>
      <c r="W66" s="9">
        <v>14.93418</v>
      </c>
      <c r="X66" s="9">
        <v>3.592088333</v>
      </c>
      <c r="Y66" s="9">
        <v>14.61057667</v>
      </c>
      <c r="Z66" s="9">
        <v>4.288321667</v>
      </c>
      <c r="AA66" s="9">
        <v>14.10278333</v>
      </c>
      <c r="AB66" s="9">
        <v>6.544486667</v>
      </c>
      <c r="AC66" s="9">
        <v>14.89098333</v>
      </c>
      <c r="AD66" s="9">
        <v>4.721996667</v>
      </c>
      <c r="AE66" s="9">
        <v>15.10774667</v>
      </c>
      <c r="AF66" s="9">
        <v>3.921151667</v>
      </c>
      <c r="AG66" s="9">
        <v>15.033975</v>
      </c>
      <c r="AH66" s="9">
        <v>5.100453333</v>
      </c>
      <c r="AI66" s="9">
        <v>15.70852833</v>
      </c>
      <c r="AJ66" s="9">
        <v>3.760638333</v>
      </c>
      <c r="AK66" s="9">
        <v>3.227826667</v>
      </c>
      <c r="AL66" s="9">
        <v>0.3518516667</v>
      </c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</row>
    <row r="67" ht="15.75" customHeight="1">
      <c r="A67" s="9">
        <v>46.52572833</v>
      </c>
      <c r="B67" s="9">
        <v>5.525021667</v>
      </c>
      <c r="C67" s="9">
        <v>61.16275667</v>
      </c>
      <c r="D67" s="9">
        <v>7.248875</v>
      </c>
      <c r="E67" s="9">
        <v>32.56225</v>
      </c>
      <c r="F67" s="9">
        <v>5.70173</v>
      </c>
      <c r="G67" s="9">
        <v>56.69726667</v>
      </c>
      <c r="H67" s="9">
        <v>4.750586667</v>
      </c>
      <c r="I67" s="9">
        <v>55.73063333</v>
      </c>
      <c r="J67" s="9">
        <v>5.807903333</v>
      </c>
      <c r="K67" s="9">
        <v>64.4929</v>
      </c>
      <c r="L67" s="9">
        <v>5.01868</v>
      </c>
      <c r="M67" s="9">
        <v>50.60296667</v>
      </c>
      <c r="N67" s="9">
        <v>5.219086667</v>
      </c>
      <c r="O67" s="9">
        <v>51.37281667</v>
      </c>
      <c r="P67" s="9">
        <v>6.649096667</v>
      </c>
      <c r="Q67" s="9">
        <v>48.29528333</v>
      </c>
      <c r="R67" s="9">
        <v>5.137346667</v>
      </c>
      <c r="S67" s="9">
        <v>53.64113333</v>
      </c>
      <c r="T67" s="9">
        <v>5.276633333</v>
      </c>
      <c r="U67" s="9">
        <v>33.96931667</v>
      </c>
      <c r="V67" s="9">
        <v>4.869086667</v>
      </c>
      <c r="W67" s="9">
        <v>44.12823333</v>
      </c>
      <c r="X67" s="9">
        <v>4.501023333</v>
      </c>
      <c r="Y67" s="9">
        <v>47.99621667</v>
      </c>
      <c r="Z67" s="9">
        <v>4.890968333</v>
      </c>
      <c r="AA67" s="9">
        <v>48.2199</v>
      </c>
      <c r="AB67" s="9">
        <v>8.201446667</v>
      </c>
      <c r="AC67" s="9">
        <v>44.21198333</v>
      </c>
      <c r="AD67" s="9">
        <v>6.02964</v>
      </c>
      <c r="AE67" s="9">
        <v>49.67158333</v>
      </c>
      <c r="AF67" s="9">
        <v>4.884101667</v>
      </c>
      <c r="AG67" s="9">
        <v>47.4968</v>
      </c>
      <c r="AH67" s="9">
        <v>4.461333333</v>
      </c>
      <c r="AI67" s="9">
        <v>46.64933333</v>
      </c>
      <c r="AJ67" s="9">
        <v>5.371386667</v>
      </c>
      <c r="AK67" s="9">
        <v>3.395173333</v>
      </c>
      <c r="AL67" s="9">
        <v>0.4328721667</v>
      </c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</row>
    <row r="68" ht="15.75" customHeight="1">
      <c r="A68" s="9">
        <v>51.63265333</v>
      </c>
      <c r="B68" s="9">
        <v>13.46854667</v>
      </c>
      <c r="C68" s="9">
        <v>33.56721333</v>
      </c>
      <c r="D68" s="9">
        <v>12.39351667</v>
      </c>
      <c r="E68" s="9">
        <v>31.3439</v>
      </c>
      <c r="F68" s="9">
        <v>13.09306667</v>
      </c>
      <c r="G68" s="9">
        <v>59.61246667</v>
      </c>
      <c r="H68" s="9">
        <v>12.66142</v>
      </c>
      <c r="I68" s="9">
        <v>59.31991667</v>
      </c>
      <c r="J68" s="9">
        <v>13.75961833</v>
      </c>
      <c r="K68" s="9">
        <v>60.33743333</v>
      </c>
      <c r="L68" s="9">
        <v>12.41123667</v>
      </c>
      <c r="M68" s="9">
        <v>48.0872</v>
      </c>
      <c r="N68" s="9">
        <v>13.187315</v>
      </c>
      <c r="O68" s="9">
        <v>60.2444</v>
      </c>
      <c r="P68" s="9">
        <v>12.78589833</v>
      </c>
      <c r="Q68" s="9">
        <v>57.70893333</v>
      </c>
      <c r="R68" s="9">
        <v>13.4771</v>
      </c>
      <c r="S68" s="9">
        <v>59.39476667</v>
      </c>
      <c r="T68" s="9">
        <v>13.86961333</v>
      </c>
      <c r="U68" s="9">
        <v>32.76563333</v>
      </c>
      <c r="V68" s="9">
        <v>11.800155</v>
      </c>
      <c r="W68" s="9">
        <v>55.77005</v>
      </c>
      <c r="X68" s="9">
        <v>12.104055</v>
      </c>
      <c r="Y68" s="9">
        <v>32.9699</v>
      </c>
      <c r="Z68" s="9">
        <v>12.82229167</v>
      </c>
      <c r="AA68" s="9">
        <v>57.9343</v>
      </c>
      <c r="AB68" s="9">
        <v>14.67634333</v>
      </c>
      <c r="AC68" s="9">
        <v>44.1211</v>
      </c>
      <c r="AD68" s="9">
        <v>12.45754</v>
      </c>
      <c r="AE68" s="9">
        <v>45.02815</v>
      </c>
      <c r="AF68" s="9">
        <v>12.203345</v>
      </c>
      <c r="AG68" s="9">
        <v>52.68055</v>
      </c>
      <c r="AH68" s="9">
        <v>11.80021333</v>
      </c>
      <c r="AI68" s="9">
        <v>60.56376667</v>
      </c>
      <c r="AJ68" s="9">
        <v>12.662035</v>
      </c>
      <c r="AK68" s="9">
        <v>6.687711667</v>
      </c>
      <c r="AL68" s="9">
        <v>1.0431155</v>
      </c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</row>
    <row r="69" ht="15.75" customHeight="1">
      <c r="A69" s="9">
        <v>57.54864333</v>
      </c>
      <c r="B69" s="9">
        <v>13.55853833</v>
      </c>
      <c r="C69" s="9">
        <v>59.57242333</v>
      </c>
      <c r="D69" s="9">
        <v>38.5453</v>
      </c>
      <c r="E69" s="9">
        <v>42.92583333</v>
      </c>
      <c r="F69" s="9">
        <v>14.20582</v>
      </c>
      <c r="G69" s="9">
        <v>62.62206667</v>
      </c>
      <c r="H69" s="9">
        <v>14.84680833</v>
      </c>
      <c r="I69" s="9">
        <v>62.1747</v>
      </c>
      <c r="J69" s="9">
        <v>14.50026667</v>
      </c>
      <c r="K69" s="9">
        <v>61.45483333</v>
      </c>
      <c r="L69" s="9">
        <v>14.62531833</v>
      </c>
      <c r="M69" s="9">
        <v>60.22041667</v>
      </c>
      <c r="N69" s="9">
        <v>23.22076667</v>
      </c>
      <c r="O69" s="9">
        <v>64.53376667</v>
      </c>
      <c r="P69" s="9">
        <v>15.182675</v>
      </c>
      <c r="Q69" s="9">
        <v>60.07458333</v>
      </c>
      <c r="R69" s="9">
        <v>14.72020167</v>
      </c>
      <c r="S69" s="9">
        <v>61.26145</v>
      </c>
      <c r="T69" s="9">
        <v>15.36602667</v>
      </c>
      <c r="U69" s="9">
        <v>45.61068333</v>
      </c>
      <c r="V69" s="9">
        <v>13.729785</v>
      </c>
      <c r="W69" s="9">
        <v>61.76386667</v>
      </c>
      <c r="X69" s="9">
        <v>13.09102167</v>
      </c>
      <c r="Y69" s="9">
        <v>57.1604</v>
      </c>
      <c r="Z69" s="9">
        <v>13.04660333</v>
      </c>
      <c r="AA69" s="9">
        <v>60.6933</v>
      </c>
      <c r="AB69" s="9">
        <v>22.6457</v>
      </c>
      <c r="AC69" s="9">
        <v>61.23273333</v>
      </c>
      <c r="AD69" s="9">
        <v>13.76447667</v>
      </c>
      <c r="AE69" s="9">
        <v>60.00198333</v>
      </c>
      <c r="AF69" s="9">
        <v>13.743755</v>
      </c>
      <c r="AG69" s="9">
        <v>57.82985</v>
      </c>
      <c r="AH69" s="9">
        <v>14.80187</v>
      </c>
      <c r="AI69" s="9">
        <v>64.68126667</v>
      </c>
      <c r="AJ69" s="9">
        <v>13.73275667</v>
      </c>
      <c r="AK69" s="9">
        <v>7.480138333</v>
      </c>
      <c r="AL69" s="9">
        <v>1.312114667</v>
      </c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</row>
    <row r="70" ht="15.75" customHeight="1">
      <c r="A70" s="9">
        <v>51.30378333</v>
      </c>
      <c r="B70" s="9">
        <v>12.26821833</v>
      </c>
      <c r="C70" s="9">
        <v>34.35224333</v>
      </c>
      <c r="D70" s="9">
        <v>25.57523333</v>
      </c>
      <c r="E70" s="9">
        <v>33.2019</v>
      </c>
      <c r="F70" s="9">
        <v>13.08248167</v>
      </c>
      <c r="G70" s="9">
        <v>63.43798333</v>
      </c>
      <c r="H70" s="9">
        <v>14.27793667</v>
      </c>
      <c r="I70" s="9">
        <v>62.35</v>
      </c>
      <c r="J70" s="9">
        <v>13.249815</v>
      </c>
      <c r="K70" s="9">
        <v>63.55105</v>
      </c>
      <c r="L70" s="9">
        <v>14.76411</v>
      </c>
      <c r="M70" s="9">
        <v>57.12431667</v>
      </c>
      <c r="N70" s="9">
        <v>14.65916333</v>
      </c>
      <c r="O70" s="9">
        <v>63.84303333</v>
      </c>
      <c r="P70" s="9">
        <v>13.22466833</v>
      </c>
      <c r="Q70" s="9">
        <v>60.18155</v>
      </c>
      <c r="R70" s="9">
        <v>13.2556</v>
      </c>
      <c r="S70" s="9">
        <v>46.98138333</v>
      </c>
      <c r="T70" s="9">
        <v>14.07246833</v>
      </c>
      <c r="U70" s="9">
        <v>32.69541667</v>
      </c>
      <c r="V70" s="9">
        <v>12.43812667</v>
      </c>
      <c r="W70" s="9">
        <v>58.8147</v>
      </c>
      <c r="X70" s="9">
        <v>12.14620667</v>
      </c>
      <c r="Y70" s="9">
        <v>35.95293333</v>
      </c>
      <c r="Z70" s="9">
        <v>12.56543333</v>
      </c>
      <c r="AA70" s="9">
        <v>58.68038333</v>
      </c>
      <c r="AB70" s="9">
        <v>14.55924667</v>
      </c>
      <c r="AC70" s="9">
        <v>42.70818333</v>
      </c>
      <c r="AD70" s="9">
        <v>12.503685</v>
      </c>
      <c r="AE70" s="9">
        <v>53.07676667</v>
      </c>
      <c r="AF70" s="9">
        <v>13.86515833</v>
      </c>
      <c r="AG70" s="9">
        <v>54.37716667</v>
      </c>
      <c r="AH70" s="9">
        <v>13.47810333</v>
      </c>
      <c r="AI70" s="9">
        <v>60.46336667</v>
      </c>
      <c r="AJ70" s="9">
        <v>12.19165833</v>
      </c>
      <c r="AK70" s="9">
        <v>6.661873333</v>
      </c>
      <c r="AL70" s="9">
        <v>1.148061</v>
      </c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</row>
    <row r="71" ht="15.75" customHeight="1">
      <c r="A71" s="40" t="s">
        <v>85</v>
      </c>
      <c r="B71" s="40" t="s">
        <v>85</v>
      </c>
      <c r="C71" s="1" t="s">
        <v>85</v>
      </c>
      <c r="D71" s="9" t="s">
        <v>85</v>
      </c>
      <c r="E71" s="40" t="s">
        <v>85</v>
      </c>
      <c r="F71" s="40" t="s">
        <v>85</v>
      </c>
      <c r="G71" s="9">
        <v>59.77401667</v>
      </c>
      <c r="H71" s="9">
        <v>14.037025</v>
      </c>
      <c r="I71" s="40" t="s">
        <v>85</v>
      </c>
      <c r="J71" s="40" t="s">
        <v>85</v>
      </c>
      <c r="K71" s="1" t="s">
        <v>85</v>
      </c>
      <c r="L71" s="9" t="s">
        <v>85</v>
      </c>
      <c r="M71" s="9">
        <v>39.01425</v>
      </c>
      <c r="N71" s="9">
        <v>14.47985667</v>
      </c>
      <c r="O71" s="9">
        <v>57.58548333</v>
      </c>
      <c r="P71" s="9">
        <v>13.35376333</v>
      </c>
      <c r="Q71" s="1" t="s">
        <v>85</v>
      </c>
      <c r="R71" s="10" t="s">
        <v>85</v>
      </c>
      <c r="S71" s="1" t="s">
        <v>85</v>
      </c>
      <c r="T71" s="9">
        <v>15.25934833</v>
      </c>
      <c r="U71" s="40" t="s">
        <v>85</v>
      </c>
      <c r="V71" s="40" t="s">
        <v>85</v>
      </c>
      <c r="W71" s="9">
        <v>39.6457</v>
      </c>
      <c r="X71" s="9">
        <v>12.109965</v>
      </c>
      <c r="Y71" s="40" t="s">
        <v>85</v>
      </c>
      <c r="Z71" s="40" t="s">
        <v>85</v>
      </c>
      <c r="AA71" s="1" t="s">
        <v>85</v>
      </c>
      <c r="AB71" s="9">
        <v>14.10041167</v>
      </c>
      <c r="AC71" s="9">
        <v>36.95206667</v>
      </c>
      <c r="AD71" s="9">
        <v>13.198235</v>
      </c>
      <c r="AE71" s="9">
        <v>41.25046667</v>
      </c>
      <c r="AF71" s="9">
        <v>12.981695</v>
      </c>
      <c r="AG71" s="40" t="s">
        <v>85</v>
      </c>
      <c r="AH71" s="40" t="s">
        <v>85</v>
      </c>
      <c r="AI71" s="9">
        <v>38.47123333</v>
      </c>
      <c r="AJ71" s="9">
        <v>11.80938167</v>
      </c>
      <c r="AK71" s="9">
        <v>6.590106667</v>
      </c>
      <c r="AL71" s="9">
        <v>0.7752045</v>
      </c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</row>
    <row r="72" ht="15.75" customHeight="1">
      <c r="A72" s="9">
        <v>18.24399167</v>
      </c>
      <c r="B72" s="9">
        <v>3.070503333</v>
      </c>
      <c r="C72" s="9">
        <v>15.64773633</v>
      </c>
      <c r="D72" s="9">
        <v>2.567583333</v>
      </c>
      <c r="E72" s="9">
        <v>12.43561</v>
      </c>
      <c r="F72" s="9">
        <v>2.323746667</v>
      </c>
      <c r="G72" s="9">
        <v>26.83841667</v>
      </c>
      <c r="H72" s="9">
        <v>3.205575</v>
      </c>
      <c r="I72" s="9">
        <v>12.40648167</v>
      </c>
      <c r="J72" s="9">
        <v>3.173641667</v>
      </c>
      <c r="K72" s="9">
        <v>20.50061667</v>
      </c>
      <c r="L72" s="9">
        <v>12.894165</v>
      </c>
      <c r="M72" s="9">
        <v>20.18961667</v>
      </c>
      <c r="N72" s="9">
        <v>3.03687</v>
      </c>
      <c r="O72" s="9">
        <v>19.43776667</v>
      </c>
      <c r="P72" s="9">
        <v>3.441455</v>
      </c>
      <c r="Q72" s="9">
        <v>19.4647</v>
      </c>
      <c r="R72" s="9">
        <v>2.901513333</v>
      </c>
      <c r="S72" s="9">
        <v>15.378465</v>
      </c>
      <c r="T72" s="9">
        <v>3.584403333</v>
      </c>
      <c r="U72" s="9">
        <v>9.488738333</v>
      </c>
      <c r="V72" s="9">
        <v>3.296343333</v>
      </c>
      <c r="W72" s="9">
        <v>18.94145</v>
      </c>
      <c r="X72" s="9">
        <v>3.006343333</v>
      </c>
      <c r="Y72" s="9">
        <v>13.65196</v>
      </c>
      <c r="Z72" s="9">
        <v>3.417846667</v>
      </c>
      <c r="AA72" s="9">
        <v>16.18958667</v>
      </c>
      <c r="AB72" s="9">
        <v>2.68396</v>
      </c>
      <c r="AC72" s="9">
        <v>22.70356667</v>
      </c>
      <c r="AD72" s="9">
        <v>3.05374</v>
      </c>
      <c r="AE72" s="9">
        <v>15.63335</v>
      </c>
      <c r="AF72" s="9">
        <v>3.270963333</v>
      </c>
      <c r="AG72" s="9">
        <v>17.64685</v>
      </c>
      <c r="AH72" s="9">
        <v>2.788828333</v>
      </c>
      <c r="AI72" s="9">
        <v>20.93853333</v>
      </c>
      <c r="AJ72" s="9">
        <v>2.182036667</v>
      </c>
      <c r="AK72" s="9">
        <v>3.2194</v>
      </c>
      <c r="AL72" s="9">
        <v>0.3174418333</v>
      </c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</row>
    <row r="73" ht="15.75" customHeight="1">
      <c r="A73" s="9">
        <v>35.94268833</v>
      </c>
      <c r="B73" s="9">
        <v>13.34452167</v>
      </c>
      <c r="C73" s="9">
        <v>38.94769833</v>
      </c>
      <c r="D73" s="9">
        <v>10.85970833</v>
      </c>
      <c r="E73" s="9">
        <v>29.45708333</v>
      </c>
      <c r="F73" s="9">
        <v>12.71791</v>
      </c>
      <c r="G73" s="9">
        <v>52.67373333</v>
      </c>
      <c r="H73" s="9">
        <v>14.55852</v>
      </c>
      <c r="I73" s="9">
        <v>64.18205</v>
      </c>
      <c r="J73" s="9">
        <v>12.83336833</v>
      </c>
      <c r="K73" s="1" t="s">
        <v>85</v>
      </c>
      <c r="L73" s="9">
        <v>2.783748333</v>
      </c>
      <c r="M73" s="9">
        <v>34.58033333</v>
      </c>
      <c r="N73" s="9">
        <v>16.17261333</v>
      </c>
      <c r="O73" s="9">
        <v>57.08408333</v>
      </c>
      <c r="P73" s="9">
        <v>13.05284333</v>
      </c>
      <c r="Q73" s="9">
        <v>43.01805</v>
      </c>
      <c r="R73" s="9">
        <v>13.101955</v>
      </c>
      <c r="S73" s="9">
        <v>42.27888333</v>
      </c>
      <c r="T73" s="9">
        <v>13.722815</v>
      </c>
      <c r="U73" s="9">
        <v>31.13603333</v>
      </c>
      <c r="V73" s="9">
        <v>12.49138667</v>
      </c>
      <c r="W73" s="9">
        <v>36.20998333</v>
      </c>
      <c r="X73" s="9">
        <v>13.23950167</v>
      </c>
      <c r="Y73" s="9">
        <v>36.65671667</v>
      </c>
      <c r="Z73" s="9">
        <v>12.964245</v>
      </c>
      <c r="AA73" s="9">
        <v>41.11703333</v>
      </c>
      <c r="AB73" s="9">
        <v>15.60009</v>
      </c>
      <c r="AC73" s="9">
        <v>33.3071</v>
      </c>
      <c r="AD73" s="9">
        <v>13.53903667</v>
      </c>
      <c r="AE73" s="9">
        <v>39.07928333</v>
      </c>
      <c r="AF73" s="9">
        <v>13.09337</v>
      </c>
      <c r="AG73" s="9">
        <v>36.73223333</v>
      </c>
      <c r="AH73" s="9">
        <v>12.671425</v>
      </c>
      <c r="AI73" s="9">
        <v>38.79006667</v>
      </c>
      <c r="AJ73" s="9">
        <v>12.41347833</v>
      </c>
      <c r="AK73" s="9">
        <v>6.593378333</v>
      </c>
      <c r="AL73" s="9">
        <v>0.813028</v>
      </c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</row>
    <row r="74" ht="15.75" customHeight="1">
      <c r="A74" s="9">
        <v>33.76898333</v>
      </c>
      <c r="B74" s="9">
        <v>7.937045</v>
      </c>
      <c r="C74" s="9">
        <v>36.85814833</v>
      </c>
      <c r="D74" s="9">
        <v>6.284981667</v>
      </c>
      <c r="E74" s="9">
        <v>30.6349</v>
      </c>
      <c r="F74" s="9">
        <v>7.629265</v>
      </c>
      <c r="G74" s="9">
        <v>67.57088333</v>
      </c>
      <c r="H74" s="9">
        <v>9.290373333</v>
      </c>
      <c r="I74" s="9">
        <v>43.72065</v>
      </c>
      <c r="J74" s="9">
        <v>8.500923333</v>
      </c>
      <c r="K74" s="9">
        <v>44.08751667</v>
      </c>
      <c r="L74" s="9">
        <v>7.74005</v>
      </c>
      <c r="M74" s="9">
        <v>38.82</v>
      </c>
      <c r="N74" s="9">
        <v>13.67603833</v>
      </c>
      <c r="O74" s="9">
        <v>74.60906667</v>
      </c>
      <c r="P74" s="9">
        <v>9.476693333</v>
      </c>
      <c r="Q74" s="9">
        <v>38.01541667</v>
      </c>
      <c r="R74" s="9">
        <v>8.381596667</v>
      </c>
      <c r="S74" s="9">
        <v>39.41771667</v>
      </c>
      <c r="T74" s="9">
        <v>10.51965833</v>
      </c>
      <c r="U74" s="9">
        <v>29.1067</v>
      </c>
      <c r="V74" s="9">
        <v>7.841615</v>
      </c>
      <c r="W74" s="9">
        <v>39.34751667</v>
      </c>
      <c r="X74" s="9">
        <v>10.95942667</v>
      </c>
      <c r="Y74" s="9">
        <v>35.28208333</v>
      </c>
      <c r="Z74" s="9">
        <v>8.268321667</v>
      </c>
      <c r="AA74" s="9">
        <v>40.54045</v>
      </c>
      <c r="AB74" s="9">
        <v>12.921605</v>
      </c>
      <c r="AC74" s="9">
        <v>36.8672</v>
      </c>
      <c r="AD74" s="9">
        <v>9.615021667</v>
      </c>
      <c r="AE74" s="9">
        <v>40.25053333</v>
      </c>
      <c r="AF74" s="9">
        <v>7.898273333</v>
      </c>
      <c r="AG74" s="9">
        <v>40.09266667</v>
      </c>
      <c r="AH74" s="9">
        <v>11.10810833</v>
      </c>
      <c r="AI74" s="9">
        <v>38.80576667</v>
      </c>
      <c r="AJ74" s="9">
        <v>8.340308333</v>
      </c>
      <c r="AK74" s="9">
        <v>6.604298333</v>
      </c>
      <c r="AL74" s="9">
        <v>0.701414</v>
      </c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</row>
    <row r="75" ht="15.75" customHeight="1">
      <c r="A75" s="9">
        <v>61.83940167</v>
      </c>
      <c r="B75" s="9">
        <v>12.757635</v>
      </c>
      <c r="C75" s="9">
        <v>62.40032167</v>
      </c>
      <c r="D75" s="9">
        <v>11.03973833</v>
      </c>
      <c r="E75" s="9">
        <v>42.68995</v>
      </c>
      <c r="F75" s="9">
        <v>12.97664167</v>
      </c>
      <c r="G75" s="9">
        <v>74.8703</v>
      </c>
      <c r="H75" s="9">
        <v>15.022085</v>
      </c>
      <c r="I75" s="9">
        <v>75.32705</v>
      </c>
      <c r="J75" s="9">
        <v>13.313755</v>
      </c>
      <c r="K75" s="9">
        <v>67.33241667</v>
      </c>
      <c r="L75" s="9">
        <v>12.301225</v>
      </c>
      <c r="M75" s="9">
        <v>65.27376667</v>
      </c>
      <c r="N75" s="9">
        <v>13.85934</v>
      </c>
      <c r="O75" s="9">
        <v>70.13665</v>
      </c>
      <c r="P75" s="9">
        <v>13.18961833</v>
      </c>
      <c r="Q75" s="9">
        <v>65.54228333</v>
      </c>
      <c r="R75" s="9">
        <v>12.98232</v>
      </c>
      <c r="S75" s="9">
        <v>67.06148333</v>
      </c>
      <c r="T75" s="9">
        <v>11.98393333</v>
      </c>
      <c r="U75" s="9">
        <v>41.25903333</v>
      </c>
      <c r="V75" s="9">
        <v>12.54231667</v>
      </c>
      <c r="W75" s="9">
        <v>66.85608333</v>
      </c>
      <c r="X75" s="9">
        <v>13.58893167</v>
      </c>
      <c r="Y75" s="9">
        <v>58.78393333</v>
      </c>
      <c r="Z75" s="9">
        <v>14.12146667</v>
      </c>
      <c r="AA75" s="9">
        <v>61.78925</v>
      </c>
      <c r="AB75" s="9">
        <v>13.81640833</v>
      </c>
      <c r="AC75" s="9">
        <v>64.38508333</v>
      </c>
      <c r="AD75" s="9">
        <v>13.24050833</v>
      </c>
      <c r="AE75" s="9">
        <v>70.5937</v>
      </c>
      <c r="AF75" s="9">
        <v>12.250585</v>
      </c>
      <c r="AG75" s="9">
        <v>64.24925</v>
      </c>
      <c r="AH75" s="9">
        <v>12.16778</v>
      </c>
      <c r="AI75" s="9">
        <v>64.07058333</v>
      </c>
      <c r="AJ75" s="9">
        <v>11.866745</v>
      </c>
      <c r="AK75" s="9">
        <v>6.638488333</v>
      </c>
      <c r="AL75" s="9">
        <v>1.320695333</v>
      </c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</row>
    <row r="76" ht="15.75" customHeight="1">
      <c r="A76" s="9">
        <v>61.13362</v>
      </c>
      <c r="B76" s="9">
        <v>12.760935</v>
      </c>
      <c r="C76" s="9">
        <v>69.54038</v>
      </c>
      <c r="D76" s="9">
        <v>10.86247833</v>
      </c>
      <c r="E76" s="9">
        <v>42.62396667</v>
      </c>
      <c r="F76" s="9">
        <v>12.55048</v>
      </c>
      <c r="G76" s="9">
        <v>71.30281667</v>
      </c>
      <c r="H76" s="9">
        <v>15.49845</v>
      </c>
      <c r="I76" s="9">
        <v>74.1638</v>
      </c>
      <c r="J76" s="9">
        <v>12.97897833</v>
      </c>
      <c r="K76" s="9">
        <v>72.41826667</v>
      </c>
      <c r="L76" s="9">
        <v>13.582005</v>
      </c>
      <c r="M76" s="9">
        <v>66.57818333</v>
      </c>
      <c r="N76" s="9">
        <v>13.52495833</v>
      </c>
      <c r="O76" s="9">
        <v>74.92391667</v>
      </c>
      <c r="P76" s="9">
        <v>14.557435</v>
      </c>
      <c r="Q76" s="9">
        <v>66.45495</v>
      </c>
      <c r="R76" s="9">
        <v>13.92531333</v>
      </c>
      <c r="S76" s="9">
        <v>65.33818333</v>
      </c>
      <c r="T76" s="9">
        <v>14.67049167</v>
      </c>
      <c r="U76" s="9">
        <v>40.92511667</v>
      </c>
      <c r="V76" s="9">
        <v>12.71205667</v>
      </c>
      <c r="W76" s="9">
        <v>69.92328333</v>
      </c>
      <c r="X76" s="9">
        <v>13.79537667</v>
      </c>
      <c r="Y76" s="9">
        <v>64.75293333</v>
      </c>
      <c r="Z76" s="9">
        <v>14.25322833</v>
      </c>
      <c r="AA76" s="9">
        <v>67.63038333</v>
      </c>
      <c r="AB76" s="9">
        <v>14.13293</v>
      </c>
      <c r="AC76" s="9">
        <v>66.31808333</v>
      </c>
      <c r="AD76" s="9">
        <v>13.14450833</v>
      </c>
      <c r="AE76" s="9">
        <v>71.17026667</v>
      </c>
      <c r="AF76" s="9">
        <v>13.444145</v>
      </c>
      <c r="AG76" s="9">
        <v>63.2672</v>
      </c>
      <c r="AH76" s="9">
        <v>14.22277</v>
      </c>
      <c r="AI76" s="9">
        <v>68.81785</v>
      </c>
      <c r="AJ76" s="9">
        <v>12.88416667</v>
      </c>
      <c r="AK76" s="9">
        <v>6.605655</v>
      </c>
      <c r="AL76" s="9">
        <v>1.321914</v>
      </c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</row>
    <row r="77" ht="15.75" customHeight="1">
      <c r="A77" s="9">
        <v>15.84944017</v>
      </c>
      <c r="B77" s="9">
        <v>2.846678333</v>
      </c>
      <c r="C77" s="9">
        <v>17.52194</v>
      </c>
      <c r="D77" s="9">
        <v>1.418272667</v>
      </c>
      <c r="E77" s="9">
        <v>5.706591667</v>
      </c>
      <c r="F77" s="9">
        <v>2.954795</v>
      </c>
      <c r="G77" s="9">
        <v>10.761095</v>
      </c>
      <c r="H77" s="9">
        <v>2.838923333</v>
      </c>
      <c r="I77" s="9">
        <v>8.84608</v>
      </c>
      <c r="J77" s="9">
        <v>2.77472</v>
      </c>
      <c r="K77" s="9">
        <v>28.07211667</v>
      </c>
      <c r="L77" s="9">
        <v>3.291491667</v>
      </c>
      <c r="M77" s="9">
        <v>16.18829167</v>
      </c>
      <c r="N77" s="9">
        <v>2.963455</v>
      </c>
      <c r="O77" s="9">
        <v>8.583483333</v>
      </c>
      <c r="P77" s="9">
        <v>3.669213333</v>
      </c>
      <c r="Q77" s="9">
        <v>12.12475333</v>
      </c>
      <c r="R77" s="9">
        <v>2.53366</v>
      </c>
      <c r="S77" s="9">
        <v>8.643886667</v>
      </c>
      <c r="T77" s="9">
        <v>1.963233333</v>
      </c>
      <c r="U77" s="9">
        <v>6.366746667</v>
      </c>
      <c r="V77" s="9">
        <v>2.185105</v>
      </c>
      <c r="W77" s="9">
        <v>8.373218333</v>
      </c>
      <c r="X77" s="9">
        <v>1.852666667</v>
      </c>
      <c r="Y77" s="9">
        <v>7.720243333</v>
      </c>
      <c r="Z77" s="9">
        <v>3.097725</v>
      </c>
      <c r="AA77" s="9">
        <v>7.853881667</v>
      </c>
      <c r="AB77" s="9">
        <v>2.979475</v>
      </c>
      <c r="AC77" s="9">
        <v>14.20197667</v>
      </c>
      <c r="AD77" s="9">
        <v>3.147581667</v>
      </c>
      <c r="AE77" s="9">
        <v>14.75386833</v>
      </c>
      <c r="AF77" s="9">
        <v>1.695815</v>
      </c>
      <c r="AG77" s="9">
        <v>7.4713</v>
      </c>
      <c r="AH77" s="9">
        <v>2.817906667</v>
      </c>
      <c r="AI77" s="9">
        <v>11.90126833</v>
      </c>
      <c r="AJ77" s="9">
        <v>1.548360833</v>
      </c>
      <c r="AK77" s="9">
        <v>3.222143333</v>
      </c>
      <c r="AL77" s="9">
        <v>0.3244191667</v>
      </c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</row>
    <row r="78" ht="15.75" customHeight="1">
      <c r="A78" s="9">
        <v>71.026535</v>
      </c>
      <c r="B78" s="9">
        <v>13.41452667</v>
      </c>
      <c r="C78" s="9">
        <v>79.15704</v>
      </c>
      <c r="D78" s="9">
        <v>10.90322667</v>
      </c>
      <c r="E78" s="9">
        <v>55.74028333</v>
      </c>
      <c r="F78" s="9">
        <v>13.19772667</v>
      </c>
      <c r="G78" s="9">
        <v>78.45965</v>
      </c>
      <c r="H78" s="9">
        <v>15.168475</v>
      </c>
      <c r="I78" s="9">
        <v>73.54251667</v>
      </c>
      <c r="J78" s="9">
        <v>13.53808167</v>
      </c>
      <c r="K78" s="9">
        <v>87.28151667</v>
      </c>
      <c r="L78" s="9">
        <v>14.79002333</v>
      </c>
      <c r="M78" s="9">
        <v>123.10035</v>
      </c>
      <c r="N78" s="9">
        <v>20.95528333</v>
      </c>
      <c r="O78" s="9">
        <v>82.82943333</v>
      </c>
      <c r="P78" s="9">
        <v>15.114615</v>
      </c>
      <c r="Q78" s="9">
        <v>78.18476667</v>
      </c>
      <c r="R78" s="9">
        <v>14.867865</v>
      </c>
      <c r="S78" s="9">
        <v>80.24205</v>
      </c>
      <c r="T78" s="9">
        <v>18.3106</v>
      </c>
      <c r="U78" s="9">
        <v>55.89145</v>
      </c>
      <c r="V78" s="9">
        <v>13.70562</v>
      </c>
      <c r="W78" s="9">
        <v>84.69693333</v>
      </c>
      <c r="X78" s="9">
        <v>17.25911667</v>
      </c>
      <c r="Y78" s="9">
        <v>73.69875</v>
      </c>
      <c r="Z78" s="9">
        <v>13.91310667</v>
      </c>
      <c r="AA78" s="9">
        <v>83.00533333</v>
      </c>
      <c r="AB78" s="9">
        <v>23.17201667</v>
      </c>
      <c r="AC78" s="9">
        <v>72.58163333</v>
      </c>
      <c r="AD78" s="9">
        <v>14.5134</v>
      </c>
      <c r="AE78" s="9">
        <v>81.0368</v>
      </c>
      <c r="AF78" s="9">
        <v>16.31418</v>
      </c>
      <c r="AG78" s="9">
        <v>75.1386</v>
      </c>
      <c r="AH78" s="9">
        <v>14.86890833</v>
      </c>
      <c r="AI78" s="9">
        <v>73.10765</v>
      </c>
      <c r="AJ78" s="9">
        <v>14.17789167</v>
      </c>
      <c r="AK78" s="9">
        <v>7.436166667</v>
      </c>
      <c r="AL78" s="9">
        <v>1.318126</v>
      </c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</row>
    <row r="79" ht="15.75" customHeight="1">
      <c r="A79" s="9">
        <v>41.42244167</v>
      </c>
      <c r="B79" s="9">
        <v>12.54690333</v>
      </c>
      <c r="C79" s="9">
        <v>33.76863833</v>
      </c>
      <c r="D79" s="9">
        <v>11.37058333</v>
      </c>
      <c r="E79" s="9">
        <v>32.13451667</v>
      </c>
      <c r="F79" s="9">
        <v>12.02688833</v>
      </c>
      <c r="G79" s="9">
        <v>37.80905</v>
      </c>
      <c r="H79" s="9">
        <v>14.41565667</v>
      </c>
      <c r="I79" s="9">
        <v>49.92485</v>
      </c>
      <c r="J79" s="9">
        <v>11.949725</v>
      </c>
      <c r="K79" s="9">
        <v>38.09871667</v>
      </c>
      <c r="L79" s="9">
        <v>13.44529333</v>
      </c>
      <c r="M79" s="9">
        <v>63.12706667</v>
      </c>
      <c r="N79" s="9">
        <v>14.39432833</v>
      </c>
      <c r="O79" s="9">
        <v>38.65668333</v>
      </c>
      <c r="P79" s="9">
        <v>13.86181</v>
      </c>
      <c r="Q79" s="9">
        <v>40.65535</v>
      </c>
      <c r="R79" s="9">
        <v>12.72387167</v>
      </c>
      <c r="S79" s="9">
        <v>43.68643333</v>
      </c>
      <c r="T79" s="9">
        <v>14.20187167</v>
      </c>
      <c r="U79" s="9">
        <v>32.80108333</v>
      </c>
      <c r="V79" s="9">
        <v>12.36840333</v>
      </c>
      <c r="W79" s="9">
        <v>37.52535</v>
      </c>
      <c r="X79" s="9">
        <v>14.03822667</v>
      </c>
      <c r="Y79" s="9">
        <v>43.3269</v>
      </c>
      <c r="Z79" s="9">
        <v>12.74995</v>
      </c>
      <c r="AA79" s="9">
        <v>43.32256667</v>
      </c>
      <c r="AB79" s="9">
        <v>14.52186333</v>
      </c>
      <c r="AC79" s="9">
        <v>36.8653</v>
      </c>
      <c r="AD79" s="9">
        <v>13.688925</v>
      </c>
      <c r="AE79" s="9">
        <v>40.7488</v>
      </c>
      <c r="AF79" s="9">
        <v>13.99233167</v>
      </c>
      <c r="AG79" s="9">
        <v>39.80571667</v>
      </c>
      <c r="AH79" s="9">
        <v>12.587235</v>
      </c>
      <c r="AI79" s="9">
        <v>40.46251667</v>
      </c>
      <c r="AJ79" s="9">
        <v>14.248395</v>
      </c>
      <c r="AK79" s="9">
        <v>6.589513333</v>
      </c>
      <c r="AL79" s="9">
        <v>1.3165755</v>
      </c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</row>
    <row r="80" ht="15.75" customHeight="1">
      <c r="A80" s="9">
        <v>30.27701</v>
      </c>
      <c r="B80" s="9">
        <v>6.229591667</v>
      </c>
      <c r="C80" s="9">
        <v>38.009695</v>
      </c>
      <c r="D80" s="9">
        <v>3.347456667</v>
      </c>
      <c r="E80" s="9">
        <v>21.74398333</v>
      </c>
      <c r="F80" s="9">
        <v>5.651046667</v>
      </c>
      <c r="G80" s="9">
        <v>31.86386667</v>
      </c>
      <c r="H80" s="9">
        <v>6.166298333</v>
      </c>
      <c r="I80" s="9">
        <v>35.38636667</v>
      </c>
      <c r="J80" s="9">
        <v>6.318291667</v>
      </c>
      <c r="K80" s="9">
        <v>37.87826667</v>
      </c>
      <c r="L80" s="9">
        <v>6.632138333</v>
      </c>
      <c r="M80" s="9">
        <v>17.27388333</v>
      </c>
      <c r="N80" s="9">
        <v>6.014513333</v>
      </c>
      <c r="O80" s="9">
        <v>37.50571667</v>
      </c>
      <c r="P80" s="9">
        <v>5.76052</v>
      </c>
      <c r="Q80" s="9">
        <v>32.7661</v>
      </c>
      <c r="R80" s="9">
        <v>5.823891667</v>
      </c>
      <c r="S80" s="9">
        <v>34.21446667</v>
      </c>
      <c r="T80" s="9">
        <v>7.44478</v>
      </c>
      <c r="U80" s="9">
        <v>14.07227333</v>
      </c>
      <c r="V80" s="9">
        <v>3.072246667</v>
      </c>
      <c r="W80" s="9">
        <v>36.4102</v>
      </c>
      <c r="X80" s="9">
        <v>5.844415</v>
      </c>
      <c r="Y80" s="9">
        <v>34.9026</v>
      </c>
      <c r="Z80" s="9">
        <v>5.385738333</v>
      </c>
      <c r="AA80" s="9">
        <v>32.24071667</v>
      </c>
      <c r="AB80" s="9">
        <v>10.596325</v>
      </c>
      <c r="AC80" s="9">
        <v>15.34702667</v>
      </c>
      <c r="AD80" s="9">
        <v>3.065191667</v>
      </c>
      <c r="AE80" s="9">
        <v>37.08176667</v>
      </c>
      <c r="AF80" s="9">
        <v>7.42907</v>
      </c>
      <c r="AG80" s="9">
        <v>23.0615</v>
      </c>
      <c r="AH80" s="9">
        <v>6.24785</v>
      </c>
      <c r="AI80" s="9">
        <v>24.59095</v>
      </c>
      <c r="AJ80" s="9">
        <v>5.343173333</v>
      </c>
      <c r="AK80" s="9">
        <v>3.467353333</v>
      </c>
      <c r="AL80" s="9">
        <v>0.646949</v>
      </c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</row>
    <row r="81" ht="15.75" customHeight="1">
      <c r="A81" s="9">
        <v>25.314965</v>
      </c>
      <c r="B81" s="9">
        <v>3.468996667</v>
      </c>
      <c r="C81" s="9">
        <v>10.9803685</v>
      </c>
      <c r="D81" s="9">
        <v>1.352340167</v>
      </c>
      <c r="E81" s="9">
        <v>8.461106667</v>
      </c>
      <c r="F81" s="9">
        <v>2.690408333</v>
      </c>
      <c r="G81" s="9">
        <v>23.58615</v>
      </c>
      <c r="H81" s="9">
        <v>3.294176667</v>
      </c>
      <c r="I81" s="9">
        <v>24.28975</v>
      </c>
      <c r="J81" s="9">
        <v>2.705716667</v>
      </c>
      <c r="K81" s="9">
        <v>17.80116667</v>
      </c>
      <c r="L81" s="9">
        <v>3.63668</v>
      </c>
      <c r="M81" s="9">
        <v>13.65793333</v>
      </c>
      <c r="N81" s="9">
        <v>2.73145</v>
      </c>
      <c r="O81" s="9">
        <v>24.5903</v>
      </c>
      <c r="P81" s="9">
        <v>2.76093</v>
      </c>
      <c r="Q81" s="9">
        <v>12.978195</v>
      </c>
      <c r="R81" s="9">
        <v>3.098386667</v>
      </c>
      <c r="S81" s="9">
        <v>11.88174</v>
      </c>
      <c r="T81" s="9">
        <v>3.493218333</v>
      </c>
      <c r="U81" s="9">
        <v>11.40254333</v>
      </c>
      <c r="V81" s="9">
        <v>2.885356667</v>
      </c>
      <c r="W81" s="9">
        <v>14.3826</v>
      </c>
      <c r="X81" s="9">
        <v>2.951018333</v>
      </c>
      <c r="Y81" s="9">
        <v>11.54832167</v>
      </c>
      <c r="Z81" s="9">
        <v>2.248068333</v>
      </c>
      <c r="AA81" s="9">
        <v>18.84131667</v>
      </c>
      <c r="AB81" s="9">
        <v>3.128705</v>
      </c>
      <c r="AC81" s="9">
        <v>23.47921667</v>
      </c>
      <c r="AD81" s="9">
        <v>2.451165</v>
      </c>
      <c r="AE81" s="9">
        <v>20.61716667</v>
      </c>
      <c r="AF81" s="9">
        <v>3.169181667</v>
      </c>
      <c r="AG81" s="9">
        <v>19.73248333</v>
      </c>
      <c r="AH81" s="9">
        <v>3.241491667</v>
      </c>
      <c r="AI81" s="9">
        <v>14.79012667</v>
      </c>
      <c r="AJ81" s="9">
        <v>3.131715</v>
      </c>
      <c r="AK81" s="9">
        <v>3.24636</v>
      </c>
      <c r="AL81" s="9">
        <v>0.3616525</v>
      </c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</row>
    <row r="82" ht="15.75" customHeight="1">
      <c r="A82" s="9">
        <v>21.425215</v>
      </c>
      <c r="B82" s="9">
        <v>3.10034</v>
      </c>
      <c r="C82" s="9">
        <v>25.62108333</v>
      </c>
      <c r="D82" s="9">
        <v>1.91587</v>
      </c>
      <c r="E82" s="9">
        <v>19.96736667</v>
      </c>
      <c r="F82" s="9">
        <v>2.862101667</v>
      </c>
      <c r="G82" s="9">
        <v>35.75773333</v>
      </c>
      <c r="H82" s="9">
        <v>3.14173</v>
      </c>
      <c r="I82" s="9">
        <v>14.61956</v>
      </c>
      <c r="J82" s="9">
        <v>3.115353333</v>
      </c>
      <c r="K82" s="9">
        <v>17.01341667</v>
      </c>
      <c r="L82" s="9">
        <v>3.681035</v>
      </c>
      <c r="M82" s="9">
        <v>19.02681667</v>
      </c>
      <c r="N82" s="9">
        <v>3.751436667</v>
      </c>
      <c r="O82" s="9">
        <v>17.2915</v>
      </c>
      <c r="P82" s="9">
        <v>3.506573333</v>
      </c>
      <c r="Q82" s="9">
        <v>27.69848333</v>
      </c>
      <c r="R82" s="9">
        <v>2.904855</v>
      </c>
      <c r="S82" s="9">
        <v>23.59473333</v>
      </c>
      <c r="T82" s="9">
        <v>3.547543333</v>
      </c>
      <c r="U82" s="9">
        <v>11.09524667</v>
      </c>
      <c r="V82" s="9">
        <v>2.706615</v>
      </c>
      <c r="W82" s="9">
        <v>22.37031667</v>
      </c>
      <c r="X82" s="9">
        <v>2.631491667</v>
      </c>
      <c r="Y82" s="9">
        <v>26.75253333</v>
      </c>
      <c r="Z82" s="9">
        <v>2.78582</v>
      </c>
      <c r="AA82" s="9">
        <v>23.92963333</v>
      </c>
      <c r="AB82" s="9">
        <v>3.96046</v>
      </c>
      <c r="AC82" s="9">
        <v>29.2968</v>
      </c>
      <c r="AD82" s="9">
        <v>3.138626667</v>
      </c>
      <c r="AE82" s="9">
        <v>18.18848333</v>
      </c>
      <c r="AF82" s="9">
        <v>3.078326667</v>
      </c>
      <c r="AG82" s="9">
        <v>21.2721</v>
      </c>
      <c r="AH82" s="9">
        <v>3.100931667</v>
      </c>
      <c r="AI82" s="9">
        <v>20.97606667</v>
      </c>
      <c r="AJ82" s="9">
        <v>3.208043333</v>
      </c>
      <c r="AK82" s="9">
        <v>3.260271667</v>
      </c>
      <c r="AL82" s="9">
        <v>0.3595395</v>
      </c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</row>
    <row r="83" ht="15.75" customHeight="1">
      <c r="A83" s="9">
        <v>110.77124</v>
      </c>
      <c r="B83" s="9">
        <v>24.69723333</v>
      </c>
      <c r="C83" s="9">
        <v>111.9230633</v>
      </c>
      <c r="D83" s="9">
        <v>42.14455</v>
      </c>
      <c r="E83" s="9">
        <v>68.03098333</v>
      </c>
      <c r="F83" s="9">
        <v>24.07285</v>
      </c>
      <c r="G83" s="9">
        <v>112.8948167</v>
      </c>
      <c r="H83" s="9">
        <v>25.2518</v>
      </c>
      <c r="I83" s="9">
        <v>112.284</v>
      </c>
      <c r="J83" s="9">
        <v>23.73251667</v>
      </c>
      <c r="K83" s="9">
        <v>110.9115667</v>
      </c>
      <c r="L83" s="9">
        <v>24.23141667</v>
      </c>
      <c r="M83" s="9">
        <v>112.11125</v>
      </c>
      <c r="N83" s="9">
        <v>26.71711667</v>
      </c>
      <c r="O83" s="9">
        <v>111.7284833</v>
      </c>
      <c r="P83" s="9">
        <v>25.64945</v>
      </c>
      <c r="Q83" s="9">
        <v>110.4134833</v>
      </c>
      <c r="R83" s="9">
        <v>24.87356667</v>
      </c>
      <c r="S83" s="9">
        <v>110.9527</v>
      </c>
      <c r="T83" s="9">
        <v>25.69675</v>
      </c>
      <c r="U83" s="9">
        <v>70.59525</v>
      </c>
      <c r="V83" s="9">
        <v>24.10503333</v>
      </c>
      <c r="W83" s="9">
        <v>114.42205</v>
      </c>
      <c r="X83" s="9">
        <v>24.23788333</v>
      </c>
      <c r="Y83" s="9">
        <v>112.22905</v>
      </c>
      <c r="Z83" s="9">
        <v>24.25301667</v>
      </c>
      <c r="AA83" s="9">
        <v>110.6266333</v>
      </c>
      <c r="AB83" s="9">
        <v>26.05208333</v>
      </c>
      <c r="AC83" s="9">
        <v>111.56295</v>
      </c>
      <c r="AD83" s="9">
        <v>24.86593333</v>
      </c>
      <c r="AE83" s="9">
        <v>113.4436167</v>
      </c>
      <c r="AF83" s="9">
        <v>24.2406</v>
      </c>
      <c r="AG83" s="9">
        <v>123.9092667</v>
      </c>
      <c r="AH83" s="9">
        <v>24.42565</v>
      </c>
      <c r="AI83" s="9">
        <v>112.7764167</v>
      </c>
      <c r="AJ83" s="9">
        <v>24.52443333</v>
      </c>
      <c r="AK83" s="9">
        <v>13.49346667</v>
      </c>
      <c r="AL83" s="9">
        <v>2.764975</v>
      </c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</row>
    <row r="84" ht="15.75" customHeight="1">
      <c r="A84" s="9">
        <v>111.716315</v>
      </c>
      <c r="B84" s="9">
        <v>15.57755167</v>
      </c>
      <c r="C84" s="9">
        <v>64.26930333</v>
      </c>
      <c r="D84" s="9">
        <v>32.58076667</v>
      </c>
      <c r="E84" s="9">
        <v>47.91691667</v>
      </c>
      <c r="F84" s="9">
        <v>13.48593333</v>
      </c>
      <c r="G84" s="9">
        <v>65.91803333</v>
      </c>
      <c r="H84" s="9">
        <v>14.63267667</v>
      </c>
      <c r="I84" s="9">
        <v>62.19135</v>
      </c>
      <c r="J84" s="9">
        <v>13.54422833</v>
      </c>
      <c r="K84" s="9">
        <v>66.46288333</v>
      </c>
      <c r="L84" s="9">
        <v>14.09211</v>
      </c>
      <c r="M84" s="9">
        <v>62.05853333</v>
      </c>
      <c r="N84" s="9">
        <v>24.02363333</v>
      </c>
      <c r="O84" s="9">
        <v>67.7334</v>
      </c>
      <c r="P84" s="9">
        <v>14.13033333</v>
      </c>
      <c r="Q84" s="9">
        <v>64.15405</v>
      </c>
      <c r="R84" s="9">
        <v>12.93950333</v>
      </c>
      <c r="S84" s="9">
        <v>64.08673333</v>
      </c>
      <c r="T84" s="9">
        <v>15.728915</v>
      </c>
      <c r="U84" s="9">
        <v>49.10176667</v>
      </c>
      <c r="V84" s="9">
        <v>13.92110833</v>
      </c>
      <c r="W84" s="9">
        <v>64.39896667</v>
      </c>
      <c r="X84" s="9">
        <v>14.422995</v>
      </c>
      <c r="Y84" s="9">
        <v>62.26421667</v>
      </c>
      <c r="Z84" s="9">
        <v>14.03605</v>
      </c>
      <c r="AA84" s="9">
        <v>65.66893333</v>
      </c>
      <c r="AB84" s="9">
        <v>25.16588333</v>
      </c>
      <c r="AC84" s="9">
        <v>68.70703333</v>
      </c>
      <c r="AD84" s="9">
        <v>14.12445333</v>
      </c>
      <c r="AE84" s="9">
        <v>62.78565</v>
      </c>
      <c r="AF84" s="9">
        <v>13.91124</v>
      </c>
      <c r="AG84" s="9">
        <v>66.88678333</v>
      </c>
      <c r="AH84" s="9">
        <v>13.22887333</v>
      </c>
      <c r="AI84" s="9">
        <v>68.56281667</v>
      </c>
      <c r="AJ84" s="9">
        <v>15.17107667</v>
      </c>
      <c r="AK84" s="9">
        <v>8.191946667</v>
      </c>
      <c r="AL84" s="9">
        <v>1.323378833</v>
      </c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</row>
    <row r="85" ht="15.75" customHeight="1">
      <c r="A85" s="9">
        <v>98.686815</v>
      </c>
      <c r="B85" s="9">
        <v>16.22444167</v>
      </c>
      <c r="C85" s="9">
        <v>72.06961</v>
      </c>
      <c r="D85" s="9">
        <v>36.0797</v>
      </c>
      <c r="E85" s="9">
        <v>46.90886667</v>
      </c>
      <c r="F85" s="9">
        <v>14.55105667</v>
      </c>
      <c r="G85" s="9">
        <v>75.5287</v>
      </c>
      <c r="H85" s="9">
        <v>14.90514667</v>
      </c>
      <c r="I85" s="9">
        <v>73.54641667</v>
      </c>
      <c r="J85" s="9">
        <v>13.72572667</v>
      </c>
      <c r="K85" s="9">
        <v>78.50373333</v>
      </c>
      <c r="L85" s="9">
        <v>13.75369833</v>
      </c>
      <c r="M85" s="9">
        <v>78.36075</v>
      </c>
      <c r="N85" s="9">
        <v>16.46644667</v>
      </c>
      <c r="O85" s="9">
        <v>75.38186667</v>
      </c>
      <c r="P85" s="9">
        <v>12.99198333</v>
      </c>
      <c r="Q85" s="9">
        <v>75.633</v>
      </c>
      <c r="R85" s="9">
        <v>13.28549667</v>
      </c>
      <c r="S85" s="9">
        <v>77.55763333</v>
      </c>
      <c r="T85" s="9">
        <v>18.78213333</v>
      </c>
      <c r="U85" s="9">
        <v>51.82496667</v>
      </c>
      <c r="V85" s="9">
        <v>12.93756833</v>
      </c>
      <c r="W85" s="9">
        <v>74.53403333</v>
      </c>
      <c r="X85" s="9">
        <v>13.61202</v>
      </c>
      <c r="Y85" s="9">
        <v>64.77991667</v>
      </c>
      <c r="Z85" s="9">
        <v>14.59514833</v>
      </c>
      <c r="AA85" s="9">
        <v>81.67971667</v>
      </c>
      <c r="AB85" s="9">
        <v>18.4353</v>
      </c>
      <c r="AC85" s="9">
        <v>80.84508333</v>
      </c>
      <c r="AD85" s="9">
        <v>13.744885</v>
      </c>
      <c r="AE85" s="9">
        <v>79.94121667</v>
      </c>
      <c r="AF85" s="9">
        <v>13.70955</v>
      </c>
      <c r="AG85" s="9">
        <v>68.51718333</v>
      </c>
      <c r="AH85" s="9">
        <v>13.44902667</v>
      </c>
      <c r="AI85" s="9">
        <v>73.79075</v>
      </c>
      <c r="AJ85" s="9">
        <v>13.08393667</v>
      </c>
      <c r="AK85" s="9">
        <v>6.662048333</v>
      </c>
      <c r="AL85" s="9">
        <v>1.316544833</v>
      </c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</row>
    <row r="86" ht="15.75" customHeight="1">
      <c r="A86" s="9">
        <v>41.33419667</v>
      </c>
      <c r="B86" s="9">
        <v>3.166463333</v>
      </c>
      <c r="C86" s="9">
        <v>29.71366333</v>
      </c>
      <c r="D86" s="9">
        <v>2.927276667</v>
      </c>
      <c r="E86" s="9">
        <v>27.95325</v>
      </c>
      <c r="F86" s="9">
        <v>2.420863333</v>
      </c>
      <c r="G86" s="9">
        <v>40.91915</v>
      </c>
      <c r="H86" s="9">
        <v>2.519001667</v>
      </c>
      <c r="I86" s="9">
        <v>30.60726667</v>
      </c>
      <c r="J86" s="9">
        <v>2.353731667</v>
      </c>
      <c r="K86" s="9">
        <v>35.5258</v>
      </c>
      <c r="L86" s="9">
        <v>2.587913333</v>
      </c>
      <c r="M86" s="9">
        <v>30.97458333</v>
      </c>
      <c r="N86" s="9">
        <v>3.268851667</v>
      </c>
      <c r="O86" s="9">
        <v>36.7136</v>
      </c>
      <c r="P86" s="9">
        <v>4.116335</v>
      </c>
      <c r="Q86" s="9">
        <v>34.39966667</v>
      </c>
      <c r="R86" s="9">
        <v>2.421315</v>
      </c>
      <c r="S86" s="9">
        <v>25.95016667</v>
      </c>
      <c r="T86" s="9">
        <v>3.884716667</v>
      </c>
      <c r="U86" s="9">
        <v>20.47755</v>
      </c>
      <c r="V86" s="9">
        <v>2.231595</v>
      </c>
      <c r="W86" s="9">
        <v>41.38718333</v>
      </c>
      <c r="X86" s="9">
        <v>2.253436667</v>
      </c>
      <c r="Y86" s="9">
        <v>28.92366667</v>
      </c>
      <c r="Z86" s="9">
        <v>2.265183333</v>
      </c>
      <c r="AA86" s="9">
        <v>45.50615</v>
      </c>
      <c r="AB86" s="9">
        <v>4.667573333</v>
      </c>
      <c r="AC86" s="9">
        <v>28.31741667</v>
      </c>
      <c r="AD86" s="9">
        <v>2.195148333</v>
      </c>
      <c r="AE86" s="9">
        <v>34.49966667</v>
      </c>
      <c r="AF86" s="9">
        <v>2.853206667</v>
      </c>
      <c r="AG86" s="9">
        <v>27.30161667</v>
      </c>
      <c r="AH86" s="9">
        <v>2.622128333</v>
      </c>
      <c r="AI86" s="9">
        <v>24.99075</v>
      </c>
      <c r="AJ86" s="9">
        <v>2.85044</v>
      </c>
      <c r="AK86" s="9">
        <v>3.302203333</v>
      </c>
      <c r="AL86" s="9">
        <v>0.360634</v>
      </c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</row>
    <row r="87" ht="15.75" customHeight="1">
      <c r="A87" s="9">
        <v>79.73092333</v>
      </c>
      <c r="B87" s="9">
        <v>10.40309333</v>
      </c>
      <c r="C87" s="9">
        <v>45.20977333</v>
      </c>
      <c r="D87" s="9">
        <v>6.738565</v>
      </c>
      <c r="E87" s="9">
        <v>32.6992</v>
      </c>
      <c r="F87" s="9">
        <v>7.835006667</v>
      </c>
      <c r="G87" s="9">
        <v>46.65338333</v>
      </c>
      <c r="H87" s="9">
        <v>9.754326667</v>
      </c>
      <c r="I87" s="9">
        <v>40.19901667</v>
      </c>
      <c r="J87" s="9">
        <v>8.313908333</v>
      </c>
      <c r="K87" s="9">
        <v>46.2818</v>
      </c>
      <c r="L87" s="9">
        <v>8.462896667</v>
      </c>
      <c r="M87" s="9">
        <v>45.47658333</v>
      </c>
      <c r="N87" s="9">
        <v>14.32354</v>
      </c>
      <c r="O87" s="9">
        <v>50.57013333</v>
      </c>
      <c r="P87" s="9">
        <v>8.583636667</v>
      </c>
      <c r="Q87" s="9">
        <v>51.30313333</v>
      </c>
      <c r="R87" s="9">
        <v>7.968275</v>
      </c>
      <c r="S87" s="9">
        <v>42.62486667</v>
      </c>
      <c r="T87" s="9">
        <v>12.32369667</v>
      </c>
      <c r="U87" s="9">
        <v>36.0652</v>
      </c>
      <c r="V87" s="9">
        <v>8.567745</v>
      </c>
      <c r="W87" s="9">
        <v>48.4667</v>
      </c>
      <c r="X87" s="9">
        <v>8.111761667</v>
      </c>
      <c r="Y87" s="9">
        <v>41.3709</v>
      </c>
      <c r="Z87" s="9">
        <v>8.052961667</v>
      </c>
      <c r="AA87" s="9">
        <v>50.25998333</v>
      </c>
      <c r="AB87" s="9">
        <v>15.04917667</v>
      </c>
      <c r="AC87" s="9">
        <v>55.36158333</v>
      </c>
      <c r="AD87" s="9">
        <v>7.664453333</v>
      </c>
      <c r="AE87" s="9">
        <v>51.20648333</v>
      </c>
      <c r="AF87" s="9">
        <v>8.638291667</v>
      </c>
      <c r="AG87" s="9">
        <v>45.67326667</v>
      </c>
      <c r="AH87" s="9">
        <v>8.477966667</v>
      </c>
      <c r="AI87" s="9">
        <v>46.44001667</v>
      </c>
      <c r="AJ87" s="9">
        <v>9.833271667</v>
      </c>
      <c r="AK87" s="9">
        <v>7.52527</v>
      </c>
      <c r="AL87" s="9">
        <v>0.8022791667</v>
      </c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</row>
    <row r="88" ht="15.75" customHeight="1">
      <c r="A88" s="9">
        <v>16.45539783</v>
      </c>
      <c r="B88" s="9">
        <v>4.252393333</v>
      </c>
      <c r="C88" s="9">
        <v>8.963365</v>
      </c>
      <c r="D88" s="9">
        <v>2.247673333</v>
      </c>
      <c r="E88" s="9">
        <v>9.01996</v>
      </c>
      <c r="F88" s="9">
        <v>3.844691667</v>
      </c>
      <c r="G88" s="9">
        <v>9.029233333</v>
      </c>
      <c r="H88" s="9">
        <v>5.135023333</v>
      </c>
      <c r="I88" s="9">
        <v>10.25455833</v>
      </c>
      <c r="J88" s="9">
        <v>3.52787</v>
      </c>
      <c r="K88" s="9">
        <v>9.518768333</v>
      </c>
      <c r="L88" s="9">
        <v>3.96694</v>
      </c>
      <c r="M88" s="9">
        <v>12.46116167</v>
      </c>
      <c r="N88" s="9">
        <v>4.630598333</v>
      </c>
      <c r="O88" s="9">
        <v>11.42719667</v>
      </c>
      <c r="P88" s="9">
        <v>3.69614</v>
      </c>
      <c r="Q88" s="9">
        <v>9.191206667</v>
      </c>
      <c r="R88" s="9">
        <v>3.15032</v>
      </c>
      <c r="S88" s="9">
        <v>8.100395</v>
      </c>
      <c r="T88" s="9">
        <v>4.684635</v>
      </c>
      <c r="U88" s="9">
        <v>10.81990333</v>
      </c>
      <c r="V88" s="9">
        <v>2.957116667</v>
      </c>
      <c r="W88" s="9">
        <v>8.971283333</v>
      </c>
      <c r="X88" s="9">
        <v>3.234626667</v>
      </c>
      <c r="Y88" s="9">
        <v>6.991116667</v>
      </c>
      <c r="Z88" s="9">
        <v>3.073265</v>
      </c>
      <c r="AA88" s="9">
        <v>9.625776667</v>
      </c>
      <c r="AB88" s="9">
        <v>5.016571667</v>
      </c>
      <c r="AC88" s="9">
        <v>12.015445</v>
      </c>
      <c r="AD88" s="9">
        <v>3.962378333</v>
      </c>
      <c r="AE88" s="9">
        <v>10.07661667</v>
      </c>
      <c r="AF88" s="9">
        <v>3.1968</v>
      </c>
      <c r="AG88" s="9">
        <v>8.285198333</v>
      </c>
      <c r="AH88" s="9">
        <v>3.866578333</v>
      </c>
      <c r="AI88" s="9">
        <v>8.24163</v>
      </c>
      <c r="AJ88" s="9">
        <v>3.703071667</v>
      </c>
      <c r="AK88" s="9">
        <v>3.228481667</v>
      </c>
      <c r="AL88" s="9">
        <v>0.3539656667</v>
      </c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</row>
    <row r="89" ht="15.75" customHeight="1">
      <c r="A89" s="9">
        <v>27.33990167</v>
      </c>
      <c r="B89" s="9">
        <v>5.103601667</v>
      </c>
      <c r="C89" s="9">
        <v>19.82222167</v>
      </c>
      <c r="D89" s="9">
        <v>2.151225</v>
      </c>
      <c r="E89" s="9">
        <v>13.84861667</v>
      </c>
      <c r="F89" s="9">
        <v>4.644931667</v>
      </c>
      <c r="G89" s="9">
        <v>24.83673333</v>
      </c>
      <c r="H89" s="9">
        <v>3.411285</v>
      </c>
      <c r="I89" s="9">
        <v>8.044331667</v>
      </c>
      <c r="J89" s="9">
        <v>3.967126667</v>
      </c>
      <c r="K89" s="9">
        <v>13.28561167</v>
      </c>
      <c r="L89" s="9">
        <v>2.426015</v>
      </c>
      <c r="M89" s="9">
        <v>14.32236167</v>
      </c>
      <c r="N89" s="9">
        <v>4.507623333</v>
      </c>
      <c r="O89" s="9">
        <v>9.48956</v>
      </c>
      <c r="P89" s="9">
        <v>4.244081667</v>
      </c>
      <c r="Q89" s="9">
        <v>10.305535</v>
      </c>
      <c r="R89" s="9">
        <v>2.835228333</v>
      </c>
      <c r="S89" s="9">
        <v>16.2204</v>
      </c>
      <c r="T89" s="9">
        <v>4.266295</v>
      </c>
      <c r="U89" s="9">
        <v>13.73073333</v>
      </c>
      <c r="V89" s="9">
        <v>3.18941</v>
      </c>
      <c r="W89" s="9">
        <v>15.3436</v>
      </c>
      <c r="X89" s="9">
        <v>3.063085</v>
      </c>
      <c r="Y89" s="9">
        <v>20.27771667</v>
      </c>
      <c r="Z89" s="9">
        <v>3.189946667</v>
      </c>
      <c r="AA89" s="9">
        <v>12.11754333</v>
      </c>
      <c r="AB89" s="9">
        <v>5.52582</v>
      </c>
      <c r="AC89" s="9">
        <v>16.40010667</v>
      </c>
      <c r="AD89" s="9">
        <v>3.487368333</v>
      </c>
      <c r="AE89" s="9">
        <v>18.98135</v>
      </c>
      <c r="AF89" s="9">
        <v>3.193495</v>
      </c>
      <c r="AG89" s="9">
        <v>11.15219</v>
      </c>
      <c r="AH89" s="9">
        <v>3.006678333</v>
      </c>
      <c r="AI89" s="9">
        <v>15.721905</v>
      </c>
      <c r="AJ89" s="9">
        <v>4.502158333</v>
      </c>
      <c r="AK89" s="9">
        <v>3.24677</v>
      </c>
      <c r="AL89" s="9">
        <v>0.371331</v>
      </c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</row>
    <row r="90" ht="15.75" customHeight="1">
      <c r="A90" s="9">
        <v>63.86268833</v>
      </c>
      <c r="B90" s="9">
        <v>6.293991667</v>
      </c>
      <c r="C90" s="9">
        <v>36.39981833</v>
      </c>
      <c r="D90" s="9">
        <v>4.144408333</v>
      </c>
      <c r="E90" s="9">
        <v>33.24788333</v>
      </c>
      <c r="F90" s="9">
        <v>5.183238333</v>
      </c>
      <c r="G90" s="9">
        <v>54.81913333</v>
      </c>
      <c r="H90" s="9">
        <v>5.70135</v>
      </c>
      <c r="I90" s="9">
        <v>59.83546667</v>
      </c>
      <c r="J90" s="9">
        <v>4.645901667</v>
      </c>
      <c r="K90" s="9">
        <v>62.34611667</v>
      </c>
      <c r="L90" s="9">
        <v>5.136276667</v>
      </c>
      <c r="M90" s="9">
        <v>46.31926667</v>
      </c>
      <c r="N90" s="9">
        <v>5.870406667</v>
      </c>
      <c r="O90" s="9">
        <v>52.93265</v>
      </c>
      <c r="P90" s="9">
        <v>5.535528333</v>
      </c>
      <c r="Q90" s="9">
        <v>78.42395</v>
      </c>
      <c r="R90" s="9">
        <v>5.264823333</v>
      </c>
      <c r="S90" s="9">
        <v>95.44438333</v>
      </c>
      <c r="T90" s="9">
        <v>5.668768333</v>
      </c>
      <c r="U90" s="9">
        <v>39.36998333</v>
      </c>
      <c r="V90" s="9">
        <v>4.857658333</v>
      </c>
      <c r="W90" s="9">
        <v>55.2705</v>
      </c>
      <c r="X90" s="9">
        <v>5.106601667</v>
      </c>
      <c r="Y90" s="9">
        <v>53.17826667</v>
      </c>
      <c r="Z90" s="9">
        <v>4.80991</v>
      </c>
      <c r="AA90" s="9">
        <v>64.5792</v>
      </c>
      <c r="AB90" s="9">
        <v>7.345043333</v>
      </c>
      <c r="AC90" s="9">
        <v>65.49198333</v>
      </c>
      <c r="AD90" s="9">
        <v>6.445336667</v>
      </c>
      <c r="AE90" s="9">
        <v>68.66578333</v>
      </c>
      <c r="AF90" s="9">
        <v>5.107623333</v>
      </c>
      <c r="AG90" s="9">
        <v>55.57011667</v>
      </c>
      <c r="AH90" s="9">
        <v>4.767253333</v>
      </c>
      <c r="AI90" s="9">
        <v>53.82925</v>
      </c>
      <c r="AJ90" s="9">
        <v>4.813415</v>
      </c>
      <c r="AK90" s="9">
        <v>3.635021667</v>
      </c>
      <c r="AL90" s="9">
        <v>0.393812</v>
      </c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</row>
    <row r="91" ht="15.75" customHeight="1">
      <c r="A91" s="9">
        <v>13.57103417</v>
      </c>
      <c r="B91" s="9">
        <v>3.710258333</v>
      </c>
      <c r="C91" s="9">
        <v>24.56989</v>
      </c>
      <c r="D91" s="9">
        <v>3.182438333</v>
      </c>
      <c r="E91" s="9">
        <v>25.37361667</v>
      </c>
      <c r="F91" s="9">
        <v>4.338481667</v>
      </c>
      <c r="G91" s="9">
        <v>27.71661667</v>
      </c>
      <c r="H91" s="9">
        <v>3.313941667</v>
      </c>
      <c r="I91" s="9">
        <v>15.127005</v>
      </c>
      <c r="J91" s="9">
        <v>3.336625</v>
      </c>
      <c r="K91" s="9">
        <v>18.54838333</v>
      </c>
      <c r="L91" s="9">
        <v>3.065773333</v>
      </c>
      <c r="M91" s="9">
        <v>36.96225</v>
      </c>
      <c r="N91" s="9">
        <v>2.861635</v>
      </c>
      <c r="O91" s="9">
        <v>40.01518333</v>
      </c>
      <c r="P91" s="9">
        <v>4.605196667</v>
      </c>
      <c r="Q91" s="9">
        <v>19.33493333</v>
      </c>
      <c r="R91" s="9">
        <v>3.02817</v>
      </c>
      <c r="S91" s="9">
        <v>27.28043333</v>
      </c>
      <c r="T91" s="9">
        <v>2.586343333</v>
      </c>
      <c r="U91" s="9">
        <v>22.42206667</v>
      </c>
      <c r="V91" s="9">
        <v>2.589988333</v>
      </c>
      <c r="W91" s="9">
        <v>27.99416667</v>
      </c>
      <c r="X91" s="9">
        <v>3.036358333</v>
      </c>
      <c r="Y91" s="9">
        <v>18.18628333</v>
      </c>
      <c r="Z91" s="9">
        <v>3.876933333</v>
      </c>
      <c r="AA91" s="9">
        <v>13.03737167</v>
      </c>
      <c r="AB91" s="9">
        <v>3.323633333</v>
      </c>
      <c r="AC91" s="9">
        <v>25.25835</v>
      </c>
      <c r="AD91" s="9">
        <v>5.665355</v>
      </c>
      <c r="AE91" s="9">
        <v>16.47957167</v>
      </c>
      <c r="AF91" s="9">
        <v>2.91508</v>
      </c>
      <c r="AG91" s="9">
        <v>18.39471667</v>
      </c>
      <c r="AH91" s="9">
        <v>2.684261667</v>
      </c>
      <c r="AI91" s="9">
        <v>18.29828333</v>
      </c>
      <c r="AJ91" s="9">
        <v>3.599546667</v>
      </c>
      <c r="AK91" s="9">
        <v>3.56107</v>
      </c>
      <c r="AL91" s="9">
        <v>0.3405453333</v>
      </c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</row>
    <row r="92" ht="15.75" customHeight="1">
      <c r="A92" s="9">
        <v>122.5433867</v>
      </c>
      <c r="B92" s="9">
        <v>26.32031667</v>
      </c>
      <c r="C92" s="9">
        <v>116.75584</v>
      </c>
      <c r="D92" s="9">
        <v>31.94545</v>
      </c>
      <c r="E92" s="9">
        <v>72.99363333</v>
      </c>
      <c r="F92" s="9">
        <v>25.64618333</v>
      </c>
      <c r="G92" s="9">
        <v>120.1809833</v>
      </c>
      <c r="H92" s="9">
        <v>24.10958333</v>
      </c>
      <c r="I92" s="9">
        <v>115.6166833</v>
      </c>
      <c r="J92" s="9">
        <v>24.94206667</v>
      </c>
      <c r="K92" s="9">
        <v>113.09695</v>
      </c>
      <c r="L92" s="9">
        <v>24.46321667</v>
      </c>
      <c r="M92" s="9">
        <v>114.6095167</v>
      </c>
      <c r="N92" s="9">
        <v>24.46758333</v>
      </c>
      <c r="O92" s="9">
        <v>120.31025</v>
      </c>
      <c r="P92" s="9">
        <v>24.02998333</v>
      </c>
      <c r="Q92" s="9">
        <v>119.8484167</v>
      </c>
      <c r="R92" s="9">
        <v>24.52938333</v>
      </c>
      <c r="S92" s="9">
        <v>122.69565</v>
      </c>
      <c r="T92" s="9">
        <v>23.8491</v>
      </c>
      <c r="U92" s="9">
        <v>71.2716</v>
      </c>
      <c r="V92" s="9">
        <v>22.57731667</v>
      </c>
      <c r="W92" s="9">
        <v>111.9272333</v>
      </c>
      <c r="X92" s="9">
        <v>22.76146667</v>
      </c>
      <c r="Y92" s="9">
        <v>112.87415</v>
      </c>
      <c r="Z92" s="9">
        <v>23.6752</v>
      </c>
      <c r="AA92" s="9">
        <v>117.0607333</v>
      </c>
      <c r="AB92" s="9">
        <v>27.55546667</v>
      </c>
      <c r="AC92" s="9">
        <v>116.4756833</v>
      </c>
      <c r="AD92" s="9">
        <v>29.99033333</v>
      </c>
      <c r="AE92" s="9">
        <v>110.6903667</v>
      </c>
      <c r="AF92" s="9">
        <v>24.03495</v>
      </c>
      <c r="AG92" s="9">
        <v>114.3276</v>
      </c>
      <c r="AH92" s="9">
        <v>23.84715</v>
      </c>
      <c r="AI92" s="9">
        <v>110.3589167</v>
      </c>
      <c r="AJ92" s="9">
        <v>21.87275</v>
      </c>
      <c r="AK92" s="9">
        <v>13.69221833</v>
      </c>
      <c r="AL92" s="9">
        <v>2.662056667</v>
      </c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</row>
    <row r="93" ht="15.75" customHeight="1">
      <c r="A93" s="9">
        <v>39.48337833</v>
      </c>
      <c r="B93" s="9">
        <v>3.928021667</v>
      </c>
      <c r="C93" s="9">
        <v>23.76527667</v>
      </c>
      <c r="D93" s="9">
        <v>5.207736667</v>
      </c>
      <c r="E93" s="9">
        <v>18.25166667</v>
      </c>
      <c r="F93" s="9">
        <v>3.531213333</v>
      </c>
      <c r="G93" s="9">
        <v>31.64683333</v>
      </c>
      <c r="H93" s="9">
        <v>3.307495</v>
      </c>
      <c r="I93" s="9">
        <v>28.79213333</v>
      </c>
      <c r="J93" s="9">
        <v>3.00826</v>
      </c>
      <c r="K93" s="9">
        <v>27.81163333</v>
      </c>
      <c r="L93" s="9">
        <v>2.63072</v>
      </c>
      <c r="M93" s="9">
        <v>28.95945</v>
      </c>
      <c r="N93" s="9">
        <v>4.1198</v>
      </c>
      <c r="O93" s="9">
        <v>36.9195</v>
      </c>
      <c r="P93" s="9">
        <v>2.950155</v>
      </c>
      <c r="Q93" s="9">
        <v>35.18583333</v>
      </c>
      <c r="R93" s="9">
        <v>2.935225</v>
      </c>
      <c r="S93" s="9">
        <v>27.42598333</v>
      </c>
      <c r="T93" s="9">
        <v>3.727123333</v>
      </c>
      <c r="U93" s="9">
        <v>22.12363333</v>
      </c>
      <c r="V93" s="9">
        <v>3.389751667</v>
      </c>
      <c r="W93" s="9">
        <v>41.33985</v>
      </c>
      <c r="X93" s="9">
        <v>2.833281667</v>
      </c>
      <c r="Y93" s="9">
        <v>34.31805</v>
      </c>
      <c r="Z93" s="9">
        <v>2.866033333</v>
      </c>
      <c r="AA93" s="9">
        <v>23.02861667</v>
      </c>
      <c r="AB93" s="9">
        <v>4.66207</v>
      </c>
      <c r="AC93" s="9">
        <v>28.32456667</v>
      </c>
      <c r="AD93" s="9">
        <v>8.911276667</v>
      </c>
      <c r="AE93" s="9">
        <v>39.78668333</v>
      </c>
      <c r="AF93" s="9">
        <v>3.761211667</v>
      </c>
      <c r="AG93" s="9">
        <v>29.44268333</v>
      </c>
      <c r="AH93" s="9">
        <v>2.766548333</v>
      </c>
      <c r="AI93" s="9">
        <v>53.14495</v>
      </c>
      <c r="AJ93" s="9">
        <v>4.081468333</v>
      </c>
      <c r="AK93" s="9">
        <v>3.603625</v>
      </c>
      <c r="AL93" s="9">
        <v>0.3429153333</v>
      </c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</row>
    <row r="94" ht="15.75" customHeight="1">
      <c r="A94" s="9">
        <v>135.0600717</v>
      </c>
      <c r="B94" s="9">
        <v>25.21093333</v>
      </c>
      <c r="C94" s="9">
        <v>116.3593367</v>
      </c>
      <c r="D94" s="9">
        <v>35.10966667</v>
      </c>
      <c r="E94" s="9">
        <v>67.71981667</v>
      </c>
      <c r="F94" s="9">
        <v>24.52773333</v>
      </c>
      <c r="G94" s="9">
        <v>120.00455</v>
      </c>
      <c r="H94" s="9">
        <v>24.68896667</v>
      </c>
      <c r="I94" s="9">
        <v>117.1223</v>
      </c>
      <c r="J94" s="9">
        <v>23.93195</v>
      </c>
      <c r="K94" s="9">
        <v>118.6093833</v>
      </c>
      <c r="L94" s="9">
        <v>24.04445</v>
      </c>
      <c r="M94" s="9">
        <v>118.1467167</v>
      </c>
      <c r="N94" s="9">
        <v>23.10723333</v>
      </c>
      <c r="O94" s="9">
        <v>120.2885667</v>
      </c>
      <c r="P94" s="9">
        <v>24.88441667</v>
      </c>
      <c r="Q94" s="9">
        <v>117.6921833</v>
      </c>
      <c r="R94" s="9">
        <v>24.1892</v>
      </c>
      <c r="S94" s="9">
        <v>124.70245</v>
      </c>
      <c r="T94" s="9">
        <v>24.2717</v>
      </c>
      <c r="U94" s="9">
        <v>71.77648333</v>
      </c>
      <c r="V94" s="9">
        <v>23.7744</v>
      </c>
      <c r="W94" s="9">
        <v>122.3955833</v>
      </c>
      <c r="X94" s="9">
        <v>23.52538333</v>
      </c>
      <c r="Y94" s="9">
        <v>116.3655333</v>
      </c>
      <c r="Z94" s="9">
        <v>24.0192</v>
      </c>
      <c r="AA94" s="9">
        <v>119.5649167</v>
      </c>
      <c r="AB94" s="9">
        <v>25.87451667</v>
      </c>
      <c r="AC94" s="9">
        <v>117.8718833</v>
      </c>
      <c r="AD94" s="9">
        <v>28.48581667</v>
      </c>
      <c r="AE94" s="9">
        <v>121.5726</v>
      </c>
      <c r="AF94" s="9">
        <v>23.77473333</v>
      </c>
      <c r="AG94" s="9">
        <v>117.1921</v>
      </c>
      <c r="AH94" s="9">
        <v>24.4516</v>
      </c>
      <c r="AI94" s="9">
        <v>124.78035</v>
      </c>
      <c r="AJ94" s="9">
        <v>24.36165</v>
      </c>
      <c r="AK94" s="9">
        <v>13.647785</v>
      </c>
      <c r="AL94" s="9">
        <v>2.253505</v>
      </c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</row>
    <row r="95" ht="15.75" customHeight="1">
      <c r="A95" s="9">
        <v>107.770715</v>
      </c>
      <c r="B95" s="9">
        <v>21.62351667</v>
      </c>
      <c r="C95" s="9">
        <v>107.492125</v>
      </c>
      <c r="D95" s="9">
        <v>21.5645</v>
      </c>
      <c r="E95" s="9">
        <v>63.85576667</v>
      </c>
      <c r="F95" s="9">
        <v>21.7224</v>
      </c>
      <c r="G95" s="9">
        <v>107.5048333</v>
      </c>
      <c r="H95" s="9">
        <v>21.6197</v>
      </c>
      <c r="I95" s="9">
        <v>107.6171667</v>
      </c>
      <c r="J95" s="9">
        <v>21.69598333</v>
      </c>
      <c r="K95" s="9">
        <v>107.4427167</v>
      </c>
      <c r="L95" s="9">
        <v>21.67216667</v>
      </c>
      <c r="M95" s="9">
        <v>107.3196667</v>
      </c>
      <c r="N95" s="9">
        <v>21.64366667</v>
      </c>
      <c r="O95" s="9">
        <v>107.4292167</v>
      </c>
      <c r="P95" s="9">
        <v>21.75486667</v>
      </c>
      <c r="Q95" s="9">
        <v>107.5570333</v>
      </c>
      <c r="R95" s="9">
        <v>21.72631667</v>
      </c>
      <c r="S95" s="9">
        <v>107.3046833</v>
      </c>
      <c r="T95" s="9">
        <v>21.70528333</v>
      </c>
      <c r="U95" s="9">
        <v>64.75848333</v>
      </c>
      <c r="V95" s="9">
        <v>21.651</v>
      </c>
      <c r="W95" s="9">
        <v>107.4586667</v>
      </c>
      <c r="X95" s="9">
        <v>21.6645</v>
      </c>
      <c r="Y95" s="9">
        <v>107.3915167</v>
      </c>
      <c r="Z95" s="9">
        <v>21.62278333</v>
      </c>
      <c r="AA95" s="9">
        <v>107.4571167</v>
      </c>
      <c r="AB95" s="9">
        <v>22.0565</v>
      </c>
      <c r="AC95" s="9">
        <v>108.2237167</v>
      </c>
      <c r="AD95" s="9">
        <v>21.92866667</v>
      </c>
      <c r="AE95" s="9">
        <v>107.3844667</v>
      </c>
      <c r="AF95" s="9">
        <v>21.65878333</v>
      </c>
      <c r="AG95" s="9">
        <v>107.4495667</v>
      </c>
      <c r="AH95" s="9">
        <v>21.64718333</v>
      </c>
      <c r="AI95" s="9">
        <v>107.5056167</v>
      </c>
      <c r="AJ95" s="9">
        <v>21.7283</v>
      </c>
      <c r="AK95" s="9">
        <v>13.39587167</v>
      </c>
      <c r="AL95" s="9">
        <v>2.691991667</v>
      </c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</row>
    <row r="96" ht="15.75" customHeight="1">
      <c r="A96" s="9">
        <v>15.41090233</v>
      </c>
      <c r="B96" s="9">
        <v>1.903036667</v>
      </c>
      <c r="C96" s="9">
        <v>11.43253033</v>
      </c>
      <c r="D96" s="9">
        <v>1.94306</v>
      </c>
      <c r="E96" s="9">
        <v>7.322518333</v>
      </c>
      <c r="F96" s="9">
        <v>1.77554</v>
      </c>
      <c r="G96" s="9">
        <v>10.03862833</v>
      </c>
      <c r="H96" s="9">
        <v>1.681046667</v>
      </c>
      <c r="I96" s="9">
        <v>8.688475</v>
      </c>
      <c r="J96" s="9">
        <v>2.053231667</v>
      </c>
      <c r="K96" s="9">
        <v>7.53533</v>
      </c>
      <c r="L96" s="9">
        <v>1.972326667</v>
      </c>
      <c r="M96" s="9">
        <v>8.313651667</v>
      </c>
      <c r="N96" s="9">
        <v>1.557587833</v>
      </c>
      <c r="O96" s="9">
        <v>8.114976667</v>
      </c>
      <c r="P96" s="9">
        <v>1.88433</v>
      </c>
      <c r="Q96" s="9">
        <v>14.13887667</v>
      </c>
      <c r="R96" s="9">
        <v>1.439780333</v>
      </c>
      <c r="S96" s="9">
        <v>18.37611667</v>
      </c>
      <c r="T96" s="9">
        <v>1.423978667</v>
      </c>
      <c r="U96" s="9">
        <v>8.93271</v>
      </c>
      <c r="V96" s="9">
        <v>1.632077833</v>
      </c>
      <c r="W96" s="9">
        <v>8.020846667</v>
      </c>
      <c r="X96" s="9">
        <v>1.600227833</v>
      </c>
      <c r="Y96" s="9">
        <v>9.90513</v>
      </c>
      <c r="Z96" s="9">
        <v>2.065086667</v>
      </c>
      <c r="AA96" s="9">
        <v>9.28661</v>
      </c>
      <c r="AB96" s="9">
        <v>2.432223333</v>
      </c>
      <c r="AC96" s="9">
        <v>9.754128333</v>
      </c>
      <c r="AD96" s="9">
        <v>3.455261667</v>
      </c>
      <c r="AE96" s="9">
        <v>9.33792</v>
      </c>
      <c r="AF96" s="9">
        <v>1.436208167</v>
      </c>
      <c r="AG96" s="9">
        <v>13.60518</v>
      </c>
      <c r="AH96" s="9">
        <v>1.800628333</v>
      </c>
      <c r="AI96" s="9">
        <v>7.753456667</v>
      </c>
      <c r="AJ96" s="9">
        <v>1.465033</v>
      </c>
      <c r="AK96" s="9">
        <v>3.316223333</v>
      </c>
      <c r="AL96" s="9">
        <v>0.3278668333</v>
      </c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</row>
    <row r="97" ht="15.75" customHeight="1">
      <c r="A97" s="9">
        <v>37.62407833</v>
      </c>
      <c r="B97" s="9">
        <v>11.71029</v>
      </c>
      <c r="C97" s="9">
        <v>39.21211167</v>
      </c>
      <c r="D97" s="9">
        <v>27.11931667</v>
      </c>
      <c r="E97" s="9">
        <v>28.61351667</v>
      </c>
      <c r="F97" s="9">
        <v>11.11781</v>
      </c>
      <c r="G97" s="9">
        <v>42.70925</v>
      </c>
      <c r="H97" s="9">
        <v>10.98279167</v>
      </c>
      <c r="I97" s="9">
        <v>39.67185</v>
      </c>
      <c r="J97" s="9">
        <v>7.80516</v>
      </c>
      <c r="K97" s="9">
        <v>38.67438333</v>
      </c>
      <c r="L97" s="9">
        <v>10.611535</v>
      </c>
      <c r="M97" s="9">
        <v>40.4887</v>
      </c>
      <c r="N97" s="9">
        <v>10.006025</v>
      </c>
      <c r="O97" s="9">
        <v>41.31993333</v>
      </c>
      <c r="P97" s="9">
        <v>7.9665</v>
      </c>
      <c r="Q97" s="9">
        <v>41.9472</v>
      </c>
      <c r="R97" s="9">
        <v>9.349735</v>
      </c>
      <c r="S97" s="9">
        <v>48.60943333</v>
      </c>
      <c r="T97" s="9">
        <v>8.64617</v>
      </c>
      <c r="U97" s="9">
        <v>30.5748</v>
      </c>
      <c r="V97" s="9">
        <v>8.498641667</v>
      </c>
      <c r="W97" s="9">
        <v>41.7894</v>
      </c>
      <c r="X97" s="9">
        <v>8.822785</v>
      </c>
      <c r="Y97" s="9">
        <v>38.69385</v>
      </c>
      <c r="Z97" s="9">
        <v>8.724606667</v>
      </c>
      <c r="AA97" s="9">
        <v>41.73581667</v>
      </c>
      <c r="AB97" s="9">
        <v>11.02760667</v>
      </c>
      <c r="AC97" s="9">
        <v>39.94821667</v>
      </c>
      <c r="AD97" s="9">
        <v>13.96603667</v>
      </c>
      <c r="AE97" s="9">
        <v>41.21088333</v>
      </c>
      <c r="AF97" s="9">
        <v>10.689875</v>
      </c>
      <c r="AG97" s="9">
        <v>43.01493333</v>
      </c>
      <c r="AH97" s="9">
        <v>7.879378333</v>
      </c>
      <c r="AI97" s="9">
        <v>42.44676667</v>
      </c>
      <c r="AJ97" s="9">
        <v>9.715101667</v>
      </c>
      <c r="AK97" s="9">
        <v>6.255743333</v>
      </c>
      <c r="AL97" s="9">
        <v>0.6457221667</v>
      </c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</row>
    <row r="98" ht="15.75" customHeight="1">
      <c r="A98" s="9">
        <v>33.39913333</v>
      </c>
      <c r="B98" s="9">
        <v>7.948705</v>
      </c>
      <c r="C98" s="9">
        <v>32.72586</v>
      </c>
      <c r="D98" s="9">
        <v>6.64375</v>
      </c>
      <c r="E98" s="9">
        <v>21.2092</v>
      </c>
      <c r="F98" s="9">
        <v>7.77912</v>
      </c>
      <c r="G98" s="9">
        <v>31.75935</v>
      </c>
      <c r="H98" s="9">
        <v>8.100118333</v>
      </c>
      <c r="I98" s="9">
        <v>32.30311667</v>
      </c>
      <c r="J98" s="9">
        <v>7.943871667</v>
      </c>
      <c r="K98" s="9">
        <v>35.99203333</v>
      </c>
      <c r="L98" s="9">
        <v>8.773243333</v>
      </c>
      <c r="M98" s="9">
        <v>31.69193333</v>
      </c>
      <c r="N98" s="9">
        <v>9.029891667</v>
      </c>
      <c r="O98" s="9">
        <v>32.85773333</v>
      </c>
      <c r="P98" s="9">
        <v>9.45263</v>
      </c>
      <c r="Q98" s="9">
        <v>33.53556667</v>
      </c>
      <c r="R98" s="9">
        <v>9.06084</v>
      </c>
      <c r="S98" s="9">
        <v>37.81768333</v>
      </c>
      <c r="T98" s="9">
        <v>8.007365</v>
      </c>
      <c r="U98" s="9">
        <v>22.88193333</v>
      </c>
      <c r="V98" s="9">
        <v>8.616488333</v>
      </c>
      <c r="W98" s="9">
        <v>30.68508333</v>
      </c>
      <c r="X98" s="9">
        <v>8.404311667</v>
      </c>
      <c r="Y98" s="9">
        <v>30.81555</v>
      </c>
      <c r="Z98" s="9">
        <v>7.304485</v>
      </c>
      <c r="AA98" s="9">
        <v>31.28153333</v>
      </c>
      <c r="AB98" s="9">
        <v>9.560258333</v>
      </c>
      <c r="AC98" s="9">
        <v>32.22316667</v>
      </c>
      <c r="AD98" s="9">
        <v>10.09496167</v>
      </c>
      <c r="AE98" s="9">
        <v>29.87575</v>
      </c>
      <c r="AF98" s="9">
        <v>9.071195</v>
      </c>
      <c r="AG98" s="9">
        <v>37.5137</v>
      </c>
      <c r="AH98" s="9">
        <v>7.895713333</v>
      </c>
      <c r="AI98" s="9">
        <v>29.25713333</v>
      </c>
      <c r="AJ98" s="9">
        <v>7.725116667</v>
      </c>
      <c r="AK98" s="9">
        <v>3.589195</v>
      </c>
      <c r="AL98" s="9">
        <v>0.6421948333</v>
      </c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</row>
    <row r="99" ht="15.75" customHeight="1">
      <c r="A99" s="9">
        <v>30.05060667</v>
      </c>
      <c r="B99" s="9">
        <v>7.641461667</v>
      </c>
      <c r="C99" s="9">
        <v>29.29859667</v>
      </c>
      <c r="D99" s="9">
        <v>5.857778333</v>
      </c>
      <c r="E99" s="9">
        <v>19.06868333</v>
      </c>
      <c r="F99" s="9">
        <v>8.526388333</v>
      </c>
      <c r="G99" s="9">
        <v>28.92908333</v>
      </c>
      <c r="H99" s="9">
        <v>9.199595</v>
      </c>
      <c r="I99" s="9">
        <v>28.53743333</v>
      </c>
      <c r="J99" s="9">
        <v>7.843471667</v>
      </c>
      <c r="K99" s="9">
        <v>28.88161667</v>
      </c>
      <c r="L99" s="9">
        <v>7.578145</v>
      </c>
      <c r="M99" s="9">
        <v>29.91535</v>
      </c>
      <c r="N99" s="9">
        <v>7.909888333</v>
      </c>
      <c r="O99" s="9">
        <v>28.25396667</v>
      </c>
      <c r="P99" s="9">
        <v>9.80071</v>
      </c>
      <c r="Q99" s="9">
        <v>30.36785</v>
      </c>
      <c r="R99" s="9">
        <v>7.37641</v>
      </c>
      <c r="S99" s="9">
        <v>28.09428333</v>
      </c>
      <c r="T99" s="9">
        <v>8.24232</v>
      </c>
      <c r="U99" s="9">
        <v>19.01141667</v>
      </c>
      <c r="V99" s="9">
        <v>8.148803333</v>
      </c>
      <c r="W99" s="9">
        <v>28.70436667</v>
      </c>
      <c r="X99" s="9">
        <v>8.77138</v>
      </c>
      <c r="Y99" s="9">
        <v>28.92326667</v>
      </c>
      <c r="Z99" s="9">
        <v>7.112628333</v>
      </c>
      <c r="AA99" s="9">
        <v>26.12713333</v>
      </c>
      <c r="AB99" s="9">
        <v>8.351451667</v>
      </c>
      <c r="AC99" s="9">
        <v>29.20063333</v>
      </c>
      <c r="AD99" s="9">
        <v>8.089135</v>
      </c>
      <c r="AE99" s="9">
        <v>29.88805</v>
      </c>
      <c r="AF99" s="9">
        <v>10.004135</v>
      </c>
      <c r="AG99" s="9">
        <v>28.34353333</v>
      </c>
      <c r="AH99" s="9">
        <v>7.53397</v>
      </c>
      <c r="AI99" s="9">
        <v>31.87111667</v>
      </c>
      <c r="AJ99" s="9">
        <v>8.020956667</v>
      </c>
      <c r="AK99" s="9">
        <v>3.400331667</v>
      </c>
      <c r="AL99" s="9">
        <v>0.6416568333</v>
      </c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</row>
    <row r="100" ht="15.75" customHeight="1">
      <c r="A100" s="9">
        <v>31.75165333</v>
      </c>
      <c r="B100" s="9">
        <v>8.929126667</v>
      </c>
      <c r="C100" s="9">
        <v>32.34723667</v>
      </c>
      <c r="D100" s="9">
        <v>6.464628333</v>
      </c>
      <c r="E100" s="9">
        <v>27.43285</v>
      </c>
      <c r="F100" s="9">
        <v>8.297296667</v>
      </c>
      <c r="G100" s="9">
        <v>38.65955</v>
      </c>
      <c r="H100" s="9">
        <v>8.314625</v>
      </c>
      <c r="I100" s="9">
        <v>31.44378333</v>
      </c>
      <c r="J100" s="9">
        <v>7.995718333</v>
      </c>
      <c r="K100" s="9">
        <v>34.30606667</v>
      </c>
      <c r="L100" s="9">
        <v>7.675278333</v>
      </c>
      <c r="M100" s="9">
        <v>35.74865</v>
      </c>
      <c r="N100" s="9">
        <v>9.29478</v>
      </c>
      <c r="O100" s="9">
        <v>36.16803333</v>
      </c>
      <c r="P100" s="9">
        <v>9.964095</v>
      </c>
      <c r="Q100" s="9">
        <v>33.8568</v>
      </c>
      <c r="R100" s="9">
        <v>8.186768333</v>
      </c>
      <c r="S100" s="9">
        <v>34.64991667</v>
      </c>
      <c r="T100" s="9">
        <v>8.144491667</v>
      </c>
      <c r="U100" s="9">
        <v>28.73626667</v>
      </c>
      <c r="V100" s="9">
        <v>8.524163333</v>
      </c>
      <c r="W100" s="9">
        <v>37.30176667</v>
      </c>
      <c r="X100" s="9">
        <v>9.050301667</v>
      </c>
      <c r="Y100" s="9">
        <v>31.8812</v>
      </c>
      <c r="Z100" s="9">
        <v>10.60634667</v>
      </c>
      <c r="AA100" s="9">
        <v>35.46655</v>
      </c>
      <c r="AB100" s="9">
        <v>14.833225</v>
      </c>
      <c r="AC100" s="9">
        <v>33.05231667</v>
      </c>
      <c r="AD100" s="9">
        <v>8.407231667</v>
      </c>
      <c r="AE100" s="9">
        <v>35.80516667</v>
      </c>
      <c r="AF100" s="9">
        <v>10.24447167</v>
      </c>
      <c r="AG100" s="9">
        <v>38.9043</v>
      </c>
      <c r="AH100" s="9">
        <v>8.249553333</v>
      </c>
      <c r="AI100" s="9">
        <v>35.48851667</v>
      </c>
      <c r="AJ100" s="9">
        <v>8.016268333</v>
      </c>
      <c r="AK100" s="9">
        <v>6.623823333</v>
      </c>
      <c r="AL100" s="9">
        <v>0.739593</v>
      </c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</row>
    <row r="101" ht="15.75" customHeight="1">
      <c r="E101" s="1"/>
      <c r="F101" s="1"/>
      <c r="I101" s="1"/>
      <c r="J101" s="1"/>
      <c r="K101" s="1"/>
      <c r="L101" s="1"/>
      <c r="N101" s="1"/>
      <c r="Q101" s="1"/>
      <c r="R101" s="1"/>
      <c r="S101" s="1"/>
      <c r="U101" s="1"/>
      <c r="V101" s="1"/>
      <c r="Y101" s="1"/>
      <c r="Z101" s="1"/>
      <c r="AA101" s="1"/>
      <c r="AB101" s="1"/>
      <c r="AD101" s="1"/>
      <c r="AG101" s="1"/>
      <c r="AH101" s="1"/>
      <c r="AI101" s="1"/>
    </row>
    <row r="102" ht="15.75" customHeight="1">
      <c r="E102" s="1"/>
      <c r="F102" s="1"/>
      <c r="I102" s="1"/>
      <c r="J102" s="1"/>
      <c r="K102" s="1"/>
      <c r="L102" s="1"/>
      <c r="N102" s="1"/>
      <c r="Q102" s="1"/>
      <c r="R102" s="1"/>
      <c r="S102" s="1"/>
      <c r="U102" s="1"/>
      <c r="V102" s="1"/>
      <c r="Y102" s="1"/>
      <c r="Z102" s="1"/>
      <c r="AA102" s="1"/>
      <c r="AB102" s="1"/>
      <c r="AD102" s="1"/>
      <c r="AG102" s="1"/>
      <c r="AH102" s="1"/>
      <c r="AI102" s="1"/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ht="15.75" customHeight="1"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ht="15.75" customHeight="1"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ht="15.75" customHeight="1"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ht="15.75" customHeight="1"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ht="15.75" customHeight="1"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ht="15.75" customHeight="1"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ht="15.75" customHeight="1"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ht="15.75" customHeight="1"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ht="15.75" customHeight="1"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ht="15.75" customHeight="1"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ht="15.75" customHeight="1"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ht="15.75" customHeight="1"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ht="15.75" customHeight="1"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ht="15.75" customHeight="1"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ht="15.75" customHeight="1"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ht="15.75" customHeight="1"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ht="15.75" customHeight="1"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ht="15.75" customHeight="1"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ht="15.75" customHeight="1"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ht="15.75" customHeight="1"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ht="15.75" customHeight="1"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ht="15.75" customHeight="1"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ht="15.75" customHeight="1"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ht="15.75" customHeight="1"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ht="15.75" customHeight="1"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ht="15.75" customHeight="1"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ht="15.75" customHeight="1"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ht="15.75" customHeight="1"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ht="15.75" customHeight="1"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ht="15.75" customHeight="1"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ht="15.75" customHeight="1"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ht="15.75" customHeight="1"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ht="15.75" customHeight="1"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ht="15.75" customHeight="1"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ht="15.75" customHeight="1"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ht="15.75" customHeight="1"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ht="15.75" customHeight="1"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ht="15.75" customHeight="1"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ht="15.75" customHeight="1"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ht="15.75" customHeight="1"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ht="15.75" customHeight="1"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ht="15.75" customHeight="1"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ht="15.75" customHeight="1"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ht="15.75" customHeight="1"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ht="15.75" customHeight="1"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ht="15.75" customHeight="1"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ht="15.75" customHeight="1"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ht="15.75" customHeight="1"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ht="15.75" customHeight="1"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ht="15.75" customHeight="1"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ht="15.75" customHeight="1"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ht="15.75" customHeight="1"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ht="15.75" customHeight="1"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ht="15.75" customHeight="1"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ht="15.75" customHeight="1"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ht="15.75" customHeight="1"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ht="15.75" customHeight="1"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ht="15.75" customHeight="1"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ht="15.75" customHeight="1"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ht="15.75" customHeight="1"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ht="15.75" customHeight="1"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ht="15.75" customHeight="1"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ht="15.75" customHeight="1"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ht="15.75" customHeight="1"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ht="15.75" customHeight="1"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ht="15.75" customHeight="1"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ht="15.75" customHeight="1"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ht="15.75" customHeight="1"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ht="15.75" customHeight="1"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ht="15.75" customHeight="1"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ht="15.75" customHeight="1"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ht="15.75" customHeight="1"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ht="15.75" customHeight="1"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ht="15.75" customHeight="1"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ht="15.75" customHeight="1"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ht="15.75" customHeight="1"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ht="15.75" customHeight="1"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ht="15.75" customHeight="1"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ht="15.75" customHeight="1"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ht="15.75" customHeight="1"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ht="15.75" customHeight="1"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ht="15.75" customHeight="1"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ht="15.75" customHeight="1"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ht="15.75" customHeight="1"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ht="15.75" customHeight="1"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ht="15.75" customHeight="1"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ht="15.75" customHeight="1"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ht="15.75" customHeight="1"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ht="15.75" customHeight="1"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ht="15.75" customHeight="1"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ht="15.75" customHeight="1"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ht="15.75" customHeight="1"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ht="15.75" customHeight="1"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ht="15.75" customHeight="1"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ht="15.75" customHeight="1"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ht="15.75" customHeight="1"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ht="15.75" customHeight="1"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ht="15.75" customHeight="1"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ht="15.75" customHeight="1"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2022-10-31T17:57:07Z</dcterms:created>
  <dc:creator>Brian Marques</dc:creator>
</cp:coreProperties>
</file>